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ork\MANTLE\Testimony\WR-2024-0320 MAWC\Supplemental\"/>
    </mc:Choice>
  </mc:AlternateContent>
  <xr:revisionPtr revIDLastSave="0" documentId="13_ncr:1_{65329C72-7A73-4595-AB9D-259935836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age &amp; Cust. Count" sheetId="1" r:id="rId1"/>
    <sheet name="Tariff District #1" sheetId="2" r:id="rId2"/>
    <sheet name="Tariff District #2" sheetId="3" r:id="rId3"/>
    <sheet name="Usage Trend Comparison" sheetId="13" r:id="rId4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7" i="1" l="1"/>
  <c r="O529" i="1"/>
  <c r="O522" i="1"/>
  <c r="O473" i="1"/>
  <c r="O462" i="1"/>
  <c r="O442" i="1"/>
  <c r="O409" i="1"/>
  <c r="O396" i="1"/>
  <c r="O366" i="1"/>
  <c r="O336" i="1"/>
  <c r="O319" i="1"/>
  <c r="O300" i="1"/>
  <c r="O281" i="1"/>
  <c r="O262" i="1"/>
  <c r="O242" i="1"/>
  <c r="E12" i="13"/>
  <c r="B14" i="13"/>
  <c r="F12" i="13" l="1"/>
  <c r="AG537" i="1"/>
  <c r="AG522" i="1"/>
  <c r="AG366" i="1"/>
  <c r="AG319" i="1"/>
  <c r="AG545" i="1" l="1"/>
  <c r="AG507" i="1"/>
  <c r="AG473" i="1"/>
  <c r="AG462" i="1"/>
  <c r="AG442" i="1"/>
  <c r="AG398" i="1"/>
  <c r="AG352" i="1"/>
  <c r="AG336" i="1"/>
  <c r="AG299" i="1"/>
  <c r="AG294" i="1"/>
  <c r="AG295" i="1"/>
  <c r="AG296" i="1"/>
  <c r="AG297" i="1"/>
  <c r="AG298" i="1"/>
  <c r="AG293" i="1"/>
  <c r="AG274" i="1"/>
  <c r="AG275" i="1"/>
  <c r="AG276" i="1"/>
  <c r="AG277" i="1"/>
  <c r="AG278" i="1"/>
  <c r="AG279" i="1"/>
  <c r="AG280" i="1"/>
  <c r="AG281" i="1"/>
  <c r="AG273" i="1"/>
  <c r="E13" i="13" l="1"/>
  <c r="E6" i="13"/>
  <c r="F6" i="13" s="1"/>
  <c r="E5" i="13"/>
  <c r="F5" i="13" l="1"/>
  <c r="F7" i="13" s="1"/>
  <c r="E7" i="13"/>
  <c r="F13" i="13"/>
  <c r="F14" i="13" s="1"/>
  <c r="E14" i="13"/>
  <c r="K285" i="3" l="1"/>
  <c r="G378" i="3" l="1"/>
  <c r="G374" i="3"/>
  <c r="G366" i="3"/>
  <c r="G333" i="3"/>
  <c r="G315" i="3"/>
  <c r="G288" i="3"/>
  <c r="G266" i="3"/>
  <c r="G254" i="3"/>
  <c r="G234" i="3"/>
  <c r="G235" i="3"/>
  <c r="G236" i="3"/>
  <c r="G237" i="3"/>
  <c r="G238" i="3"/>
  <c r="G239" i="3"/>
  <c r="G240" i="3"/>
  <c r="G219" i="3"/>
  <c r="G220" i="3"/>
  <c r="G221" i="3"/>
  <c r="G222" i="3"/>
  <c r="G223" i="3"/>
  <c r="G224" i="3"/>
  <c r="G225" i="3"/>
  <c r="G226" i="3"/>
  <c r="G227" i="3"/>
  <c r="G169" i="3"/>
  <c r="G170" i="3"/>
  <c r="G168" i="3"/>
  <c r="B378" i="3"/>
  <c r="B301" i="3"/>
  <c r="B297" i="3"/>
  <c r="B292" i="3"/>
  <c r="B282" i="3"/>
  <c r="B281" i="3"/>
  <c r="B246" i="3"/>
  <c r="B245" i="3"/>
  <c r="B232" i="3"/>
  <c r="B231" i="3"/>
  <c r="B217" i="3"/>
  <c r="B216" i="3"/>
  <c r="B201" i="3"/>
  <c r="B200" i="3"/>
  <c r="B185" i="3"/>
  <c r="B184" i="3"/>
  <c r="B333" i="3"/>
  <c r="B315" i="3"/>
  <c r="B306" i="3"/>
  <c r="B288" i="3"/>
  <c r="O351" i="1"/>
  <c r="B277" i="3" s="1"/>
  <c r="B266" i="3"/>
  <c r="B254" i="3"/>
  <c r="B227" i="3"/>
  <c r="O203" i="1"/>
  <c r="B164" i="3" s="1"/>
  <c r="O180" i="1"/>
  <c r="B144" i="3" s="1"/>
  <c r="O157" i="1"/>
  <c r="B124" i="3" s="1"/>
  <c r="O134" i="1"/>
  <c r="B104" i="3" s="1"/>
  <c r="O111" i="1"/>
  <c r="B84" i="3" s="1"/>
  <c r="O88" i="1"/>
  <c r="B64" i="3" s="1"/>
  <c r="O65" i="1"/>
  <c r="B41" i="3" s="1"/>
  <c r="O42" i="1"/>
  <c r="B18" i="3" s="1"/>
  <c r="O19" i="1"/>
  <c r="A359" i="3"/>
  <c r="A364" i="3"/>
  <c r="A369" i="3"/>
  <c r="A373" i="3"/>
  <c r="A377" i="3"/>
  <c r="G309" i="3" l="1"/>
  <c r="G291" i="3"/>
  <c r="A354" i="3"/>
  <c r="A1" i="3"/>
  <c r="G32" i="2"/>
  <c r="AW359" i="1"/>
  <c r="AW360" i="1"/>
  <c r="AW361" i="1"/>
  <c r="AW310" i="1"/>
  <c r="AW311" i="1"/>
  <c r="AW312" i="1"/>
  <c r="AW290" i="1"/>
  <c r="AW291" i="1"/>
  <c r="AW292" i="1"/>
  <c r="AW270" i="1"/>
  <c r="AW271" i="1"/>
  <c r="AW272" i="1"/>
  <c r="AW250" i="1"/>
  <c r="AW251" i="1"/>
  <c r="AW252" i="1"/>
  <c r="AW230" i="1"/>
  <c r="AW231" i="1"/>
  <c r="AW232" i="1"/>
  <c r="AW210" i="1"/>
  <c r="AW211" i="1"/>
  <c r="AW212" i="1"/>
  <c r="AG546" i="1"/>
  <c r="AG547" i="1"/>
  <c r="AG548" i="1"/>
  <c r="AG549" i="1"/>
  <c r="AG538" i="1"/>
  <c r="AG539" i="1"/>
  <c r="AG540" i="1"/>
  <c r="AG541" i="1"/>
  <c r="AG530" i="1"/>
  <c r="AG531" i="1"/>
  <c r="AG532" i="1"/>
  <c r="AG533" i="1"/>
  <c r="AG529" i="1"/>
  <c r="G370" i="3" s="1"/>
  <c r="AG523" i="1"/>
  <c r="AG524" i="1"/>
  <c r="AG521" i="1"/>
  <c r="G365" i="3" s="1"/>
  <c r="AG514" i="1"/>
  <c r="G361" i="3" s="1"/>
  <c r="AG515" i="1"/>
  <c r="AG516" i="1"/>
  <c r="AG513" i="1"/>
  <c r="G360" i="3" s="1"/>
  <c r="AG506" i="1"/>
  <c r="G356" i="3" s="1"/>
  <c r="AG505" i="1"/>
  <c r="G355" i="3" s="1"/>
  <c r="AG498" i="1"/>
  <c r="G350" i="3" s="1"/>
  <c r="AG499" i="1"/>
  <c r="G351" i="3" s="1"/>
  <c r="AG497" i="1"/>
  <c r="G349" i="3" s="1"/>
  <c r="AG490" i="1"/>
  <c r="G344" i="3" s="1"/>
  <c r="AG491" i="1"/>
  <c r="G345" i="3" s="1"/>
  <c r="AG489" i="1"/>
  <c r="G343" i="3" s="1"/>
  <c r="AG482" i="1"/>
  <c r="G338" i="3" s="1"/>
  <c r="AG483" i="1"/>
  <c r="G339" i="3" s="1"/>
  <c r="AG481" i="1"/>
  <c r="G337" i="3" s="1"/>
  <c r="AG468" i="1"/>
  <c r="G328" i="3" s="1"/>
  <c r="AG469" i="1"/>
  <c r="G329" i="3" s="1"/>
  <c r="AG470" i="1"/>
  <c r="G330" i="3" s="1"/>
  <c r="AG471" i="1"/>
  <c r="G331" i="3" s="1"/>
  <c r="AG472" i="1"/>
  <c r="G332" i="3" s="1"/>
  <c r="AG467" i="1"/>
  <c r="G327" i="3" s="1"/>
  <c r="AG457" i="1"/>
  <c r="G27" i="2" s="1"/>
  <c r="AG458" i="1"/>
  <c r="G28" i="2" s="1"/>
  <c r="AG459" i="1"/>
  <c r="G29" i="2" s="1"/>
  <c r="AG460" i="1"/>
  <c r="G30" i="2" s="1"/>
  <c r="AG461" i="1"/>
  <c r="G31" i="2" s="1"/>
  <c r="AG456" i="1"/>
  <c r="G26" i="2" s="1"/>
  <c r="AG449" i="1"/>
  <c r="G320" i="3" s="1"/>
  <c r="AG450" i="1"/>
  <c r="G321" i="3" s="1"/>
  <c r="AG451" i="1"/>
  <c r="G322" i="3" s="1"/>
  <c r="AG452" i="1"/>
  <c r="G323" i="3" s="1"/>
  <c r="AG448" i="1"/>
  <c r="G319" i="3" s="1"/>
  <c r="AG438" i="1"/>
  <c r="G311" i="3" s="1"/>
  <c r="AG439" i="1"/>
  <c r="G312" i="3" s="1"/>
  <c r="AG440" i="1"/>
  <c r="G313" i="3" s="1"/>
  <c r="AG441" i="1"/>
  <c r="G314" i="3" s="1"/>
  <c r="AG437" i="1"/>
  <c r="G310" i="3" s="1"/>
  <c r="AG405" i="1"/>
  <c r="G302" i="3" s="1"/>
  <c r="AG406" i="1"/>
  <c r="G303" i="3" s="1"/>
  <c r="AG407" i="1"/>
  <c r="G304" i="3" s="1"/>
  <c r="AG408" i="1"/>
  <c r="G305" i="3" s="1"/>
  <c r="AG409" i="1"/>
  <c r="G306" i="3" s="1"/>
  <c r="AG410" i="1"/>
  <c r="AG411" i="1"/>
  <c r="AG412" i="1"/>
  <c r="AG404" i="1"/>
  <c r="G301" i="3" s="1"/>
  <c r="AG392" i="1"/>
  <c r="G293" i="3" s="1"/>
  <c r="AG393" i="1"/>
  <c r="G294" i="3" s="1"/>
  <c r="AG394" i="1"/>
  <c r="G295" i="3" s="1"/>
  <c r="AG395" i="1"/>
  <c r="G296" i="3" s="1"/>
  <c r="AG396" i="1"/>
  <c r="G297" i="3" s="1"/>
  <c r="AG397" i="1"/>
  <c r="AG391" i="1"/>
  <c r="G292" i="3" s="1"/>
  <c r="AG374" i="1"/>
  <c r="AG375" i="1"/>
  <c r="AG376" i="1"/>
  <c r="AG377" i="1"/>
  <c r="AG378" i="1"/>
  <c r="AG379" i="1"/>
  <c r="AG380" i="1"/>
  <c r="AG381" i="1"/>
  <c r="AG382" i="1"/>
  <c r="AG383" i="1"/>
  <c r="AG384" i="1"/>
  <c r="AG373" i="1"/>
  <c r="AG360" i="1"/>
  <c r="G282" i="3" s="1"/>
  <c r="AG361" i="1"/>
  <c r="G283" i="3" s="1"/>
  <c r="AG362" i="1"/>
  <c r="G284" i="3" s="1"/>
  <c r="AG363" i="1"/>
  <c r="G285" i="3" s="1"/>
  <c r="AG364" i="1"/>
  <c r="G286" i="3" s="1"/>
  <c r="AG365" i="1"/>
  <c r="G287" i="3" s="1"/>
  <c r="AG359" i="1"/>
  <c r="G281" i="3" s="1"/>
  <c r="AG345" i="1"/>
  <c r="G271" i="3" s="1"/>
  <c r="AG346" i="1"/>
  <c r="G272" i="3" s="1"/>
  <c r="AG347" i="1"/>
  <c r="G273" i="3" s="1"/>
  <c r="AG348" i="1"/>
  <c r="G274" i="3" s="1"/>
  <c r="AG349" i="1"/>
  <c r="G275" i="3" s="1"/>
  <c r="AG350" i="1"/>
  <c r="G276" i="3" s="1"/>
  <c r="AG351" i="1"/>
  <c r="G277" i="3" s="1"/>
  <c r="AG344" i="1"/>
  <c r="G270" i="3" s="1"/>
  <c r="AG329" i="1"/>
  <c r="G259" i="3" s="1"/>
  <c r="AG330" i="1"/>
  <c r="G260" i="3" s="1"/>
  <c r="AG331" i="1"/>
  <c r="G261" i="3" s="1"/>
  <c r="AG332" i="1"/>
  <c r="G262" i="3" s="1"/>
  <c r="AG333" i="1"/>
  <c r="G263" i="3" s="1"/>
  <c r="AG334" i="1"/>
  <c r="G264" i="3" s="1"/>
  <c r="AG335" i="1"/>
  <c r="G265" i="3" s="1"/>
  <c r="AG328" i="1"/>
  <c r="G258" i="3" s="1"/>
  <c r="AG311" i="1"/>
  <c r="G246" i="3" s="1"/>
  <c r="AG312" i="1"/>
  <c r="G247" i="3" s="1"/>
  <c r="AG313" i="1"/>
  <c r="G248" i="3" s="1"/>
  <c r="AG314" i="1"/>
  <c r="G249" i="3" s="1"/>
  <c r="AG315" i="1"/>
  <c r="G250" i="3" s="1"/>
  <c r="AG316" i="1"/>
  <c r="G251" i="3" s="1"/>
  <c r="AG317" i="1"/>
  <c r="G252" i="3" s="1"/>
  <c r="AG318" i="1"/>
  <c r="G253" i="3" s="1"/>
  <c r="AG310" i="1"/>
  <c r="G245" i="3" s="1"/>
  <c r="AG291" i="1"/>
  <c r="G232" i="3" s="1"/>
  <c r="AG292" i="1"/>
  <c r="G233" i="3" s="1"/>
  <c r="AG290" i="1"/>
  <c r="G231" i="3" s="1"/>
  <c r="AG271" i="1"/>
  <c r="G217" i="3" s="1"/>
  <c r="AG272" i="1"/>
  <c r="G218" i="3" s="1"/>
  <c r="AG270" i="1"/>
  <c r="G216" i="3" s="1"/>
  <c r="AG251" i="1"/>
  <c r="G201" i="3" s="1"/>
  <c r="AG252" i="1"/>
  <c r="G202" i="3" s="1"/>
  <c r="AG253" i="1"/>
  <c r="G203" i="3" s="1"/>
  <c r="AG254" i="1"/>
  <c r="G204" i="3" s="1"/>
  <c r="AG255" i="1"/>
  <c r="G205" i="3" s="1"/>
  <c r="AG256" i="1"/>
  <c r="G206" i="3" s="1"/>
  <c r="AG257" i="1"/>
  <c r="G207" i="3" s="1"/>
  <c r="AG258" i="1"/>
  <c r="G208" i="3" s="1"/>
  <c r="AG259" i="1"/>
  <c r="G209" i="3" s="1"/>
  <c r="AG260" i="1"/>
  <c r="G210" i="3" s="1"/>
  <c r="AG261" i="1"/>
  <c r="G211" i="3" s="1"/>
  <c r="AG250" i="1"/>
  <c r="G200" i="3" s="1"/>
  <c r="AG231" i="1"/>
  <c r="G185" i="3" s="1"/>
  <c r="AG232" i="1"/>
  <c r="G186" i="3" s="1"/>
  <c r="AG233" i="1"/>
  <c r="G187" i="3" s="1"/>
  <c r="AG234" i="1"/>
  <c r="G188" i="3" s="1"/>
  <c r="AG235" i="1"/>
  <c r="G189" i="3" s="1"/>
  <c r="AG236" i="1"/>
  <c r="G190" i="3" s="1"/>
  <c r="AG237" i="1"/>
  <c r="G191" i="3" s="1"/>
  <c r="AG238" i="1"/>
  <c r="G192" i="3" s="1"/>
  <c r="AG239" i="1"/>
  <c r="G193" i="3" s="1"/>
  <c r="AG240" i="1"/>
  <c r="G194" i="3" s="1"/>
  <c r="AG241" i="1"/>
  <c r="G195" i="3" s="1"/>
  <c r="AG230" i="1"/>
  <c r="G184" i="3" s="1"/>
  <c r="AG213" i="1"/>
  <c r="G171" i="3" s="1"/>
  <c r="AG214" i="1"/>
  <c r="G172" i="3" s="1"/>
  <c r="AG215" i="1"/>
  <c r="G173" i="3" s="1"/>
  <c r="AG216" i="1"/>
  <c r="G174" i="3" s="1"/>
  <c r="AG217" i="1"/>
  <c r="G175" i="3" s="1"/>
  <c r="AG218" i="1"/>
  <c r="G176" i="3" s="1"/>
  <c r="AG219" i="1"/>
  <c r="G177" i="3" s="1"/>
  <c r="AG220" i="1"/>
  <c r="G178" i="3" s="1"/>
  <c r="AG221" i="1"/>
  <c r="G179" i="3" s="1"/>
  <c r="AG188" i="1"/>
  <c r="G149" i="3" s="1"/>
  <c r="AG189" i="1"/>
  <c r="G150" i="3" s="1"/>
  <c r="AG190" i="1"/>
  <c r="G151" i="3" s="1"/>
  <c r="AG191" i="1"/>
  <c r="G152" i="3" s="1"/>
  <c r="AG192" i="1"/>
  <c r="G153" i="3" s="1"/>
  <c r="AG193" i="1"/>
  <c r="G154" i="3" s="1"/>
  <c r="AG194" i="1"/>
  <c r="G155" i="3" s="1"/>
  <c r="AG195" i="1"/>
  <c r="G156" i="3" s="1"/>
  <c r="AG196" i="1"/>
  <c r="G157" i="3" s="1"/>
  <c r="AG197" i="1"/>
  <c r="G158" i="3" s="1"/>
  <c r="AG198" i="1"/>
  <c r="G159" i="3" s="1"/>
  <c r="AG199" i="1"/>
  <c r="G160" i="3" s="1"/>
  <c r="AG200" i="1"/>
  <c r="G161" i="3" s="1"/>
  <c r="AG201" i="1"/>
  <c r="G162" i="3" s="1"/>
  <c r="AG202" i="1"/>
  <c r="G163" i="3" s="1"/>
  <c r="AG203" i="1"/>
  <c r="G164" i="3" s="1"/>
  <c r="AG187" i="1"/>
  <c r="G148" i="3" s="1"/>
  <c r="AG165" i="1"/>
  <c r="G129" i="3" s="1"/>
  <c r="AG166" i="1"/>
  <c r="G130" i="3" s="1"/>
  <c r="AG167" i="1"/>
  <c r="G131" i="3" s="1"/>
  <c r="AG168" i="1"/>
  <c r="G132" i="3" s="1"/>
  <c r="AG169" i="1"/>
  <c r="G133" i="3" s="1"/>
  <c r="AG170" i="1"/>
  <c r="G134" i="3" s="1"/>
  <c r="AG171" i="1"/>
  <c r="G135" i="3" s="1"/>
  <c r="AG172" i="1"/>
  <c r="G136" i="3" s="1"/>
  <c r="AG173" i="1"/>
  <c r="G137" i="3" s="1"/>
  <c r="AG174" i="1"/>
  <c r="G138" i="3" s="1"/>
  <c r="AG175" i="1"/>
  <c r="G139" i="3" s="1"/>
  <c r="AG176" i="1"/>
  <c r="G140" i="3" s="1"/>
  <c r="AG177" i="1"/>
  <c r="G141" i="3" s="1"/>
  <c r="AG178" i="1"/>
  <c r="G142" i="3" s="1"/>
  <c r="AG179" i="1"/>
  <c r="G143" i="3" s="1"/>
  <c r="AG180" i="1"/>
  <c r="G144" i="3" s="1"/>
  <c r="AG164" i="1"/>
  <c r="G128" i="3" s="1"/>
  <c r="AG142" i="1"/>
  <c r="G109" i="3" s="1"/>
  <c r="AG143" i="1"/>
  <c r="G110" i="3" s="1"/>
  <c r="AG144" i="1"/>
  <c r="G111" i="3" s="1"/>
  <c r="AG145" i="1"/>
  <c r="G112" i="3" s="1"/>
  <c r="AG146" i="1"/>
  <c r="G113" i="3" s="1"/>
  <c r="AG147" i="1"/>
  <c r="G114" i="3" s="1"/>
  <c r="AG148" i="1"/>
  <c r="G115" i="3" s="1"/>
  <c r="AG149" i="1"/>
  <c r="G116" i="3" s="1"/>
  <c r="AG150" i="1"/>
  <c r="G117" i="3" s="1"/>
  <c r="AG151" i="1"/>
  <c r="G118" i="3" s="1"/>
  <c r="AG152" i="1"/>
  <c r="G119" i="3" s="1"/>
  <c r="AG153" i="1"/>
  <c r="G120" i="3" s="1"/>
  <c r="AG154" i="1"/>
  <c r="G121" i="3" s="1"/>
  <c r="AG155" i="1"/>
  <c r="G122" i="3" s="1"/>
  <c r="AG156" i="1"/>
  <c r="G123" i="3" s="1"/>
  <c r="AG157" i="1"/>
  <c r="G124" i="3" s="1"/>
  <c r="AG141" i="1"/>
  <c r="G108" i="3" s="1"/>
  <c r="AG119" i="1"/>
  <c r="G89" i="3" s="1"/>
  <c r="AG120" i="1"/>
  <c r="G90" i="3" s="1"/>
  <c r="AG121" i="1"/>
  <c r="G91" i="3" s="1"/>
  <c r="AG122" i="1"/>
  <c r="G92" i="3" s="1"/>
  <c r="AG123" i="1"/>
  <c r="G93" i="3" s="1"/>
  <c r="AG124" i="1"/>
  <c r="G94" i="3" s="1"/>
  <c r="AG125" i="1"/>
  <c r="G95" i="3" s="1"/>
  <c r="AG126" i="1"/>
  <c r="G96" i="3" s="1"/>
  <c r="AG127" i="1"/>
  <c r="G97" i="3" s="1"/>
  <c r="AG128" i="1"/>
  <c r="G98" i="3" s="1"/>
  <c r="AG129" i="1"/>
  <c r="G99" i="3" s="1"/>
  <c r="AG130" i="1"/>
  <c r="G100" i="3" s="1"/>
  <c r="AG131" i="1"/>
  <c r="G101" i="3" s="1"/>
  <c r="AG132" i="1"/>
  <c r="G102" i="3" s="1"/>
  <c r="AG133" i="1"/>
  <c r="G103" i="3" s="1"/>
  <c r="AG134" i="1"/>
  <c r="G104" i="3" s="1"/>
  <c r="AG118" i="1"/>
  <c r="G88" i="3" s="1"/>
  <c r="AG96" i="1"/>
  <c r="G69" i="3" s="1"/>
  <c r="AG97" i="1"/>
  <c r="G70" i="3" s="1"/>
  <c r="AG98" i="1"/>
  <c r="G71" i="3" s="1"/>
  <c r="AG99" i="1"/>
  <c r="G72" i="3" s="1"/>
  <c r="AG100" i="1"/>
  <c r="G73" i="3" s="1"/>
  <c r="AG101" i="1"/>
  <c r="G74" i="3" s="1"/>
  <c r="AG102" i="1"/>
  <c r="G75" i="3" s="1"/>
  <c r="AG103" i="1"/>
  <c r="G76" i="3" s="1"/>
  <c r="AG104" i="1"/>
  <c r="G77" i="3" s="1"/>
  <c r="AG105" i="1"/>
  <c r="G78" i="3" s="1"/>
  <c r="AG106" i="1"/>
  <c r="G79" i="3" s="1"/>
  <c r="AG107" i="1"/>
  <c r="G80" i="3" s="1"/>
  <c r="AG108" i="1"/>
  <c r="G81" i="3" s="1"/>
  <c r="AG109" i="1"/>
  <c r="G82" i="3" s="1"/>
  <c r="AG110" i="1"/>
  <c r="G83" i="3" s="1"/>
  <c r="AG111" i="1"/>
  <c r="G84" i="3" s="1"/>
  <c r="AG95" i="1"/>
  <c r="G68" i="3" s="1"/>
  <c r="AG73" i="1"/>
  <c r="G49" i="3" s="1"/>
  <c r="AG74" i="1"/>
  <c r="G50" i="3" s="1"/>
  <c r="AG75" i="1"/>
  <c r="G51" i="3" s="1"/>
  <c r="AG76" i="1"/>
  <c r="G52" i="3" s="1"/>
  <c r="AG77" i="1"/>
  <c r="G53" i="3" s="1"/>
  <c r="AG78" i="1"/>
  <c r="G54" i="3" s="1"/>
  <c r="AG79" i="1"/>
  <c r="G55" i="3" s="1"/>
  <c r="AG80" i="1"/>
  <c r="G56" i="3" s="1"/>
  <c r="AG81" i="1"/>
  <c r="G57" i="3" s="1"/>
  <c r="AG82" i="1"/>
  <c r="G58" i="3" s="1"/>
  <c r="AG83" i="1"/>
  <c r="G59" i="3" s="1"/>
  <c r="AG84" i="1"/>
  <c r="G60" i="3" s="1"/>
  <c r="AG85" i="1"/>
  <c r="G61" i="3" s="1"/>
  <c r="AG86" i="1"/>
  <c r="G62" i="3" s="1"/>
  <c r="AG87" i="1"/>
  <c r="G63" i="3" s="1"/>
  <c r="AG88" i="1"/>
  <c r="G64" i="3" s="1"/>
  <c r="AG72" i="1"/>
  <c r="G48" i="3" s="1"/>
  <c r="AG50" i="1"/>
  <c r="G26" i="3" s="1"/>
  <c r="AG51" i="1"/>
  <c r="G27" i="3" s="1"/>
  <c r="AG52" i="1"/>
  <c r="G28" i="3" s="1"/>
  <c r="AG53" i="1"/>
  <c r="G29" i="3" s="1"/>
  <c r="AG54" i="1"/>
  <c r="G30" i="3" s="1"/>
  <c r="AG55" i="1"/>
  <c r="G31" i="3" s="1"/>
  <c r="AG56" i="1"/>
  <c r="G32" i="3" s="1"/>
  <c r="AG57" i="1"/>
  <c r="G33" i="3" s="1"/>
  <c r="AG58" i="1"/>
  <c r="G34" i="3" s="1"/>
  <c r="AG59" i="1"/>
  <c r="G35" i="3" s="1"/>
  <c r="AG60" i="1"/>
  <c r="G36" i="3" s="1"/>
  <c r="AG61" i="1"/>
  <c r="G37" i="3" s="1"/>
  <c r="AG62" i="1"/>
  <c r="G38" i="3" s="1"/>
  <c r="AG63" i="1"/>
  <c r="G39" i="3" s="1"/>
  <c r="AG64" i="1"/>
  <c r="G40" i="3" s="1"/>
  <c r="AG65" i="1"/>
  <c r="G41" i="3" s="1"/>
  <c r="AG49" i="1"/>
  <c r="G25" i="3" s="1"/>
  <c r="AG19" i="1"/>
  <c r="AG27" i="1"/>
  <c r="G3" i="3" s="1"/>
  <c r="AG28" i="1"/>
  <c r="G4" i="3" s="1"/>
  <c r="AG29" i="1"/>
  <c r="G5" i="3" s="1"/>
  <c r="AG30" i="1"/>
  <c r="G6" i="3" s="1"/>
  <c r="AG31" i="1"/>
  <c r="G7" i="3" s="1"/>
  <c r="AG32" i="1"/>
  <c r="G8" i="3" s="1"/>
  <c r="AG33" i="1"/>
  <c r="G9" i="3" s="1"/>
  <c r="AG34" i="1"/>
  <c r="G10" i="3" s="1"/>
  <c r="AG35" i="1"/>
  <c r="G11" i="3" s="1"/>
  <c r="AG36" i="1"/>
  <c r="G12" i="3" s="1"/>
  <c r="AG37" i="1"/>
  <c r="G13" i="3" s="1"/>
  <c r="AG38" i="1"/>
  <c r="G14" i="3" s="1"/>
  <c r="AG39" i="1"/>
  <c r="G15" i="3" s="1"/>
  <c r="AG40" i="1"/>
  <c r="G16" i="3" s="1"/>
  <c r="AG41" i="1"/>
  <c r="G17" i="3" s="1"/>
  <c r="AG42" i="1"/>
  <c r="G18" i="3" s="1"/>
  <c r="AG26" i="1"/>
  <c r="G2" i="3" s="1"/>
  <c r="B32" i="2"/>
  <c r="K4" i="3" l="1"/>
  <c r="K7" i="3"/>
  <c r="K11" i="3"/>
  <c r="K2" i="3"/>
  <c r="K3" i="3"/>
  <c r="K10" i="3"/>
  <c r="K9" i="3"/>
  <c r="K8" i="3"/>
  <c r="K13" i="3"/>
  <c r="K5" i="3"/>
  <c r="K6" i="3"/>
  <c r="K17" i="3"/>
  <c r="K16" i="3"/>
  <c r="K15" i="3"/>
  <c r="AH19" i="1"/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3" i="1"/>
  <c r="G5" i="2" l="1"/>
  <c r="K5" i="2" s="1"/>
  <c r="AH6" i="1"/>
  <c r="G4" i="2"/>
  <c r="K4" i="2" s="1"/>
  <c r="AH5" i="1"/>
  <c r="G11" i="2"/>
  <c r="K11" i="2" s="1"/>
  <c r="AH12" i="1"/>
  <c r="G3" i="2"/>
  <c r="K3" i="2" s="1"/>
  <c r="AH4" i="1"/>
  <c r="G13" i="2"/>
  <c r="AH14" i="1"/>
  <c r="G6" i="2"/>
  <c r="K6" i="2" s="1"/>
  <c r="AH7" i="1"/>
  <c r="AH10" i="1"/>
  <c r="G9" i="2"/>
  <c r="K9" i="2" s="1"/>
  <c r="G12" i="2"/>
  <c r="K12" i="2" s="1"/>
  <c r="G10" i="2"/>
  <c r="K10" i="2" s="1"/>
  <c r="AH11" i="1"/>
  <c r="AH17" i="1"/>
  <c r="G16" i="2"/>
  <c r="G8" i="2"/>
  <c r="K8" i="2" s="1"/>
  <c r="AH9" i="1"/>
  <c r="G14" i="2"/>
  <c r="G2" i="2"/>
  <c r="K2" i="2" s="1"/>
  <c r="AH3" i="1"/>
  <c r="AH18" i="1"/>
  <c r="G17" i="2"/>
  <c r="AH16" i="1"/>
  <c r="G15" i="2"/>
  <c r="G7" i="2"/>
  <c r="K7" i="2" s="1"/>
  <c r="AH8" i="1"/>
  <c r="AF374" i="1"/>
  <c r="AF375" i="1"/>
  <c r="AF376" i="1"/>
  <c r="O392" i="1"/>
  <c r="B293" i="3" s="1"/>
  <c r="O393" i="1"/>
  <c r="B294" i="3" s="1"/>
  <c r="Q210" i="1"/>
  <c r="O210" i="1"/>
  <c r="O211" i="1"/>
  <c r="B169" i="3" s="1"/>
  <c r="O212" i="1"/>
  <c r="B170" i="3" s="1"/>
  <c r="N210" i="1"/>
  <c r="N211" i="1"/>
  <c r="AV545" i="1"/>
  <c r="AW545" i="1"/>
  <c r="AQ537" i="1"/>
  <c r="AR537" i="1"/>
  <c r="AS537" i="1"/>
  <c r="AT537" i="1"/>
  <c r="AU537" i="1"/>
  <c r="AV537" i="1"/>
  <c r="AL529" i="1"/>
  <c r="AM529" i="1"/>
  <c r="AN529" i="1"/>
  <c r="AO529" i="1"/>
  <c r="AP529" i="1"/>
  <c r="AQ529" i="1"/>
  <c r="AR529" i="1"/>
  <c r="AS529" i="1"/>
  <c r="AT529" i="1"/>
  <c r="AU529" i="1"/>
  <c r="AV529" i="1"/>
  <c r="AL521" i="1"/>
  <c r="AM521" i="1"/>
  <c r="AN521" i="1"/>
  <c r="AO521" i="1"/>
  <c r="AP521" i="1"/>
  <c r="AQ521" i="1"/>
  <c r="AR521" i="1"/>
  <c r="AS521" i="1"/>
  <c r="AT521" i="1"/>
  <c r="AU521" i="1"/>
  <c r="AV521" i="1"/>
  <c r="AK521" i="1"/>
  <c r="AU522" i="1"/>
  <c r="AV522" i="1"/>
  <c r="AK513" i="1"/>
  <c r="AL513" i="1"/>
  <c r="AN513" i="1"/>
  <c r="AO513" i="1"/>
  <c r="AP513" i="1"/>
  <c r="AQ513" i="1"/>
  <c r="AR513" i="1"/>
  <c r="AS513" i="1"/>
  <c r="AT513" i="1"/>
  <c r="AU513" i="1"/>
  <c r="AV513" i="1"/>
  <c r="AM513" i="1"/>
  <c r="AQ514" i="1"/>
  <c r="AR514" i="1"/>
  <c r="AS514" i="1"/>
  <c r="AT514" i="1"/>
  <c r="AU514" i="1"/>
  <c r="AV514" i="1"/>
  <c r="AL505" i="1"/>
  <c r="AM505" i="1"/>
  <c r="AN505" i="1"/>
  <c r="AO505" i="1"/>
  <c r="AP505" i="1"/>
  <c r="AQ505" i="1"/>
  <c r="AR505" i="1"/>
  <c r="AS505" i="1"/>
  <c r="AT505" i="1"/>
  <c r="AU505" i="1"/>
  <c r="AV505" i="1"/>
  <c r="AK505" i="1"/>
  <c r="AQ506" i="1"/>
  <c r="AR506" i="1"/>
  <c r="AS506" i="1"/>
  <c r="AT506" i="1"/>
  <c r="AU506" i="1"/>
  <c r="AV506" i="1"/>
  <c r="AL497" i="1"/>
  <c r="AM497" i="1"/>
  <c r="AN497" i="1"/>
  <c r="AO497" i="1"/>
  <c r="AP497" i="1"/>
  <c r="AQ497" i="1"/>
  <c r="AR497" i="1"/>
  <c r="AS497" i="1"/>
  <c r="AT497" i="1"/>
  <c r="AU497" i="1"/>
  <c r="AV497" i="1"/>
  <c r="AK497" i="1"/>
  <c r="AQ498" i="1"/>
  <c r="AR498" i="1"/>
  <c r="AS498" i="1"/>
  <c r="AT498" i="1"/>
  <c r="AU498" i="1"/>
  <c r="AV498" i="1"/>
  <c r="AL489" i="1"/>
  <c r="AM489" i="1"/>
  <c r="AN489" i="1"/>
  <c r="AO489" i="1"/>
  <c r="AP489" i="1"/>
  <c r="AQ489" i="1"/>
  <c r="AR489" i="1"/>
  <c r="AS489" i="1"/>
  <c r="AT489" i="1"/>
  <c r="AU489" i="1"/>
  <c r="AV489" i="1"/>
  <c r="AK489" i="1"/>
  <c r="AQ490" i="1"/>
  <c r="AR490" i="1"/>
  <c r="AS490" i="1"/>
  <c r="AT490" i="1"/>
  <c r="AU490" i="1"/>
  <c r="AV490" i="1"/>
  <c r="AL481" i="1"/>
  <c r="AM481" i="1"/>
  <c r="AN481" i="1"/>
  <c r="AO481" i="1"/>
  <c r="AP481" i="1"/>
  <c r="AQ481" i="1"/>
  <c r="AR481" i="1"/>
  <c r="AS481" i="1"/>
  <c r="AT481" i="1"/>
  <c r="AU481" i="1"/>
  <c r="AV481" i="1"/>
  <c r="AK481" i="1"/>
  <c r="AQ482" i="1"/>
  <c r="AR482" i="1"/>
  <c r="AS482" i="1"/>
  <c r="AT482" i="1"/>
  <c r="AU482" i="1"/>
  <c r="AV482" i="1"/>
  <c r="AL467" i="1"/>
  <c r="AM467" i="1"/>
  <c r="AN467" i="1"/>
  <c r="AO467" i="1"/>
  <c r="AP467" i="1"/>
  <c r="AQ467" i="1"/>
  <c r="AR467" i="1"/>
  <c r="AS467" i="1"/>
  <c r="AT467" i="1"/>
  <c r="AU467" i="1"/>
  <c r="AV467" i="1"/>
  <c r="AK467" i="1"/>
  <c r="AQ468" i="1"/>
  <c r="AR468" i="1"/>
  <c r="AS468" i="1"/>
  <c r="AT468" i="1"/>
  <c r="AU468" i="1"/>
  <c r="AV468" i="1"/>
  <c r="AK456" i="1"/>
  <c r="AW456" i="1" s="1"/>
  <c r="AQ457" i="1"/>
  <c r="AR457" i="1"/>
  <c r="AS457" i="1"/>
  <c r="AT457" i="1"/>
  <c r="AU457" i="1"/>
  <c r="AV457" i="1"/>
  <c r="AL448" i="1"/>
  <c r="AM448" i="1"/>
  <c r="AN448" i="1"/>
  <c r="AO448" i="1"/>
  <c r="AP448" i="1"/>
  <c r="AQ448" i="1"/>
  <c r="AR448" i="1"/>
  <c r="AS448" i="1"/>
  <c r="AT448" i="1"/>
  <c r="AU448" i="1"/>
  <c r="AV448" i="1"/>
  <c r="AK448" i="1"/>
  <c r="AQ449" i="1"/>
  <c r="AR449" i="1"/>
  <c r="AS449" i="1"/>
  <c r="AT449" i="1"/>
  <c r="AU449" i="1"/>
  <c r="AV449" i="1"/>
  <c r="AL437" i="1"/>
  <c r="AM437" i="1"/>
  <c r="AN437" i="1"/>
  <c r="AO437" i="1"/>
  <c r="AP437" i="1"/>
  <c r="AQ437" i="1"/>
  <c r="AR437" i="1"/>
  <c r="AS437" i="1"/>
  <c r="AT437" i="1"/>
  <c r="AU437" i="1"/>
  <c r="AV437" i="1"/>
  <c r="AK437" i="1"/>
  <c r="AQ438" i="1"/>
  <c r="AR438" i="1"/>
  <c r="AS438" i="1"/>
  <c r="AT438" i="1"/>
  <c r="AU438" i="1"/>
  <c r="AV438" i="1"/>
  <c r="AK404" i="1"/>
  <c r="AW404" i="1" s="1"/>
  <c r="AK405" i="1"/>
  <c r="AQ405" i="1"/>
  <c r="AR405" i="1"/>
  <c r="AS405" i="1"/>
  <c r="AT405" i="1"/>
  <c r="AU405" i="1"/>
  <c r="AV405" i="1"/>
  <c r="AK391" i="1"/>
  <c r="AW391" i="1" s="1"/>
  <c r="AQ392" i="1"/>
  <c r="AR392" i="1"/>
  <c r="AS392" i="1"/>
  <c r="AT392" i="1"/>
  <c r="AU392" i="1"/>
  <c r="AV392" i="1"/>
  <c r="AL344" i="1"/>
  <c r="AM344" i="1"/>
  <c r="AN344" i="1"/>
  <c r="AO344" i="1"/>
  <c r="AP344" i="1"/>
  <c r="AQ344" i="1"/>
  <c r="AR344" i="1"/>
  <c r="AS344" i="1"/>
  <c r="AT344" i="1"/>
  <c r="AU344" i="1"/>
  <c r="AV344" i="1"/>
  <c r="AK344" i="1"/>
  <c r="AQ345" i="1"/>
  <c r="AR345" i="1"/>
  <c r="AS345" i="1"/>
  <c r="AT345" i="1"/>
  <c r="AU345" i="1"/>
  <c r="AV345" i="1"/>
  <c r="AL328" i="1"/>
  <c r="AM328" i="1"/>
  <c r="AN328" i="1"/>
  <c r="AO328" i="1"/>
  <c r="AP328" i="1"/>
  <c r="AQ328" i="1"/>
  <c r="AR328" i="1"/>
  <c r="AS328" i="1"/>
  <c r="AT328" i="1"/>
  <c r="AU328" i="1"/>
  <c r="AV328" i="1"/>
  <c r="AK328" i="1"/>
  <c r="AQ329" i="1"/>
  <c r="AR329" i="1"/>
  <c r="AS329" i="1"/>
  <c r="AT329" i="1"/>
  <c r="AU329" i="1"/>
  <c r="AV329" i="1"/>
  <c r="AL187" i="1"/>
  <c r="AM187" i="1"/>
  <c r="AN187" i="1"/>
  <c r="AO187" i="1"/>
  <c r="AP187" i="1"/>
  <c r="AQ187" i="1"/>
  <c r="AR187" i="1"/>
  <c r="AS187" i="1"/>
  <c r="AT187" i="1"/>
  <c r="AU187" i="1"/>
  <c r="AV187" i="1"/>
  <c r="AK187" i="1"/>
  <c r="AQ188" i="1"/>
  <c r="AR188" i="1"/>
  <c r="AS188" i="1"/>
  <c r="AT188" i="1"/>
  <c r="AU188" i="1"/>
  <c r="AV188" i="1"/>
  <c r="AL164" i="1"/>
  <c r="AM164" i="1"/>
  <c r="AN164" i="1"/>
  <c r="AO164" i="1"/>
  <c r="AP164" i="1"/>
  <c r="AQ164" i="1"/>
  <c r="AR164" i="1"/>
  <c r="AS164" i="1"/>
  <c r="AT164" i="1"/>
  <c r="AU164" i="1"/>
  <c r="AV164" i="1"/>
  <c r="AK164" i="1"/>
  <c r="AQ165" i="1"/>
  <c r="AR165" i="1"/>
  <c r="AS165" i="1"/>
  <c r="AT165" i="1"/>
  <c r="AU165" i="1"/>
  <c r="AV165" i="1"/>
  <c r="AL141" i="1"/>
  <c r="AM141" i="1"/>
  <c r="AN141" i="1"/>
  <c r="AO141" i="1"/>
  <c r="AP141" i="1"/>
  <c r="AQ141" i="1"/>
  <c r="AR141" i="1"/>
  <c r="AS141" i="1"/>
  <c r="AT141" i="1"/>
  <c r="AU141" i="1"/>
  <c r="AV141" i="1"/>
  <c r="AK141" i="1"/>
  <c r="AQ142" i="1"/>
  <c r="AR142" i="1"/>
  <c r="AS142" i="1"/>
  <c r="AT142" i="1"/>
  <c r="AU142" i="1"/>
  <c r="AV142" i="1"/>
  <c r="AL118" i="1"/>
  <c r="AM118" i="1"/>
  <c r="AN118" i="1"/>
  <c r="AO118" i="1"/>
  <c r="AP118" i="1"/>
  <c r="AQ118" i="1"/>
  <c r="AR118" i="1"/>
  <c r="AS118" i="1"/>
  <c r="AT118" i="1"/>
  <c r="AU118" i="1"/>
  <c r="AV118" i="1"/>
  <c r="AK118" i="1"/>
  <c r="AQ119" i="1"/>
  <c r="AR119" i="1"/>
  <c r="AS119" i="1"/>
  <c r="AT119" i="1"/>
  <c r="AU119" i="1"/>
  <c r="AV119" i="1"/>
  <c r="AL95" i="1"/>
  <c r="AM95" i="1"/>
  <c r="AN95" i="1"/>
  <c r="AO95" i="1"/>
  <c r="AP95" i="1"/>
  <c r="AQ95" i="1"/>
  <c r="AR95" i="1"/>
  <c r="AS95" i="1"/>
  <c r="AT95" i="1"/>
  <c r="AU95" i="1"/>
  <c r="AV95" i="1"/>
  <c r="AK95" i="1"/>
  <c r="AK96" i="1"/>
  <c r="AR96" i="1"/>
  <c r="AS96" i="1"/>
  <c r="AT96" i="1"/>
  <c r="AU96" i="1"/>
  <c r="AV96" i="1"/>
  <c r="AQ96" i="1"/>
  <c r="AL72" i="1"/>
  <c r="AM72" i="1"/>
  <c r="AN72" i="1"/>
  <c r="AO72" i="1"/>
  <c r="AP72" i="1"/>
  <c r="AQ72" i="1"/>
  <c r="AR72" i="1"/>
  <c r="AS72" i="1"/>
  <c r="AT72" i="1"/>
  <c r="AU72" i="1"/>
  <c r="AV72" i="1"/>
  <c r="AK72" i="1"/>
  <c r="AQ73" i="1"/>
  <c r="AR73" i="1"/>
  <c r="AS73" i="1"/>
  <c r="AT73" i="1"/>
  <c r="AU73" i="1"/>
  <c r="AV73" i="1"/>
  <c r="AL49" i="1"/>
  <c r="AM49" i="1"/>
  <c r="AN49" i="1"/>
  <c r="AO49" i="1"/>
  <c r="AP49" i="1"/>
  <c r="AQ49" i="1"/>
  <c r="AR49" i="1"/>
  <c r="AS49" i="1"/>
  <c r="AT49" i="1"/>
  <c r="AU49" i="1"/>
  <c r="AV49" i="1"/>
  <c r="AK49" i="1"/>
  <c r="AR50" i="1"/>
  <c r="AS50" i="1"/>
  <c r="AT50" i="1"/>
  <c r="AU50" i="1"/>
  <c r="AV50" i="1"/>
  <c r="AQ50" i="1"/>
  <c r="AL26" i="1"/>
  <c r="AM26" i="1"/>
  <c r="AN26" i="1"/>
  <c r="AO26" i="1"/>
  <c r="AP26" i="1"/>
  <c r="AQ26" i="1"/>
  <c r="AR26" i="1"/>
  <c r="AS26" i="1"/>
  <c r="AT26" i="1"/>
  <c r="AU26" i="1"/>
  <c r="AV26" i="1"/>
  <c r="AK26" i="1"/>
  <c r="AQ27" i="1"/>
  <c r="AR27" i="1"/>
  <c r="AS27" i="1"/>
  <c r="AT27" i="1"/>
  <c r="AU27" i="1"/>
  <c r="AV27" i="1"/>
  <c r="AL3" i="1"/>
  <c r="AM3" i="1"/>
  <c r="AN3" i="1"/>
  <c r="AO3" i="1"/>
  <c r="AP3" i="1"/>
  <c r="AQ3" i="1"/>
  <c r="AR3" i="1"/>
  <c r="AS3" i="1"/>
  <c r="AT3" i="1"/>
  <c r="AU3" i="1"/>
  <c r="AV3" i="1"/>
  <c r="AK3" i="1"/>
  <c r="AQ4" i="1"/>
  <c r="AR4" i="1"/>
  <c r="AS4" i="1"/>
  <c r="AT4" i="1"/>
  <c r="AU4" i="1"/>
  <c r="AV4" i="1"/>
  <c r="AF545" i="1"/>
  <c r="AF537" i="1"/>
  <c r="AF529" i="1"/>
  <c r="AF521" i="1"/>
  <c r="AF513" i="1"/>
  <c r="AF514" i="1"/>
  <c r="AF506" i="1"/>
  <c r="AF505" i="1"/>
  <c r="AF497" i="1"/>
  <c r="AF489" i="1"/>
  <c r="AF481" i="1"/>
  <c r="AF467" i="1"/>
  <c r="AF456" i="1"/>
  <c r="AF448" i="1"/>
  <c r="AF437" i="1"/>
  <c r="AF404" i="1"/>
  <c r="AF391" i="1"/>
  <c r="AF344" i="1"/>
  <c r="AF328" i="1"/>
  <c r="AW118" i="1" l="1"/>
  <c r="AW328" i="1"/>
  <c r="AW141" i="1"/>
  <c r="AW344" i="1"/>
  <c r="AW489" i="1"/>
  <c r="AW537" i="1"/>
  <c r="AW481" i="1"/>
  <c r="AW49" i="1"/>
  <c r="AW72" i="1"/>
  <c r="AW437" i="1"/>
  <c r="AW448" i="1"/>
  <c r="AW513" i="1"/>
  <c r="B168" i="3"/>
  <c r="AW164" i="1"/>
  <c r="AW497" i="1"/>
  <c r="AW529" i="1"/>
  <c r="AW3" i="1"/>
  <c r="AW522" i="1"/>
  <c r="AW187" i="1"/>
  <c r="AW467" i="1"/>
  <c r="AW505" i="1"/>
  <c r="AW521" i="1"/>
  <c r="AW95" i="1"/>
  <c r="AW26" i="1"/>
  <c r="AF187" i="1"/>
  <c r="AF164" i="1"/>
  <c r="AF141" i="1"/>
  <c r="AF118" i="1"/>
  <c r="AF95" i="1"/>
  <c r="AF72" i="1"/>
  <c r="AF49" i="1"/>
  <c r="AF26" i="1"/>
  <c r="AF3" i="1"/>
  <c r="B374" i="3"/>
  <c r="O538" i="1"/>
  <c r="N537" i="1"/>
  <c r="B370" i="3"/>
  <c r="O530" i="1"/>
  <c r="N529" i="1"/>
  <c r="O521" i="1"/>
  <c r="B365" i="3" s="1"/>
  <c r="B366" i="3"/>
  <c r="N521" i="1"/>
  <c r="O505" i="1"/>
  <c r="B355" i="3" s="1"/>
  <c r="O506" i="1"/>
  <c r="B356" i="3" s="1"/>
  <c r="O513" i="1"/>
  <c r="B360" i="3" s="1"/>
  <c r="O514" i="1"/>
  <c r="B361" i="3" s="1"/>
  <c r="N513" i="1"/>
  <c r="N505" i="1"/>
  <c r="O497" i="1"/>
  <c r="B349" i="3" s="1"/>
  <c r="O498" i="1"/>
  <c r="B350" i="3" s="1"/>
  <c r="N497" i="1"/>
  <c r="O489" i="1"/>
  <c r="B343" i="3" s="1"/>
  <c r="O490" i="1"/>
  <c r="B344" i="3" s="1"/>
  <c r="N489" i="1"/>
  <c r="O481" i="1"/>
  <c r="B337" i="3" s="1"/>
  <c r="O482" i="1"/>
  <c r="B338" i="3" s="1"/>
  <c r="N481" i="1"/>
  <c r="O467" i="1"/>
  <c r="B327" i="3" s="1"/>
  <c r="O468" i="1"/>
  <c r="B328" i="3" s="1"/>
  <c r="N467" i="1"/>
  <c r="O456" i="1" l="1"/>
  <c r="B26" i="2" s="1"/>
  <c r="O457" i="1"/>
  <c r="B27" i="2" s="1"/>
  <c r="N456" i="1"/>
  <c r="O448" i="1"/>
  <c r="B319" i="3" s="1"/>
  <c r="O449" i="1"/>
  <c r="B320" i="3" s="1"/>
  <c r="N448" i="1"/>
  <c r="O437" i="1"/>
  <c r="B310" i="3" s="1"/>
  <c r="O438" i="1"/>
  <c r="B311" i="3" s="1"/>
  <c r="N437" i="1"/>
  <c r="O405" i="1"/>
  <c r="B302" i="3" s="1"/>
  <c r="O344" i="1"/>
  <c r="B270" i="3" s="1"/>
  <c r="O345" i="1"/>
  <c r="B271" i="3" s="1"/>
  <c r="N344" i="1"/>
  <c r="O328" i="1"/>
  <c r="B258" i="3" s="1"/>
  <c r="O329" i="1"/>
  <c r="B259" i="3" s="1"/>
  <c r="N328" i="1"/>
  <c r="O187" i="1"/>
  <c r="B148" i="3" s="1"/>
  <c r="O188" i="1"/>
  <c r="B149" i="3" s="1"/>
  <c r="N187" i="1"/>
  <c r="O164" i="1"/>
  <c r="O165" i="1"/>
  <c r="B129" i="3" s="1"/>
  <c r="N164" i="1"/>
  <c r="O141" i="1"/>
  <c r="B108" i="3" s="1"/>
  <c r="O142" i="1"/>
  <c r="B109" i="3" s="1"/>
  <c r="N141" i="1"/>
  <c r="O118" i="1"/>
  <c r="B88" i="3" s="1"/>
  <c r="O119" i="1"/>
  <c r="B89" i="3" s="1"/>
  <c r="N118" i="1"/>
  <c r="O95" i="1"/>
  <c r="B68" i="3" s="1"/>
  <c r="O96" i="1"/>
  <c r="B69" i="3" s="1"/>
  <c r="N95" i="1"/>
  <c r="B128" i="3" l="1"/>
  <c r="O72" i="1"/>
  <c r="B48" i="3" s="1"/>
  <c r="O73" i="1"/>
  <c r="B49" i="3" s="1"/>
  <c r="N72" i="1"/>
  <c r="O49" i="1"/>
  <c r="B25" i="3" s="1"/>
  <c r="O50" i="1"/>
  <c r="B26" i="3" s="1"/>
  <c r="N49" i="1"/>
  <c r="O26" i="1" l="1"/>
  <c r="B2" i="3" s="1"/>
  <c r="S2" i="3" s="1"/>
  <c r="N26" i="1"/>
  <c r="O27" i="1"/>
  <c r="B3" i="3" s="1"/>
  <c r="S3" i="3" s="1"/>
  <c r="N3" i="1"/>
  <c r="O3" i="1"/>
  <c r="B2" i="2" s="1"/>
  <c r="S2" i="2" s="1"/>
  <c r="O4" i="1"/>
  <c r="B3" i="2" s="1"/>
  <c r="S3" i="2" s="1"/>
  <c r="O5" i="1"/>
  <c r="B4" i="2" s="1"/>
  <c r="AF557" i="1"/>
  <c r="O557" i="1"/>
  <c r="N557" i="1"/>
  <c r="AF556" i="1"/>
  <c r="O556" i="1"/>
  <c r="N556" i="1"/>
  <c r="AF555" i="1"/>
  <c r="O555" i="1"/>
  <c r="N555" i="1"/>
  <c r="AF554" i="1"/>
  <c r="N554" i="1"/>
  <c r="AF549" i="1"/>
  <c r="O549" i="1"/>
  <c r="N549" i="1"/>
  <c r="AF548" i="1"/>
  <c r="O548" i="1"/>
  <c r="N548" i="1"/>
  <c r="AF547" i="1"/>
  <c r="O547" i="1"/>
  <c r="N547" i="1"/>
  <c r="AF546" i="1"/>
  <c r="N546" i="1"/>
  <c r="AF541" i="1"/>
  <c r="O541" i="1"/>
  <c r="N541" i="1"/>
  <c r="AF540" i="1"/>
  <c r="O540" i="1"/>
  <c r="N540" i="1"/>
  <c r="AF539" i="1"/>
  <c r="O539" i="1"/>
  <c r="N539" i="1"/>
  <c r="AF538" i="1"/>
  <c r="N538" i="1"/>
  <c r="AF533" i="1"/>
  <c r="O533" i="1"/>
  <c r="N533" i="1"/>
  <c r="AF532" i="1"/>
  <c r="O532" i="1"/>
  <c r="N532" i="1"/>
  <c r="AF531" i="1"/>
  <c r="O531" i="1"/>
  <c r="N531" i="1"/>
  <c r="AF530" i="1"/>
  <c r="N530" i="1"/>
  <c r="AF525" i="1"/>
  <c r="O525" i="1"/>
  <c r="N525" i="1"/>
  <c r="AF524" i="1"/>
  <c r="O524" i="1"/>
  <c r="N524" i="1"/>
  <c r="AF523" i="1"/>
  <c r="O523" i="1"/>
  <c r="N523" i="1"/>
  <c r="AF522" i="1"/>
  <c r="N522" i="1"/>
  <c r="AF517" i="1"/>
  <c r="O517" i="1"/>
  <c r="N517" i="1"/>
  <c r="AF516" i="1"/>
  <c r="O516" i="1"/>
  <c r="N516" i="1"/>
  <c r="AF515" i="1"/>
  <c r="O515" i="1"/>
  <c r="N515" i="1"/>
  <c r="AP514" i="1"/>
  <c r="AO514" i="1"/>
  <c r="AN514" i="1"/>
  <c r="AM514" i="1"/>
  <c r="AL514" i="1"/>
  <c r="N514" i="1"/>
  <c r="AF509" i="1"/>
  <c r="O509" i="1"/>
  <c r="N509" i="1"/>
  <c r="AF508" i="1"/>
  <c r="O508" i="1"/>
  <c r="N508" i="1"/>
  <c r="AF507" i="1"/>
  <c r="O507" i="1"/>
  <c r="N507" i="1"/>
  <c r="AP506" i="1"/>
  <c r="AO506" i="1"/>
  <c r="AN506" i="1"/>
  <c r="AM506" i="1"/>
  <c r="AL506" i="1"/>
  <c r="AK506" i="1"/>
  <c r="N506" i="1"/>
  <c r="N501" i="1"/>
  <c r="O501" i="1"/>
  <c r="AF501" i="1"/>
  <c r="W3" i="2" l="1"/>
  <c r="S27" i="2"/>
  <c r="S26" i="2"/>
  <c r="T2" i="2"/>
  <c r="W2" i="2"/>
  <c r="AW514" i="1"/>
  <c r="AW506" i="1"/>
  <c r="W3" i="3"/>
  <c r="S26" i="3"/>
  <c r="T2" i="3"/>
  <c r="W2" i="3"/>
  <c r="S25" i="3"/>
  <c r="AF281" i="1"/>
  <c r="AF319" i="1"/>
  <c r="X2" i="3" l="1"/>
  <c r="Y2" i="3" s="1"/>
  <c r="W26" i="2"/>
  <c r="U26" i="2"/>
  <c r="V26" i="2" s="1"/>
  <c r="T26" i="2"/>
  <c r="W27" i="2"/>
  <c r="U27" i="2"/>
  <c r="U25" i="3"/>
  <c r="W25" i="3"/>
  <c r="T25" i="3"/>
  <c r="U26" i="3"/>
  <c r="W26" i="3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X25" i="3" l="1"/>
  <c r="Y25" i="3" s="1"/>
  <c r="X26" i="2"/>
  <c r="Y26" i="2" s="1"/>
  <c r="V25" i="3"/>
  <c r="AQ336" i="1"/>
  <c r="AV462" i="1" l="1"/>
  <c r="AW462" i="1" s="1"/>
  <c r="AL461" i="1"/>
  <c r="AM461" i="1"/>
  <c r="AN461" i="1"/>
  <c r="AO461" i="1"/>
  <c r="AP461" i="1"/>
  <c r="AQ461" i="1"/>
  <c r="AR461" i="1"/>
  <c r="AS461" i="1"/>
  <c r="AT461" i="1"/>
  <c r="AU461" i="1"/>
  <c r="AK461" i="1"/>
  <c r="AF461" i="1"/>
  <c r="AF498" i="1" l="1"/>
  <c r="AF499" i="1"/>
  <c r="AF490" i="1"/>
  <c r="AF491" i="1"/>
  <c r="AF482" i="1" l="1"/>
  <c r="AF483" i="1"/>
  <c r="AF468" i="1"/>
  <c r="AF469" i="1"/>
  <c r="AF457" i="1"/>
  <c r="AF458" i="1"/>
  <c r="AF449" i="1"/>
  <c r="AF450" i="1"/>
  <c r="AF438" i="1"/>
  <c r="AF439" i="1"/>
  <c r="AF405" i="1"/>
  <c r="AF406" i="1"/>
  <c r="AF392" i="1"/>
  <c r="AF393" i="1"/>
  <c r="AF361" i="1"/>
  <c r="AF345" i="1"/>
  <c r="AF346" i="1"/>
  <c r="AF329" i="1"/>
  <c r="AF330" i="1"/>
  <c r="AF312" i="1"/>
  <c r="AF292" i="1"/>
  <c r="AF272" i="1"/>
  <c r="AF252" i="1"/>
  <c r="AL499" i="1" l="1"/>
  <c r="AM499" i="1"/>
  <c r="AN499" i="1"/>
  <c r="AO499" i="1"/>
  <c r="AP499" i="1"/>
  <c r="AQ499" i="1"/>
  <c r="AR499" i="1"/>
  <c r="AS499" i="1"/>
  <c r="AT499" i="1"/>
  <c r="AU499" i="1"/>
  <c r="AV499" i="1"/>
  <c r="AK499" i="1"/>
  <c r="AL498" i="1"/>
  <c r="AM498" i="1"/>
  <c r="AN498" i="1"/>
  <c r="AO498" i="1"/>
  <c r="AP498" i="1"/>
  <c r="AK498" i="1"/>
  <c r="AL491" i="1"/>
  <c r="AM491" i="1"/>
  <c r="AN491" i="1"/>
  <c r="AO491" i="1"/>
  <c r="AP491" i="1"/>
  <c r="AQ491" i="1"/>
  <c r="AR491" i="1"/>
  <c r="AS491" i="1"/>
  <c r="AT491" i="1"/>
  <c r="AU491" i="1"/>
  <c r="AV491" i="1"/>
  <c r="AK491" i="1"/>
  <c r="AL490" i="1"/>
  <c r="AM490" i="1"/>
  <c r="AN490" i="1"/>
  <c r="AO490" i="1"/>
  <c r="AP490" i="1"/>
  <c r="AK490" i="1"/>
  <c r="AL483" i="1"/>
  <c r="AM483" i="1"/>
  <c r="AN483" i="1"/>
  <c r="AO483" i="1"/>
  <c r="AP483" i="1"/>
  <c r="AQ483" i="1"/>
  <c r="AR483" i="1"/>
  <c r="AS483" i="1"/>
  <c r="AT483" i="1"/>
  <c r="AU483" i="1"/>
  <c r="AV483" i="1"/>
  <c r="AL482" i="1"/>
  <c r="AM482" i="1"/>
  <c r="AN482" i="1"/>
  <c r="AO482" i="1"/>
  <c r="AP482" i="1"/>
  <c r="AK483" i="1"/>
  <c r="AK482" i="1"/>
  <c r="AW491" i="1" l="1"/>
  <c r="AW482" i="1"/>
  <c r="AW490" i="1"/>
  <c r="AW493" i="1" s="1"/>
  <c r="AW499" i="1"/>
  <c r="AW483" i="1"/>
  <c r="AW498" i="1"/>
  <c r="AW501" i="1" s="1"/>
  <c r="AL468" i="1"/>
  <c r="AM468" i="1"/>
  <c r="AN468" i="1"/>
  <c r="AO468" i="1"/>
  <c r="AP468" i="1"/>
  <c r="AK468" i="1"/>
  <c r="AL469" i="1"/>
  <c r="AM469" i="1"/>
  <c r="AN469" i="1"/>
  <c r="AO469" i="1"/>
  <c r="AP469" i="1"/>
  <c r="AQ469" i="1"/>
  <c r="AR469" i="1"/>
  <c r="AS469" i="1"/>
  <c r="AT469" i="1"/>
  <c r="AU469" i="1"/>
  <c r="AV469" i="1"/>
  <c r="AK469" i="1"/>
  <c r="AQ470" i="1"/>
  <c r="AR470" i="1"/>
  <c r="AS470" i="1"/>
  <c r="AT470" i="1"/>
  <c r="AU470" i="1"/>
  <c r="AV470" i="1"/>
  <c r="AL457" i="1"/>
  <c r="AM457" i="1"/>
  <c r="AN457" i="1"/>
  <c r="AO457" i="1"/>
  <c r="AP457" i="1"/>
  <c r="AK457" i="1"/>
  <c r="AL458" i="1"/>
  <c r="AM458" i="1"/>
  <c r="AN458" i="1"/>
  <c r="AO458" i="1"/>
  <c r="AP458" i="1"/>
  <c r="AQ458" i="1"/>
  <c r="AR458" i="1"/>
  <c r="AS458" i="1"/>
  <c r="AT458" i="1"/>
  <c r="AU458" i="1"/>
  <c r="AV458" i="1"/>
  <c r="AK458" i="1"/>
  <c r="AQ459" i="1"/>
  <c r="AR459" i="1"/>
  <c r="AS459" i="1"/>
  <c r="AT459" i="1"/>
  <c r="AU459" i="1"/>
  <c r="AV459" i="1"/>
  <c r="AL449" i="1"/>
  <c r="AM449" i="1"/>
  <c r="AN449" i="1"/>
  <c r="AO449" i="1"/>
  <c r="AP449" i="1"/>
  <c r="AK449" i="1"/>
  <c r="AL450" i="1"/>
  <c r="AM450" i="1"/>
  <c r="AN450" i="1"/>
  <c r="AO450" i="1"/>
  <c r="AP450" i="1"/>
  <c r="AQ450" i="1"/>
  <c r="AR450" i="1"/>
  <c r="AS450" i="1"/>
  <c r="AT450" i="1"/>
  <c r="AU450" i="1"/>
  <c r="AV450" i="1"/>
  <c r="AK450" i="1"/>
  <c r="AQ451" i="1"/>
  <c r="AR451" i="1"/>
  <c r="AS451" i="1"/>
  <c r="AT451" i="1"/>
  <c r="AU451" i="1"/>
  <c r="AV451" i="1"/>
  <c r="AL438" i="1"/>
  <c r="AM438" i="1"/>
  <c r="AN438" i="1"/>
  <c r="AO438" i="1"/>
  <c r="AP438" i="1"/>
  <c r="AK438" i="1"/>
  <c r="AL439" i="1"/>
  <c r="AM439" i="1"/>
  <c r="AN439" i="1"/>
  <c r="AO439" i="1"/>
  <c r="AP439" i="1"/>
  <c r="AQ439" i="1"/>
  <c r="AR439" i="1"/>
  <c r="AS439" i="1"/>
  <c r="AT439" i="1"/>
  <c r="AU439" i="1"/>
  <c r="AV439" i="1"/>
  <c r="AK439" i="1"/>
  <c r="AQ440" i="1"/>
  <c r="AR440" i="1"/>
  <c r="AS440" i="1"/>
  <c r="AT440" i="1"/>
  <c r="AU440" i="1"/>
  <c r="AV440" i="1"/>
  <c r="AP405" i="1"/>
  <c r="AL405" i="1"/>
  <c r="AM405" i="1"/>
  <c r="AN405" i="1"/>
  <c r="AO405" i="1"/>
  <c r="AL406" i="1"/>
  <c r="AM406" i="1"/>
  <c r="AN406" i="1"/>
  <c r="AO406" i="1"/>
  <c r="AP406" i="1"/>
  <c r="AQ406" i="1"/>
  <c r="AR406" i="1"/>
  <c r="AS406" i="1"/>
  <c r="AT406" i="1"/>
  <c r="AU406" i="1"/>
  <c r="AV406" i="1"/>
  <c r="AK406" i="1"/>
  <c r="AQ407" i="1"/>
  <c r="AR407" i="1"/>
  <c r="AS407" i="1"/>
  <c r="AT407" i="1"/>
  <c r="AU407" i="1"/>
  <c r="AV407" i="1"/>
  <c r="AL392" i="1"/>
  <c r="AM392" i="1"/>
  <c r="AN392" i="1"/>
  <c r="AO392" i="1"/>
  <c r="AP392" i="1"/>
  <c r="AK392" i="1"/>
  <c r="AL393" i="1"/>
  <c r="AM393" i="1"/>
  <c r="AN393" i="1"/>
  <c r="AO393" i="1"/>
  <c r="AP393" i="1"/>
  <c r="AQ393" i="1"/>
  <c r="AR393" i="1"/>
  <c r="AS393" i="1"/>
  <c r="AT393" i="1"/>
  <c r="AU393" i="1"/>
  <c r="AV393" i="1"/>
  <c r="AK393" i="1"/>
  <c r="AQ394" i="1"/>
  <c r="AR394" i="1"/>
  <c r="AS394" i="1"/>
  <c r="AT394" i="1"/>
  <c r="AU394" i="1"/>
  <c r="AV394" i="1"/>
  <c r="AQ362" i="1"/>
  <c r="AR362" i="1"/>
  <c r="AS362" i="1"/>
  <c r="AT362" i="1"/>
  <c r="AU362" i="1"/>
  <c r="AV362" i="1"/>
  <c r="AL345" i="1"/>
  <c r="AM345" i="1"/>
  <c r="AN345" i="1"/>
  <c r="AO345" i="1"/>
  <c r="AP345" i="1"/>
  <c r="AK345" i="1"/>
  <c r="AL346" i="1"/>
  <c r="AM346" i="1"/>
  <c r="AN346" i="1"/>
  <c r="AO346" i="1"/>
  <c r="AP346" i="1"/>
  <c r="AQ346" i="1"/>
  <c r="AR346" i="1"/>
  <c r="AS346" i="1"/>
  <c r="AT346" i="1"/>
  <c r="AU346" i="1"/>
  <c r="AV346" i="1"/>
  <c r="AQ347" i="1"/>
  <c r="AR347" i="1"/>
  <c r="AS347" i="1"/>
  <c r="AT347" i="1"/>
  <c r="AU347" i="1"/>
  <c r="AV347" i="1"/>
  <c r="AK346" i="1"/>
  <c r="AL329" i="1"/>
  <c r="AM329" i="1"/>
  <c r="AN329" i="1"/>
  <c r="AO329" i="1"/>
  <c r="AP329" i="1"/>
  <c r="AK329" i="1"/>
  <c r="AQ331" i="1"/>
  <c r="AR331" i="1"/>
  <c r="AS331" i="1"/>
  <c r="AT331" i="1"/>
  <c r="AU331" i="1"/>
  <c r="AV331" i="1"/>
  <c r="AL330" i="1"/>
  <c r="AM330" i="1"/>
  <c r="AN330" i="1"/>
  <c r="AO330" i="1"/>
  <c r="AP330" i="1"/>
  <c r="AQ330" i="1"/>
  <c r="AR330" i="1"/>
  <c r="AS330" i="1"/>
  <c r="AT330" i="1"/>
  <c r="AU330" i="1"/>
  <c r="AV330" i="1"/>
  <c r="AK330" i="1"/>
  <c r="AQ313" i="1"/>
  <c r="AR313" i="1"/>
  <c r="AS313" i="1"/>
  <c r="AT313" i="1"/>
  <c r="AU313" i="1"/>
  <c r="AV313" i="1"/>
  <c r="AS293" i="1"/>
  <c r="AT293" i="1"/>
  <c r="AU293" i="1"/>
  <c r="AV293" i="1"/>
  <c r="AQ293" i="1"/>
  <c r="AR293" i="1"/>
  <c r="AQ273" i="1"/>
  <c r="AR273" i="1"/>
  <c r="AS273" i="1"/>
  <c r="AT273" i="1"/>
  <c r="AU273" i="1"/>
  <c r="AV273" i="1"/>
  <c r="AQ253" i="1"/>
  <c r="AR253" i="1"/>
  <c r="AS253" i="1"/>
  <c r="AT253" i="1"/>
  <c r="AU253" i="1"/>
  <c r="AV253" i="1"/>
  <c r="AQ233" i="1"/>
  <c r="AR233" i="1"/>
  <c r="AS233" i="1"/>
  <c r="AT233" i="1"/>
  <c r="AU233" i="1"/>
  <c r="AV233" i="1"/>
  <c r="AQ213" i="1"/>
  <c r="AR213" i="1"/>
  <c r="AS213" i="1"/>
  <c r="AT213" i="1"/>
  <c r="AU213" i="1"/>
  <c r="AV213" i="1"/>
  <c r="AL188" i="1"/>
  <c r="AM188" i="1"/>
  <c r="AN188" i="1"/>
  <c r="AO188" i="1"/>
  <c r="AP188" i="1"/>
  <c r="AK188" i="1"/>
  <c r="AL189" i="1"/>
  <c r="AM189" i="1"/>
  <c r="AN189" i="1"/>
  <c r="AO189" i="1"/>
  <c r="AP189" i="1"/>
  <c r="AQ189" i="1"/>
  <c r="AR189" i="1"/>
  <c r="AS189" i="1"/>
  <c r="AT189" i="1"/>
  <c r="AU189" i="1"/>
  <c r="AV189" i="1"/>
  <c r="AK189" i="1"/>
  <c r="AQ190" i="1"/>
  <c r="AR190" i="1"/>
  <c r="AS190" i="1"/>
  <c r="AT190" i="1"/>
  <c r="AU190" i="1"/>
  <c r="AV190" i="1"/>
  <c r="AL165" i="1"/>
  <c r="AM165" i="1"/>
  <c r="AN165" i="1"/>
  <c r="AO165" i="1"/>
  <c r="AP165" i="1"/>
  <c r="AK165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Q167" i="1"/>
  <c r="AR167" i="1"/>
  <c r="AS167" i="1"/>
  <c r="AT167" i="1"/>
  <c r="AU167" i="1"/>
  <c r="AV167" i="1"/>
  <c r="AL142" i="1"/>
  <c r="AM142" i="1"/>
  <c r="AN142" i="1"/>
  <c r="AO142" i="1"/>
  <c r="AP142" i="1"/>
  <c r="AK142" i="1"/>
  <c r="AL143" i="1"/>
  <c r="AM143" i="1"/>
  <c r="AN143" i="1"/>
  <c r="AO143" i="1"/>
  <c r="AP143" i="1"/>
  <c r="AQ143" i="1"/>
  <c r="AR143" i="1"/>
  <c r="AS143" i="1"/>
  <c r="AT143" i="1"/>
  <c r="AU143" i="1"/>
  <c r="AV143" i="1"/>
  <c r="AK143" i="1"/>
  <c r="AQ144" i="1"/>
  <c r="AR144" i="1"/>
  <c r="AS144" i="1"/>
  <c r="AT144" i="1"/>
  <c r="AU144" i="1"/>
  <c r="AV144" i="1"/>
  <c r="AL119" i="1"/>
  <c r="AM119" i="1"/>
  <c r="AN119" i="1"/>
  <c r="AO119" i="1"/>
  <c r="AP119" i="1"/>
  <c r="AK119" i="1"/>
  <c r="AL120" i="1"/>
  <c r="AM120" i="1"/>
  <c r="AN120" i="1"/>
  <c r="AO120" i="1"/>
  <c r="AP120" i="1"/>
  <c r="AQ120" i="1"/>
  <c r="AR120" i="1"/>
  <c r="AS120" i="1"/>
  <c r="AT120" i="1"/>
  <c r="AU120" i="1"/>
  <c r="AV120" i="1"/>
  <c r="AK120" i="1"/>
  <c r="AQ121" i="1"/>
  <c r="AR121" i="1"/>
  <c r="AS121" i="1"/>
  <c r="AT121" i="1"/>
  <c r="AU121" i="1"/>
  <c r="AV121" i="1"/>
  <c r="AL96" i="1"/>
  <c r="AM96" i="1"/>
  <c r="AN96" i="1"/>
  <c r="AO96" i="1"/>
  <c r="AP96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Q98" i="1"/>
  <c r="AR98" i="1"/>
  <c r="AS98" i="1"/>
  <c r="AT98" i="1"/>
  <c r="AU98" i="1"/>
  <c r="AV98" i="1"/>
  <c r="AL73" i="1"/>
  <c r="AM73" i="1"/>
  <c r="AN73" i="1"/>
  <c r="AO73" i="1"/>
  <c r="AP73" i="1"/>
  <c r="AK73" i="1"/>
  <c r="AL74" i="1"/>
  <c r="AM74" i="1"/>
  <c r="AN74" i="1"/>
  <c r="AO74" i="1"/>
  <c r="AP74" i="1"/>
  <c r="AQ74" i="1"/>
  <c r="AR74" i="1"/>
  <c r="AS74" i="1"/>
  <c r="AT74" i="1"/>
  <c r="AU74" i="1"/>
  <c r="AV74" i="1"/>
  <c r="AK74" i="1"/>
  <c r="AQ75" i="1"/>
  <c r="AR75" i="1"/>
  <c r="AS75" i="1"/>
  <c r="AT75" i="1"/>
  <c r="AU75" i="1"/>
  <c r="AV75" i="1"/>
  <c r="AL50" i="1"/>
  <c r="AM50" i="1"/>
  <c r="AN50" i="1"/>
  <c r="AO50" i="1"/>
  <c r="AP50" i="1"/>
  <c r="AK50" i="1"/>
  <c r="AL51" i="1"/>
  <c r="AM51" i="1"/>
  <c r="AN51" i="1"/>
  <c r="AO51" i="1"/>
  <c r="AP51" i="1"/>
  <c r="AQ51" i="1"/>
  <c r="AR51" i="1"/>
  <c r="AS51" i="1"/>
  <c r="AT51" i="1"/>
  <c r="AU51" i="1"/>
  <c r="AV51" i="1"/>
  <c r="AK51" i="1"/>
  <c r="AQ52" i="1"/>
  <c r="AR52" i="1"/>
  <c r="AS52" i="1"/>
  <c r="AT52" i="1"/>
  <c r="AU52" i="1"/>
  <c r="AV52" i="1"/>
  <c r="AL27" i="1"/>
  <c r="AM27" i="1"/>
  <c r="AN27" i="1"/>
  <c r="AO27" i="1"/>
  <c r="AP27" i="1"/>
  <c r="AK27" i="1"/>
  <c r="AL28" i="1"/>
  <c r="AM28" i="1"/>
  <c r="AN28" i="1"/>
  <c r="AO28" i="1"/>
  <c r="AP28" i="1"/>
  <c r="AQ28" i="1"/>
  <c r="AR28" i="1"/>
  <c r="AS28" i="1"/>
  <c r="AT28" i="1"/>
  <c r="AU28" i="1"/>
  <c r="AV28" i="1"/>
  <c r="AK28" i="1"/>
  <c r="AQ29" i="1"/>
  <c r="AR29" i="1"/>
  <c r="AS29" i="1"/>
  <c r="AT29" i="1"/>
  <c r="AU29" i="1"/>
  <c r="AV29" i="1"/>
  <c r="AL4" i="1"/>
  <c r="AM4" i="1"/>
  <c r="AN4" i="1"/>
  <c r="AO4" i="1"/>
  <c r="AP4" i="1"/>
  <c r="AK4" i="1"/>
  <c r="AL5" i="1"/>
  <c r="AM5" i="1"/>
  <c r="AN5" i="1"/>
  <c r="AO5" i="1"/>
  <c r="AP5" i="1"/>
  <c r="AQ5" i="1"/>
  <c r="AR5" i="1"/>
  <c r="AS5" i="1"/>
  <c r="AT5" i="1"/>
  <c r="AU5" i="1"/>
  <c r="AV5" i="1"/>
  <c r="AK5" i="1"/>
  <c r="AQ6" i="1"/>
  <c r="AR6" i="1"/>
  <c r="AS6" i="1"/>
  <c r="AT6" i="1"/>
  <c r="AU6" i="1"/>
  <c r="AV6" i="1"/>
  <c r="Q360" i="1"/>
  <c r="Q361" i="1"/>
  <c r="O499" i="1"/>
  <c r="B351" i="3" s="1"/>
  <c r="O500" i="1"/>
  <c r="O491" i="1"/>
  <c r="B345" i="3" s="1"/>
  <c r="O492" i="1"/>
  <c r="O483" i="1"/>
  <c r="B339" i="3" s="1"/>
  <c r="O484" i="1"/>
  <c r="O469" i="1"/>
  <c r="B329" i="3" s="1"/>
  <c r="O470" i="1"/>
  <c r="B330" i="3" s="1"/>
  <c r="O458" i="1"/>
  <c r="B28" i="2" s="1"/>
  <c r="O459" i="1"/>
  <c r="B29" i="2" s="1"/>
  <c r="O450" i="1"/>
  <c r="B321" i="3" s="1"/>
  <c r="O451" i="1"/>
  <c r="B322" i="3" s="1"/>
  <c r="O439" i="1"/>
  <c r="B312" i="3" s="1"/>
  <c r="O440" i="1"/>
  <c r="B313" i="3" s="1"/>
  <c r="O406" i="1"/>
  <c r="B303" i="3" s="1"/>
  <c r="O407" i="1"/>
  <c r="B304" i="3" s="1"/>
  <c r="O394" i="1"/>
  <c r="B295" i="3" s="1"/>
  <c r="O361" i="1"/>
  <c r="B283" i="3" s="1"/>
  <c r="O362" i="1"/>
  <c r="B284" i="3" s="1"/>
  <c r="O346" i="1"/>
  <c r="B272" i="3" s="1"/>
  <c r="O347" i="1"/>
  <c r="B273" i="3" s="1"/>
  <c r="O330" i="1"/>
  <c r="B260" i="3" s="1"/>
  <c r="O331" i="1"/>
  <c r="B261" i="3" s="1"/>
  <c r="O312" i="1"/>
  <c r="O313" i="1"/>
  <c r="B248" i="3" s="1"/>
  <c r="O292" i="1"/>
  <c r="O293" i="1"/>
  <c r="B234" i="3" s="1"/>
  <c r="O272" i="1"/>
  <c r="O273" i="1"/>
  <c r="B219" i="3" s="1"/>
  <c r="O252" i="1"/>
  <c r="B202" i="3" s="1"/>
  <c r="O253" i="1"/>
  <c r="B203" i="3" s="1"/>
  <c r="O232" i="1"/>
  <c r="O233" i="1"/>
  <c r="B187" i="3" s="1"/>
  <c r="O213" i="1"/>
  <c r="O189" i="1"/>
  <c r="B150" i="3" s="1"/>
  <c r="O190" i="1"/>
  <c r="B151" i="3" s="1"/>
  <c r="O166" i="1"/>
  <c r="O167" i="1"/>
  <c r="B131" i="3" s="1"/>
  <c r="O143" i="1"/>
  <c r="B110" i="3" s="1"/>
  <c r="O144" i="1"/>
  <c r="B111" i="3" s="1"/>
  <c r="O120" i="1"/>
  <c r="B90" i="3" s="1"/>
  <c r="O121" i="1"/>
  <c r="B91" i="3" s="1"/>
  <c r="O97" i="1"/>
  <c r="B70" i="3" s="1"/>
  <c r="O98" i="1"/>
  <c r="B71" i="3" s="1"/>
  <c r="O74" i="1"/>
  <c r="B50" i="3" s="1"/>
  <c r="O75" i="1"/>
  <c r="B51" i="3" s="1"/>
  <c r="O51" i="1"/>
  <c r="B27" i="3" s="1"/>
  <c r="O52" i="1"/>
  <c r="B28" i="3" s="1"/>
  <c r="O28" i="1"/>
  <c r="B4" i="3" s="1"/>
  <c r="O29" i="1"/>
  <c r="B5" i="3" s="1"/>
  <c r="O6" i="1"/>
  <c r="B5" i="2" s="1"/>
  <c r="N498" i="1"/>
  <c r="N499" i="1"/>
  <c r="N490" i="1"/>
  <c r="N491" i="1"/>
  <c r="N482" i="1"/>
  <c r="N483" i="1"/>
  <c r="N468" i="1"/>
  <c r="N469" i="1"/>
  <c r="N457" i="1"/>
  <c r="N458" i="1"/>
  <c r="N449" i="1"/>
  <c r="N450" i="1"/>
  <c r="N438" i="1"/>
  <c r="N439" i="1"/>
  <c r="N405" i="1"/>
  <c r="N406" i="1"/>
  <c r="N392" i="1"/>
  <c r="N393" i="1"/>
  <c r="N360" i="1"/>
  <c r="N345" i="1"/>
  <c r="N346" i="1"/>
  <c r="N329" i="1"/>
  <c r="N330" i="1"/>
  <c r="N311" i="1"/>
  <c r="N291" i="1"/>
  <c r="N271" i="1"/>
  <c r="N251" i="1"/>
  <c r="N231" i="1"/>
  <c r="N212" i="1"/>
  <c r="N188" i="1"/>
  <c r="N189" i="1"/>
  <c r="N165" i="1"/>
  <c r="N166" i="1"/>
  <c r="N142" i="1"/>
  <c r="N143" i="1"/>
  <c r="N119" i="1"/>
  <c r="N120" i="1"/>
  <c r="N96" i="1"/>
  <c r="N97" i="1"/>
  <c r="N73" i="1"/>
  <c r="N74" i="1"/>
  <c r="N50" i="1"/>
  <c r="N51" i="1"/>
  <c r="N27" i="1"/>
  <c r="N28" i="1"/>
  <c r="N4" i="1"/>
  <c r="N5" i="1"/>
  <c r="AF232" i="1"/>
  <c r="AW96" i="1" l="1"/>
  <c r="AW406" i="1"/>
  <c r="AW120" i="1"/>
  <c r="AW143" i="1"/>
  <c r="AW189" i="1"/>
  <c r="AW329" i="1"/>
  <c r="AW345" i="1"/>
  <c r="AW393" i="1"/>
  <c r="B186" i="3"/>
  <c r="B247" i="3"/>
  <c r="AW5" i="1"/>
  <c r="AW28" i="1"/>
  <c r="AW51" i="1"/>
  <c r="AW74" i="1"/>
  <c r="AW405" i="1"/>
  <c r="AW439" i="1"/>
  <c r="AW469" i="1"/>
  <c r="B130" i="3"/>
  <c r="S4" i="3" s="1"/>
  <c r="AW97" i="1"/>
  <c r="AW119" i="1"/>
  <c r="AW142" i="1"/>
  <c r="AW165" i="1"/>
  <c r="AW188" i="1"/>
  <c r="AW166" i="1"/>
  <c r="B218" i="3"/>
  <c r="AW4" i="1"/>
  <c r="AW27" i="1"/>
  <c r="AW50" i="1"/>
  <c r="AW73" i="1"/>
  <c r="AW438" i="1"/>
  <c r="AW449" i="1"/>
  <c r="AW457" i="1"/>
  <c r="AW468" i="1"/>
  <c r="AW330" i="1"/>
  <c r="AW346" i="1"/>
  <c r="AW392" i="1"/>
  <c r="B171" i="3"/>
  <c r="S5" i="3" s="1"/>
  <c r="B233" i="3"/>
  <c r="AW450" i="1"/>
  <c r="AW458" i="1"/>
  <c r="AW485" i="1"/>
  <c r="S5" i="2"/>
  <c r="AF212" i="1"/>
  <c r="AF188" i="1"/>
  <c r="AF189" i="1"/>
  <c r="AF165" i="1"/>
  <c r="AF166" i="1"/>
  <c r="AF142" i="1"/>
  <c r="AF143" i="1"/>
  <c r="AF119" i="1"/>
  <c r="AF120" i="1"/>
  <c r="AF96" i="1"/>
  <c r="AF97" i="1"/>
  <c r="AF73" i="1"/>
  <c r="AF74" i="1"/>
  <c r="AF50" i="1"/>
  <c r="AF51" i="1"/>
  <c r="AF27" i="1"/>
  <c r="AF28" i="1"/>
  <c r="AF4" i="1"/>
  <c r="AF5" i="1"/>
  <c r="AF500" i="1"/>
  <c r="N500" i="1"/>
  <c r="W4" i="3" l="1"/>
  <c r="T4" i="3"/>
  <c r="S27" i="3"/>
  <c r="T3" i="3"/>
  <c r="S20" i="3"/>
  <c r="S28" i="3"/>
  <c r="W5" i="3"/>
  <c r="S29" i="2"/>
  <c r="W29" i="2" s="1"/>
  <c r="W5" i="2"/>
  <c r="S4" i="2"/>
  <c r="AF493" i="1"/>
  <c r="O493" i="1"/>
  <c r="N493" i="1"/>
  <c r="AF492" i="1"/>
  <c r="N492" i="1"/>
  <c r="AF485" i="1"/>
  <c r="O485" i="1"/>
  <c r="N485" i="1"/>
  <c r="AF484" i="1"/>
  <c r="N484" i="1"/>
  <c r="T27" i="3" l="1"/>
  <c r="T26" i="3"/>
  <c r="X4" i="3"/>
  <c r="X3" i="3"/>
  <c r="S28" i="2"/>
  <c r="T4" i="2"/>
  <c r="W4" i="2"/>
  <c r="S21" i="2"/>
  <c r="T3" i="2"/>
  <c r="X2" i="2"/>
  <c r="Y2" i="2" s="1"/>
  <c r="U28" i="3"/>
  <c r="W28" i="3"/>
  <c r="AF234" i="1"/>
  <c r="W28" i="2" l="1"/>
  <c r="T27" i="2"/>
  <c r="Y3" i="3"/>
  <c r="U27" i="3"/>
  <c r="W27" i="3"/>
  <c r="U28" i="2"/>
  <c r="V27" i="2" s="1"/>
  <c r="T28" i="2"/>
  <c r="U29" i="2"/>
  <c r="X26" i="3" l="1"/>
  <c r="Y26" i="3" s="1"/>
  <c r="W42" i="3"/>
  <c r="V27" i="3"/>
  <c r="V26" i="3"/>
  <c r="X27" i="2"/>
  <c r="Y27" i="2" s="1"/>
  <c r="W44" i="2"/>
  <c r="X28" i="2"/>
  <c r="Y28" i="2" s="1"/>
  <c r="V28" i="2"/>
  <c r="X27" i="3"/>
  <c r="Y27" i="3" s="1"/>
  <c r="AF460" i="1"/>
  <c r="AP459" i="1" l="1"/>
  <c r="AO459" i="1"/>
  <c r="AN459" i="1"/>
  <c r="AM459" i="1"/>
  <c r="AP470" i="1" l="1"/>
  <c r="AO470" i="1"/>
  <c r="AN470" i="1"/>
  <c r="AM470" i="1"/>
  <c r="AF470" i="1"/>
  <c r="AF459" i="1"/>
  <c r="AP451" i="1"/>
  <c r="AO451" i="1"/>
  <c r="AN451" i="1"/>
  <c r="AM451" i="1"/>
  <c r="AF451" i="1"/>
  <c r="AP440" i="1"/>
  <c r="AO440" i="1"/>
  <c r="AN440" i="1"/>
  <c r="AM440" i="1"/>
  <c r="AF440" i="1"/>
  <c r="AP407" i="1"/>
  <c r="AO407" i="1"/>
  <c r="AN407" i="1"/>
  <c r="AM407" i="1"/>
  <c r="AF407" i="1"/>
  <c r="AP394" i="1"/>
  <c r="AO394" i="1"/>
  <c r="AN394" i="1"/>
  <c r="AM394" i="1"/>
  <c r="AF394" i="1"/>
  <c r="AP362" i="1"/>
  <c r="AO362" i="1"/>
  <c r="AN362" i="1"/>
  <c r="AN363" i="1"/>
  <c r="AM362" i="1"/>
  <c r="AF362" i="1"/>
  <c r="AP347" i="1"/>
  <c r="AO347" i="1"/>
  <c r="AN347" i="1"/>
  <c r="AN348" i="1"/>
  <c r="AM347" i="1"/>
  <c r="AF347" i="1"/>
  <c r="AP331" i="1"/>
  <c r="AO331" i="1"/>
  <c r="AN331" i="1"/>
  <c r="AM331" i="1"/>
  <c r="AM332" i="1"/>
  <c r="AF331" i="1"/>
  <c r="AP313" i="1"/>
  <c r="AO313" i="1"/>
  <c r="AN313" i="1"/>
  <c r="AM313" i="1"/>
  <c r="AF313" i="1"/>
  <c r="AP293" i="1"/>
  <c r="AO293" i="1"/>
  <c r="AN293" i="1"/>
  <c r="AM293" i="1"/>
  <c r="AF293" i="1"/>
  <c r="AP273" i="1"/>
  <c r="AO273" i="1"/>
  <c r="AN273" i="1"/>
  <c r="AM273" i="1"/>
  <c r="AF273" i="1"/>
  <c r="AP253" i="1"/>
  <c r="AO253" i="1"/>
  <c r="AN253" i="1"/>
  <c r="AM253" i="1"/>
  <c r="AF253" i="1"/>
  <c r="AP233" i="1"/>
  <c r="AO233" i="1"/>
  <c r="AN233" i="1"/>
  <c r="AM233" i="1"/>
  <c r="AF233" i="1"/>
  <c r="AP213" i="1"/>
  <c r="AO213" i="1"/>
  <c r="AN213" i="1"/>
  <c r="AN214" i="1"/>
  <c r="AM213" i="1"/>
  <c r="AF213" i="1"/>
  <c r="AP190" i="1"/>
  <c r="AO190" i="1"/>
  <c r="AN190" i="1"/>
  <c r="AM190" i="1"/>
  <c r="AF190" i="1"/>
  <c r="AP167" i="1"/>
  <c r="AO167" i="1"/>
  <c r="AN167" i="1"/>
  <c r="AM167" i="1"/>
  <c r="AF167" i="1"/>
  <c r="AP144" i="1"/>
  <c r="AO144" i="1"/>
  <c r="AN144" i="1"/>
  <c r="AM144" i="1"/>
  <c r="AF144" i="1"/>
  <c r="AP121" i="1"/>
  <c r="AO121" i="1"/>
  <c r="AN121" i="1"/>
  <c r="AM121" i="1"/>
  <c r="AF121" i="1"/>
  <c r="AP98" i="1"/>
  <c r="AO98" i="1"/>
  <c r="AN98" i="1"/>
  <c r="AM98" i="1"/>
  <c r="AF98" i="1"/>
  <c r="AP75" i="1"/>
  <c r="AO75" i="1"/>
  <c r="AN75" i="1"/>
  <c r="AM75" i="1"/>
  <c r="AF75" i="1"/>
  <c r="AP52" i="1"/>
  <c r="AO52" i="1"/>
  <c r="AN52" i="1"/>
  <c r="AF52" i="1"/>
  <c r="AP6" i="1"/>
  <c r="AO6" i="1"/>
  <c r="AN6" i="1"/>
  <c r="AN7" i="1"/>
  <c r="AM6" i="1"/>
  <c r="AF6" i="1"/>
  <c r="AP29" i="1"/>
  <c r="AO29" i="1"/>
  <c r="AN29" i="1"/>
  <c r="AM29" i="1"/>
  <c r="AF29" i="1"/>
  <c r="AL452" i="1" l="1"/>
  <c r="AM452" i="1"/>
  <c r="AN452" i="1"/>
  <c r="AO452" i="1"/>
  <c r="AP452" i="1"/>
  <c r="AQ452" i="1"/>
  <c r="AR452" i="1"/>
  <c r="AS452" i="1"/>
  <c r="AT452" i="1"/>
  <c r="AU452" i="1"/>
  <c r="AV452" i="1"/>
  <c r="AK452" i="1"/>
  <c r="AL451" i="1"/>
  <c r="AK451" i="1"/>
  <c r="AW451" i="1" s="1"/>
  <c r="AT442" i="1"/>
  <c r="AU442" i="1"/>
  <c r="AV442" i="1"/>
  <c r="AS442" i="1"/>
  <c r="AL441" i="1"/>
  <c r="AM441" i="1"/>
  <c r="AN441" i="1"/>
  <c r="AO441" i="1"/>
  <c r="AP441" i="1"/>
  <c r="AQ441" i="1"/>
  <c r="AR441" i="1"/>
  <c r="AS441" i="1"/>
  <c r="AT441" i="1"/>
  <c r="AU441" i="1"/>
  <c r="AV441" i="1"/>
  <c r="AK441" i="1"/>
  <c r="AL440" i="1"/>
  <c r="AK440" i="1"/>
  <c r="AW440" i="1" s="1"/>
  <c r="AF441" i="1"/>
  <c r="AV461" i="1"/>
  <c r="AW461" i="1" s="1"/>
  <c r="AL460" i="1"/>
  <c r="AM460" i="1"/>
  <c r="AN460" i="1"/>
  <c r="AO460" i="1"/>
  <c r="AP460" i="1"/>
  <c r="AQ460" i="1"/>
  <c r="AW460" i="1" s="1"/>
  <c r="AR460" i="1"/>
  <c r="AS460" i="1"/>
  <c r="AT460" i="1"/>
  <c r="AU460" i="1"/>
  <c r="AV460" i="1"/>
  <c r="AK460" i="1"/>
  <c r="AL459" i="1"/>
  <c r="AK459" i="1"/>
  <c r="AW459" i="1" s="1"/>
  <c r="AW464" i="1" s="1"/>
  <c r="AQ473" i="1"/>
  <c r="AR473" i="1"/>
  <c r="AS473" i="1"/>
  <c r="AT473" i="1"/>
  <c r="AU473" i="1"/>
  <c r="AV473" i="1"/>
  <c r="AP473" i="1"/>
  <c r="AM472" i="1"/>
  <c r="AN472" i="1"/>
  <c r="AO472" i="1"/>
  <c r="AP472" i="1"/>
  <c r="AQ472" i="1"/>
  <c r="AR472" i="1"/>
  <c r="AS472" i="1"/>
  <c r="AT472" i="1"/>
  <c r="AU472" i="1"/>
  <c r="AV472" i="1"/>
  <c r="AM471" i="1"/>
  <c r="AN471" i="1"/>
  <c r="AO471" i="1"/>
  <c r="AP471" i="1"/>
  <c r="AQ471" i="1"/>
  <c r="AR471" i="1"/>
  <c r="AS471" i="1"/>
  <c r="AT471" i="1"/>
  <c r="AU471" i="1"/>
  <c r="AV471" i="1"/>
  <c r="AL471" i="1"/>
  <c r="AL472" i="1"/>
  <c r="AK471" i="1"/>
  <c r="AK472" i="1"/>
  <c r="AL470" i="1"/>
  <c r="AK470" i="1"/>
  <c r="AF472" i="1"/>
  <c r="AF471" i="1"/>
  <c r="AP409" i="1"/>
  <c r="AQ409" i="1"/>
  <c r="AR409" i="1"/>
  <c r="AS409" i="1"/>
  <c r="AT409" i="1"/>
  <c r="AU409" i="1"/>
  <c r="AV409" i="1"/>
  <c r="AO409" i="1"/>
  <c r="AQ408" i="1"/>
  <c r="AR408" i="1"/>
  <c r="AS408" i="1"/>
  <c r="AT408" i="1"/>
  <c r="AU408" i="1"/>
  <c r="AV408" i="1"/>
  <c r="AM408" i="1"/>
  <c r="AN408" i="1"/>
  <c r="AO408" i="1"/>
  <c r="AP408" i="1"/>
  <c r="AL408" i="1"/>
  <c r="AL407" i="1"/>
  <c r="AK408" i="1"/>
  <c r="AK407" i="1"/>
  <c r="AF409" i="1"/>
  <c r="AF410" i="1"/>
  <c r="AF411" i="1"/>
  <c r="AF408" i="1"/>
  <c r="AR396" i="1"/>
  <c r="AS396" i="1"/>
  <c r="AT396" i="1"/>
  <c r="AU396" i="1"/>
  <c r="AV396" i="1"/>
  <c r="AQ396" i="1"/>
  <c r="AQ395" i="1"/>
  <c r="AR395" i="1"/>
  <c r="AS395" i="1"/>
  <c r="AT395" i="1"/>
  <c r="AU395" i="1"/>
  <c r="AV395" i="1"/>
  <c r="AP396" i="1"/>
  <c r="AO396" i="1"/>
  <c r="AN396" i="1"/>
  <c r="AM396" i="1"/>
  <c r="AM395" i="1"/>
  <c r="AN395" i="1"/>
  <c r="AO395" i="1"/>
  <c r="AP395" i="1"/>
  <c r="AL395" i="1"/>
  <c r="AL396" i="1"/>
  <c r="AL394" i="1"/>
  <c r="AK395" i="1"/>
  <c r="AK396" i="1"/>
  <c r="AK394" i="1"/>
  <c r="AW394" i="1" s="1"/>
  <c r="AF395" i="1"/>
  <c r="AF396" i="1"/>
  <c r="AF397" i="1"/>
  <c r="AV7" i="1"/>
  <c r="AV8" i="1"/>
  <c r="AU7" i="1"/>
  <c r="AU8" i="1"/>
  <c r="AU9" i="1"/>
  <c r="AT7" i="1"/>
  <c r="AT8" i="1"/>
  <c r="AT9" i="1"/>
  <c r="AS7" i="1"/>
  <c r="AS8" i="1"/>
  <c r="AS9" i="1"/>
  <c r="AR7" i="1"/>
  <c r="AR8" i="1"/>
  <c r="AR9" i="1"/>
  <c r="AQ7" i="1"/>
  <c r="AQ8" i="1"/>
  <c r="AQ9" i="1"/>
  <c r="AP7" i="1"/>
  <c r="AP8" i="1"/>
  <c r="AO7" i="1"/>
  <c r="AO8" i="1"/>
  <c r="AN8" i="1"/>
  <c r="AM7" i="1"/>
  <c r="AM8" i="1"/>
  <c r="AL6" i="1"/>
  <c r="AL7" i="1"/>
  <c r="AL8" i="1"/>
  <c r="AK6" i="1"/>
  <c r="AW6" i="1" s="1"/>
  <c r="AK7" i="1"/>
  <c r="AK8" i="1"/>
  <c r="AW8" i="1" s="1"/>
  <c r="AF7" i="1"/>
  <c r="AF8" i="1"/>
  <c r="AF377" i="1"/>
  <c r="AF378" i="1"/>
  <c r="AF379" i="1"/>
  <c r="AF380" i="1"/>
  <c r="AF381" i="1"/>
  <c r="AF382" i="1"/>
  <c r="AF383" i="1"/>
  <c r="Z385" i="1"/>
  <c r="AV363" i="1"/>
  <c r="AV364" i="1"/>
  <c r="AV365" i="1"/>
  <c r="AU363" i="1"/>
  <c r="AU364" i="1"/>
  <c r="AU365" i="1"/>
  <c r="AT363" i="1"/>
  <c r="AT364" i="1"/>
  <c r="AT365" i="1"/>
  <c r="AS363" i="1"/>
  <c r="AS364" i="1"/>
  <c r="AS365" i="1"/>
  <c r="AR363" i="1"/>
  <c r="AR364" i="1"/>
  <c r="AR365" i="1"/>
  <c r="AQ363" i="1"/>
  <c r="AQ364" i="1"/>
  <c r="AQ365" i="1"/>
  <c r="AP363" i="1"/>
  <c r="AP364" i="1"/>
  <c r="AO363" i="1"/>
  <c r="AO364" i="1"/>
  <c r="AN364" i="1"/>
  <c r="AM363" i="1"/>
  <c r="AM364" i="1"/>
  <c r="AL362" i="1"/>
  <c r="AL363" i="1"/>
  <c r="AL364" i="1"/>
  <c r="AK362" i="1"/>
  <c r="AW362" i="1" s="1"/>
  <c r="AK363" i="1"/>
  <c r="AW363" i="1" s="1"/>
  <c r="AK364" i="1"/>
  <c r="AF363" i="1"/>
  <c r="AF364" i="1"/>
  <c r="AV348" i="1"/>
  <c r="AV349" i="1"/>
  <c r="AV350" i="1"/>
  <c r="AU348" i="1"/>
  <c r="AU349" i="1"/>
  <c r="AU350" i="1"/>
  <c r="AT348" i="1"/>
  <c r="AT349" i="1"/>
  <c r="AT350" i="1"/>
  <c r="AS348" i="1"/>
  <c r="AS349" i="1"/>
  <c r="AS350" i="1"/>
  <c r="AR348" i="1"/>
  <c r="AR349" i="1"/>
  <c r="AR350" i="1"/>
  <c r="AQ348" i="1"/>
  <c r="AQ349" i="1"/>
  <c r="AQ350" i="1"/>
  <c r="AP348" i="1"/>
  <c r="AP349" i="1"/>
  <c r="AO348" i="1"/>
  <c r="AO349" i="1"/>
  <c r="AN349" i="1"/>
  <c r="AM348" i="1"/>
  <c r="AM349" i="1"/>
  <c r="AL347" i="1"/>
  <c r="AL348" i="1"/>
  <c r="AL349" i="1"/>
  <c r="AK347" i="1"/>
  <c r="AW347" i="1" s="1"/>
  <c r="AK348" i="1"/>
  <c r="AK349" i="1"/>
  <c r="AF348" i="1"/>
  <c r="AF349" i="1"/>
  <c r="AV332" i="1"/>
  <c r="AV333" i="1"/>
  <c r="AV334" i="1"/>
  <c r="AU332" i="1"/>
  <c r="AU333" i="1"/>
  <c r="AU334" i="1"/>
  <c r="AT332" i="1"/>
  <c r="AT333" i="1"/>
  <c r="AT334" i="1"/>
  <c r="AS332" i="1"/>
  <c r="AS333" i="1"/>
  <c r="AS334" i="1"/>
  <c r="AR332" i="1"/>
  <c r="AR333" i="1"/>
  <c r="AR334" i="1"/>
  <c r="AQ332" i="1"/>
  <c r="AQ333" i="1"/>
  <c r="AQ334" i="1"/>
  <c r="AP332" i="1"/>
  <c r="AP333" i="1"/>
  <c r="AO332" i="1"/>
  <c r="AO333" i="1"/>
  <c r="AN332" i="1"/>
  <c r="AN333" i="1"/>
  <c r="AM333" i="1"/>
  <c r="AL331" i="1"/>
  <c r="AL332" i="1"/>
  <c r="AL333" i="1"/>
  <c r="AK331" i="1"/>
  <c r="AK332" i="1"/>
  <c r="AK333" i="1"/>
  <c r="AF332" i="1"/>
  <c r="AF333" i="1"/>
  <c r="AV314" i="1"/>
  <c r="AV315" i="1"/>
  <c r="AV316" i="1"/>
  <c r="AU314" i="1"/>
  <c r="AU315" i="1"/>
  <c r="AU316" i="1"/>
  <c r="AT314" i="1"/>
  <c r="AT315" i="1"/>
  <c r="AT316" i="1"/>
  <c r="AS314" i="1"/>
  <c r="AS315" i="1"/>
  <c r="AS316" i="1"/>
  <c r="AR314" i="1"/>
  <c r="AR315" i="1"/>
  <c r="AR316" i="1"/>
  <c r="AQ314" i="1"/>
  <c r="AQ315" i="1"/>
  <c r="AQ316" i="1"/>
  <c r="AP314" i="1"/>
  <c r="AP315" i="1"/>
  <c r="AO314" i="1"/>
  <c r="AO315" i="1"/>
  <c r="AN314" i="1"/>
  <c r="AN315" i="1"/>
  <c r="AM314" i="1"/>
  <c r="AM315" i="1"/>
  <c r="AL313" i="1"/>
  <c r="AL314" i="1"/>
  <c r="AL315" i="1"/>
  <c r="AK313" i="1"/>
  <c r="AK314" i="1"/>
  <c r="AK315" i="1"/>
  <c r="AF314" i="1"/>
  <c r="AF315" i="1"/>
  <c r="AV294" i="1"/>
  <c r="AV295" i="1"/>
  <c r="AV296" i="1"/>
  <c r="AU294" i="1"/>
  <c r="AU295" i="1"/>
  <c r="AU296" i="1"/>
  <c r="AT294" i="1"/>
  <c r="AT295" i="1"/>
  <c r="AT296" i="1"/>
  <c r="AS294" i="1"/>
  <c r="AS295" i="1"/>
  <c r="AS296" i="1"/>
  <c r="AR294" i="1"/>
  <c r="AR295" i="1"/>
  <c r="AR296" i="1"/>
  <c r="AQ294" i="1"/>
  <c r="AQ295" i="1"/>
  <c r="AQ296" i="1"/>
  <c r="AP294" i="1"/>
  <c r="AP295" i="1"/>
  <c r="AO294" i="1"/>
  <c r="AO295" i="1"/>
  <c r="AN294" i="1"/>
  <c r="AN295" i="1"/>
  <c r="AM294" i="1"/>
  <c r="AM295" i="1"/>
  <c r="AL293" i="1"/>
  <c r="AL294" i="1"/>
  <c r="AL295" i="1"/>
  <c r="AK293" i="1"/>
  <c r="AK294" i="1"/>
  <c r="AK295" i="1"/>
  <c r="AF294" i="1"/>
  <c r="AF295" i="1"/>
  <c r="AV274" i="1"/>
  <c r="AV275" i="1"/>
  <c r="AV276" i="1"/>
  <c r="AU274" i="1"/>
  <c r="AU275" i="1"/>
  <c r="AU276" i="1"/>
  <c r="AT274" i="1"/>
  <c r="AT275" i="1"/>
  <c r="AT276" i="1"/>
  <c r="AS274" i="1"/>
  <c r="AS275" i="1"/>
  <c r="AS276" i="1"/>
  <c r="AR274" i="1"/>
  <c r="AR275" i="1"/>
  <c r="AR276" i="1"/>
  <c r="AQ274" i="1"/>
  <c r="AQ275" i="1"/>
  <c r="AQ276" i="1"/>
  <c r="AP274" i="1"/>
  <c r="AP275" i="1"/>
  <c r="AO274" i="1"/>
  <c r="AO275" i="1"/>
  <c r="AN274" i="1"/>
  <c r="AN275" i="1"/>
  <c r="AM274" i="1"/>
  <c r="AM275" i="1"/>
  <c r="AL273" i="1"/>
  <c r="AL274" i="1"/>
  <c r="AL275" i="1"/>
  <c r="AK273" i="1"/>
  <c r="AW273" i="1" s="1"/>
  <c r="AK274" i="1"/>
  <c r="AW274" i="1" s="1"/>
  <c r="AK275" i="1"/>
  <c r="AF274" i="1"/>
  <c r="AF275" i="1"/>
  <c r="AW408" i="1" l="1"/>
  <c r="AW295" i="1"/>
  <c r="AW7" i="1"/>
  <c r="AW472" i="1"/>
  <c r="AW473" i="1"/>
  <c r="AW471" i="1"/>
  <c r="AW452" i="1"/>
  <c r="AW453" i="1" s="1"/>
  <c r="AW293" i="1"/>
  <c r="AW315" i="1"/>
  <c r="AW314" i="1"/>
  <c r="AW395" i="1"/>
  <c r="AW313" i="1"/>
  <c r="AW333" i="1"/>
  <c r="AW396" i="1"/>
  <c r="AW409" i="1"/>
  <c r="AW332" i="1"/>
  <c r="AW349" i="1"/>
  <c r="AF384" i="1"/>
  <c r="AG385" i="1"/>
  <c r="AW442" i="1"/>
  <c r="AW294" i="1"/>
  <c r="AW441" i="1"/>
  <c r="AW444" i="1" s="1"/>
  <c r="AW275" i="1"/>
  <c r="AW331" i="1"/>
  <c r="AW348" i="1"/>
  <c r="AW364" i="1"/>
  <c r="AW407" i="1"/>
  <c r="AW411" i="1" s="1"/>
  <c r="AW470" i="1"/>
  <c r="AV254" i="1"/>
  <c r="AV255" i="1"/>
  <c r="AV256" i="1"/>
  <c r="AU254" i="1"/>
  <c r="AU255" i="1"/>
  <c r="AU256" i="1"/>
  <c r="AT254" i="1"/>
  <c r="AT255" i="1"/>
  <c r="AT256" i="1"/>
  <c r="AS254" i="1"/>
  <c r="AS255" i="1"/>
  <c r="AS256" i="1"/>
  <c r="AR254" i="1"/>
  <c r="AR255" i="1"/>
  <c r="AR256" i="1"/>
  <c r="AQ254" i="1"/>
  <c r="AQ255" i="1"/>
  <c r="AQ256" i="1"/>
  <c r="AP254" i="1"/>
  <c r="AP255" i="1"/>
  <c r="AO254" i="1"/>
  <c r="AO255" i="1"/>
  <c r="AN254" i="1"/>
  <c r="AN255" i="1"/>
  <c r="AM254" i="1"/>
  <c r="AM255" i="1"/>
  <c r="AL253" i="1"/>
  <c r="AL254" i="1"/>
  <c r="AL255" i="1"/>
  <c r="AK253" i="1"/>
  <c r="AK254" i="1"/>
  <c r="AK255" i="1"/>
  <c r="AF254" i="1"/>
  <c r="AF255" i="1"/>
  <c r="AW255" i="1" l="1"/>
  <c r="AW398" i="1"/>
  <c r="AW253" i="1"/>
  <c r="AW477" i="1"/>
  <c r="AW478" i="1"/>
  <c r="AW254" i="1"/>
  <c r="AW340" i="1"/>
  <c r="AW341" i="1"/>
  <c r="AW356" i="1"/>
  <c r="AW355" i="1"/>
  <c r="AW21" i="1"/>
  <c r="M8" i="2"/>
  <c r="D7" i="13" s="1"/>
  <c r="AV234" i="1"/>
  <c r="AV235" i="1"/>
  <c r="AV236" i="1"/>
  <c r="AU234" i="1"/>
  <c r="AU235" i="1"/>
  <c r="AU236" i="1"/>
  <c r="AT234" i="1"/>
  <c r="AT235" i="1"/>
  <c r="AT236" i="1"/>
  <c r="AS234" i="1"/>
  <c r="AS235" i="1"/>
  <c r="AS236" i="1"/>
  <c r="AR234" i="1"/>
  <c r="AR235" i="1"/>
  <c r="AR236" i="1"/>
  <c r="AQ234" i="1"/>
  <c r="AQ235" i="1"/>
  <c r="AQ236" i="1"/>
  <c r="AP234" i="1"/>
  <c r="AP235" i="1"/>
  <c r="AO234" i="1"/>
  <c r="AO235" i="1"/>
  <c r="AN234" i="1"/>
  <c r="AN235" i="1"/>
  <c r="AM234" i="1"/>
  <c r="AM235" i="1"/>
  <c r="AL233" i="1"/>
  <c r="AL234" i="1"/>
  <c r="AL235" i="1"/>
  <c r="AK233" i="1"/>
  <c r="AK234" i="1"/>
  <c r="AK235" i="1"/>
  <c r="AF235" i="1"/>
  <c r="AQ214" i="1"/>
  <c r="AR214" i="1"/>
  <c r="AS214" i="1"/>
  <c r="AT214" i="1"/>
  <c r="AU214" i="1"/>
  <c r="AV214" i="1"/>
  <c r="AQ215" i="1"/>
  <c r="AR215" i="1"/>
  <c r="AS215" i="1"/>
  <c r="AT215" i="1"/>
  <c r="AU215" i="1"/>
  <c r="AV215" i="1"/>
  <c r="AQ216" i="1"/>
  <c r="AR216" i="1"/>
  <c r="AS216" i="1"/>
  <c r="AT216" i="1"/>
  <c r="AU216" i="1"/>
  <c r="AV216" i="1"/>
  <c r="AP214" i="1"/>
  <c r="AP215" i="1"/>
  <c r="AO214" i="1"/>
  <c r="AO215" i="1"/>
  <c r="AN215" i="1"/>
  <c r="AM214" i="1"/>
  <c r="AM215" i="1"/>
  <c r="AL213" i="1"/>
  <c r="AL214" i="1"/>
  <c r="AL215" i="1"/>
  <c r="AK213" i="1"/>
  <c r="AK214" i="1"/>
  <c r="AK215" i="1"/>
  <c r="AF214" i="1"/>
  <c r="AF215" i="1"/>
  <c r="AW215" i="1" l="1"/>
  <c r="AW213" i="1"/>
  <c r="AW233" i="1"/>
  <c r="AW235" i="1"/>
  <c r="AW214" i="1"/>
  <c r="AW234" i="1"/>
  <c r="AV191" i="1"/>
  <c r="AV192" i="1"/>
  <c r="AV193" i="1"/>
  <c r="AU191" i="1"/>
  <c r="AU192" i="1"/>
  <c r="AU193" i="1"/>
  <c r="AT191" i="1"/>
  <c r="AT192" i="1"/>
  <c r="AT193" i="1"/>
  <c r="AS191" i="1"/>
  <c r="AS192" i="1"/>
  <c r="AS193" i="1"/>
  <c r="AR191" i="1"/>
  <c r="AR192" i="1"/>
  <c r="AR193" i="1"/>
  <c r="AQ191" i="1"/>
  <c r="AQ192" i="1"/>
  <c r="AQ193" i="1"/>
  <c r="AP191" i="1"/>
  <c r="AP192" i="1"/>
  <c r="AO191" i="1"/>
  <c r="AO192" i="1"/>
  <c r="AN191" i="1"/>
  <c r="AN192" i="1"/>
  <c r="AM191" i="1"/>
  <c r="AM192" i="1"/>
  <c r="AL190" i="1"/>
  <c r="AL191" i="1"/>
  <c r="AL192" i="1"/>
  <c r="AK190" i="1"/>
  <c r="AW190" i="1" s="1"/>
  <c r="AK191" i="1"/>
  <c r="AK192" i="1"/>
  <c r="AF191" i="1"/>
  <c r="AF192" i="1"/>
  <c r="AV168" i="1"/>
  <c r="AV169" i="1"/>
  <c r="AV170" i="1"/>
  <c r="AU168" i="1"/>
  <c r="AU169" i="1"/>
  <c r="AU170" i="1"/>
  <c r="AT168" i="1"/>
  <c r="AT169" i="1"/>
  <c r="AT170" i="1"/>
  <c r="AS168" i="1"/>
  <c r="AS169" i="1"/>
  <c r="AS170" i="1"/>
  <c r="AR168" i="1"/>
  <c r="AR169" i="1"/>
  <c r="AR170" i="1"/>
  <c r="AQ168" i="1"/>
  <c r="AQ169" i="1"/>
  <c r="AQ170" i="1"/>
  <c r="AP168" i="1"/>
  <c r="AP169" i="1"/>
  <c r="AO168" i="1"/>
  <c r="AO169" i="1"/>
  <c r="AN168" i="1"/>
  <c r="AN169" i="1"/>
  <c r="AM168" i="1"/>
  <c r="AM169" i="1"/>
  <c r="AL167" i="1"/>
  <c r="AL168" i="1"/>
  <c r="AL169" i="1"/>
  <c r="AK167" i="1"/>
  <c r="AW167" i="1" s="1"/>
  <c r="AK168" i="1"/>
  <c r="AK169" i="1"/>
  <c r="AW169" i="1" s="1"/>
  <c r="AF168" i="1"/>
  <c r="AF169" i="1"/>
  <c r="AV145" i="1"/>
  <c r="AV146" i="1"/>
  <c r="AV147" i="1"/>
  <c r="AU145" i="1"/>
  <c r="AU146" i="1"/>
  <c r="AU147" i="1"/>
  <c r="AT145" i="1"/>
  <c r="AT146" i="1"/>
  <c r="AT147" i="1"/>
  <c r="AS145" i="1"/>
  <c r="AS146" i="1"/>
  <c r="AS147" i="1"/>
  <c r="AR145" i="1"/>
  <c r="AR146" i="1"/>
  <c r="AR147" i="1"/>
  <c r="AQ145" i="1"/>
  <c r="AQ146" i="1"/>
  <c r="AQ147" i="1"/>
  <c r="AP145" i="1"/>
  <c r="AP146" i="1"/>
  <c r="AO145" i="1"/>
  <c r="AO146" i="1"/>
  <c r="AN145" i="1"/>
  <c r="AN146" i="1"/>
  <c r="AM145" i="1"/>
  <c r="AM146" i="1"/>
  <c r="AL144" i="1"/>
  <c r="AL145" i="1"/>
  <c r="AL146" i="1"/>
  <c r="AK144" i="1"/>
  <c r="AW144" i="1" s="1"/>
  <c r="AK145" i="1"/>
  <c r="AK146" i="1"/>
  <c r="AF145" i="1"/>
  <c r="AF146" i="1"/>
  <c r="AV122" i="1"/>
  <c r="AV123" i="1"/>
  <c r="AV124" i="1"/>
  <c r="AU122" i="1"/>
  <c r="AU123" i="1"/>
  <c r="AU124" i="1"/>
  <c r="AT122" i="1"/>
  <c r="AT123" i="1"/>
  <c r="AT124" i="1"/>
  <c r="AS122" i="1"/>
  <c r="AS123" i="1"/>
  <c r="AS124" i="1"/>
  <c r="AR122" i="1"/>
  <c r="AR123" i="1"/>
  <c r="AR124" i="1"/>
  <c r="AQ122" i="1"/>
  <c r="AQ123" i="1"/>
  <c r="AQ124" i="1"/>
  <c r="AP122" i="1"/>
  <c r="AP123" i="1"/>
  <c r="AO122" i="1"/>
  <c r="AO123" i="1"/>
  <c r="AN122" i="1"/>
  <c r="AN123" i="1"/>
  <c r="AM122" i="1"/>
  <c r="AM123" i="1"/>
  <c r="AL121" i="1"/>
  <c r="AL122" i="1"/>
  <c r="AL123" i="1"/>
  <c r="AK121" i="1"/>
  <c r="AK122" i="1"/>
  <c r="AK123" i="1"/>
  <c r="AF122" i="1"/>
  <c r="AF123" i="1"/>
  <c r="AV99" i="1"/>
  <c r="AV100" i="1"/>
  <c r="AV101" i="1"/>
  <c r="AU99" i="1"/>
  <c r="AU100" i="1"/>
  <c r="AU101" i="1"/>
  <c r="AT99" i="1"/>
  <c r="AT100" i="1"/>
  <c r="AT101" i="1"/>
  <c r="AS99" i="1"/>
  <c r="AS100" i="1"/>
  <c r="AS101" i="1"/>
  <c r="AR99" i="1"/>
  <c r="AR100" i="1"/>
  <c r="AR101" i="1"/>
  <c r="AQ99" i="1"/>
  <c r="AQ100" i="1"/>
  <c r="AQ101" i="1"/>
  <c r="AP99" i="1"/>
  <c r="AP100" i="1"/>
  <c r="AO99" i="1"/>
  <c r="AO100" i="1"/>
  <c r="AN99" i="1"/>
  <c r="AN100" i="1"/>
  <c r="AM99" i="1"/>
  <c r="AM100" i="1"/>
  <c r="AL98" i="1"/>
  <c r="AL99" i="1"/>
  <c r="AL100" i="1"/>
  <c r="AK98" i="1"/>
  <c r="AW98" i="1" s="1"/>
  <c r="AK99" i="1"/>
  <c r="AK100" i="1"/>
  <c r="AF99" i="1"/>
  <c r="AF100" i="1"/>
  <c r="AV76" i="1"/>
  <c r="AV77" i="1"/>
  <c r="AV78" i="1"/>
  <c r="AU76" i="1"/>
  <c r="AU77" i="1"/>
  <c r="AU78" i="1"/>
  <c r="AT76" i="1"/>
  <c r="AT77" i="1"/>
  <c r="AT78" i="1"/>
  <c r="AS76" i="1"/>
  <c r="AS77" i="1"/>
  <c r="AS78" i="1"/>
  <c r="AR76" i="1"/>
  <c r="AR77" i="1"/>
  <c r="AR78" i="1"/>
  <c r="AQ76" i="1"/>
  <c r="AQ77" i="1"/>
  <c r="AQ78" i="1"/>
  <c r="AP76" i="1"/>
  <c r="AP77" i="1"/>
  <c r="AO76" i="1"/>
  <c r="AO77" i="1"/>
  <c r="AN76" i="1"/>
  <c r="AN77" i="1"/>
  <c r="AM76" i="1"/>
  <c r="AM77" i="1"/>
  <c r="AL75" i="1"/>
  <c r="AL76" i="1"/>
  <c r="AL77" i="1"/>
  <c r="AK75" i="1"/>
  <c r="AW75" i="1" s="1"/>
  <c r="AK76" i="1"/>
  <c r="AK77" i="1"/>
  <c r="AW77" i="1" s="1"/>
  <c r="AF76" i="1"/>
  <c r="AF77" i="1"/>
  <c r="AV53" i="1"/>
  <c r="AV54" i="1"/>
  <c r="AV55" i="1"/>
  <c r="AU53" i="1"/>
  <c r="AU54" i="1"/>
  <c r="AU55" i="1"/>
  <c r="AT53" i="1"/>
  <c r="AT54" i="1"/>
  <c r="AT55" i="1"/>
  <c r="AS53" i="1"/>
  <c r="AS54" i="1"/>
  <c r="AS55" i="1"/>
  <c r="AR53" i="1"/>
  <c r="AR54" i="1"/>
  <c r="AR55" i="1"/>
  <c r="AQ53" i="1"/>
  <c r="AQ54" i="1"/>
  <c r="AQ55" i="1"/>
  <c r="AP53" i="1"/>
  <c r="AP54" i="1"/>
  <c r="AO53" i="1"/>
  <c r="AO54" i="1"/>
  <c r="AN53" i="1"/>
  <c r="AN54" i="1"/>
  <c r="AL52" i="1"/>
  <c r="AL53" i="1"/>
  <c r="AL54" i="1"/>
  <c r="AK52" i="1"/>
  <c r="AW52" i="1" s="1"/>
  <c r="AK53" i="1"/>
  <c r="AW53" i="1" s="1"/>
  <c r="AK54" i="1"/>
  <c r="AW54" i="1" s="1"/>
  <c r="AF53" i="1"/>
  <c r="AF54" i="1"/>
  <c r="AV32" i="1"/>
  <c r="AV31" i="1"/>
  <c r="AV30" i="1"/>
  <c r="AU30" i="1"/>
  <c r="AU31" i="1"/>
  <c r="AU32" i="1"/>
  <c r="AT30" i="1"/>
  <c r="AT31" i="1"/>
  <c r="AT32" i="1"/>
  <c r="AS30" i="1"/>
  <c r="AS31" i="1"/>
  <c r="AS32" i="1"/>
  <c r="AR30" i="1"/>
  <c r="AR31" i="1"/>
  <c r="AR32" i="1"/>
  <c r="AQ30" i="1"/>
  <c r="AQ31" i="1"/>
  <c r="AQ32" i="1"/>
  <c r="AP30" i="1"/>
  <c r="AP31" i="1"/>
  <c r="AO30" i="1"/>
  <c r="AO31" i="1"/>
  <c r="AN30" i="1"/>
  <c r="AN31" i="1"/>
  <c r="AM30" i="1"/>
  <c r="AM31" i="1"/>
  <c r="AL29" i="1"/>
  <c r="AL30" i="1"/>
  <c r="AL31" i="1"/>
  <c r="AK29" i="1"/>
  <c r="AW29" i="1" s="1"/>
  <c r="AK30" i="1"/>
  <c r="AK31" i="1"/>
  <c r="AF30" i="1"/>
  <c r="AF31" i="1"/>
  <c r="O395" i="1"/>
  <c r="B296" i="3" s="1"/>
  <c r="O408" i="1"/>
  <c r="B305" i="3" s="1"/>
  <c r="O441" i="1"/>
  <c r="B314" i="3" s="1"/>
  <c r="N451" i="1"/>
  <c r="O452" i="1"/>
  <c r="B323" i="3" s="1"/>
  <c r="O472" i="1"/>
  <c r="B332" i="3" s="1"/>
  <c r="O471" i="1"/>
  <c r="B331" i="3" s="1"/>
  <c r="AW100" i="1" l="1"/>
  <c r="AW192" i="1"/>
  <c r="AW99" i="1"/>
  <c r="AW113" i="1" s="1"/>
  <c r="AW191" i="1"/>
  <c r="AW205" i="1" s="1"/>
  <c r="AW76" i="1"/>
  <c r="AW123" i="1"/>
  <c r="AW168" i="1"/>
  <c r="AW122" i="1"/>
  <c r="AW31" i="1"/>
  <c r="AW121" i="1"/>
  <c r="AW146" i="1"/>
  <c r="AW160" i="1" s="1"/>
  <c r="AW30" i="1"/>
  <c r="AW145" i="1"/>
  <c r="AW67" i="1"/>
  <c r="AW68" i="1"/>
  <c r="AW44" i="1"/>
  <c r="AW206" i="1"/>
  <c r="AW91" i="1"/>
  <c r="AW90" i="1"/>
  <c r="AW182" i="1"/>
  <c r="AW183" i="1"/>
  <c r="AW114" i="1"/>
  <c r="AW159" i="1"/>
  <c r="N472" i="1"/>
  <c r="N471" i="1"/>
  <c r="N470" i="1"/>
  <c r="AW137" i="1" l="1"/>
  <c r="AW45" i="1"/>
  <c r="AW136" i="1"/>
  <c r="M3" i="3"/>
  <c r="D14" i="13" s="1"/>
  <c r="O461" i="1"/>
  <c r="B31" i="2" s="1"/>
  <c r="O460" i="1"/>
  <c r="B30" i="2" s="1"/>
  <c r="N460" i="1"/>
  <c r="N459" i="1"/>
  <c r="P456" i="1" s="1"/>
  <c r="O364" i="1" l="1"/>
  <c r="B286" i="3" s="1"/>
  <c r="O365" i="1"/>
  <c r="B287" i="3" s="1"/>
  <c r="O363" i="1"/>
  <c r="B285" i="3" s="1"/>
  <c r="O349" i="1"/>
  <c r="B275" i="3" s="1"/>
  <c r="O350" i="1"/>
  <c r="B276" i="3" s="1"/>
  <c r="O348" i="1"/>
  <c r="B274" i="3" s="1"/>
  <c r="O335" i="1"/>
  <c r="B265" i="3" s="1"/>
  <c r="O333" i="1"/>
  <c r="B263" i="3" s="1"/>
  <c r="O334" i="1"/>
  <c r="B264" i="3" s="1"/>
  <c r="O332" i="1"/>
  <c r="B262" i="3" s="1"/>
  <c r="N29" i="1"/>
  <c r="O355" i="1" l="1"/>
  <c r="P344" i="1"/>
  <c r="Q344" i="1" s="1"/>
  <c r="P362" i="1"/>
  <c r="Q362" i="1" s="1"/>
  <c r="O370" i="1"/>
  <c r="P328" i="1"/>
  <c r="Q328" i="1" s="1"/>
  <c r="O340" i="1"/>
  <c r="P347" i="1"/>
  <c r="P346" i="1"/>
  <c r="P345" i="1"/>
  <c r="P332" i="1"/>
  <c r="P331" i="1"/>
  <c r="P330" i="1"/>
  <c r="P329" i="1"/>
  <c r="O315" i="1"/>
  <c r="B250" i="3" s="1"/>
  <c r="O316" i="1"/>
  <c r="B251" i="3" s="1"/>
  <c r="O317" i="1"/>
  <c r="B252" i="3" s="1"/>
  <c r="O318" i="1"/>
  <c r="B253" i="3" s="1"/>
  <c r="O314" i="1"/>
  <c r="O295" i="1"/>
  <c r="B236" i="3" s="1"/>
  <c r="O296" i="1"/>
  <c r="B237" i="3" s="1"/>
  <c r="O297" i="1"/>
  <c r="B238" i="3" s="1"/>
  <c r="O298" i="1"/>
  <c r="B239" i="3" s="1"/>
  <c r="O299" i="1"/>
  <c r="B240" i="3" s="1"/>
  <c r="O294" i="1"/>
  <c r="O275" i="1"/>
  <c r="B221" i="3" s="1"/>
  <c r="O276" i="1"/>
  <c r="B222" i="3" s="1"/>
  <c r="O277" i="1"/>
  <c r="B223" i="3" s="1"/>
  <c r="O278" i="1"/>
  <c r="B224" i="3" s="1"/>
  <c r="O279" i="1"/>
  <c r="B225" i="3" s="1"/>
  <c r="O280" i="1"/>
  <c r="B226" i="3" s="1"/>
  <c r="O274" i="1"/>
  <c r="O255" i="1"/>
  <c r="B205" i="3" s="1"/>
  <c r="O256" i="1"/>
  <c r="B206" i="3" s="1"/>
  <c r="O257" i="1"/>
  <c r="B207" i="3" s="1"/>
  <c r="O258" i="1"/>
  <c r="B208" i="3" s="1"/>
  <c r="O259" i="1"/>
  <c r="B209" i="3" s="1"/>
  <c r="O260" i="1"/>
  <c r="B210" i="3" s="1"/>
  <c r="O261" i="1"/>
  <c r="B211" i="3" s="1"/>
  <c r="O254" i="1"/>
  <c r="B204" i="3" s="1"/>
  <c r="O235" i="1"/>
  <c r="B189" i="3" s="1"/>
  <c r="O236" i="1"/>
  <c r="B190" i="3" s="1"/>
  <c r="O237" i="1"/>
  <c r="B191" i="3" s="1"/>
  <c r="O238" i="1"/>
  <c r="B192" i="3" s="1"/>
  <c r="O239" i="1"/>
  <c r="B193" i="3" s="1"/>
  <c r="O240" i="1"/>
  <c r="B194" i="3" s="1"/>
  <c r="O241" i="1"/>
  <c r="B195" i="3" s="1"/>
  <c r="O234" i="1"/>
  <c r="O215" i="1"/>
  <c r="B173" i="3" s="1"/>
  <c r="O216" i="1"/>
  <c r="B174" i="3" s="1"/>
  <c r="O217" i="1"/>
  <c r="B175" i="3" s="1"/>
  <c r="O218" i="1"/>
  <c r="B176" i="3" s="1"/>
  <c r="O219" i="1"/>
  <c r="B177" i="3" s="1"/>
  <c r="O220" i="1"/>
  <c r="B178" i="3" s="1"/>
  <c r="O221" i="1"/>
  <c r="B179" i="3" s="1"/>
  <c r="O214" i="1"/>
  <c r="O192" i="1"/>
  <c r="B153" i="3" s="1"/>
  <c r="O193" i="1"/>
  <c r="B154" i="3" s="1"/>
  <c r="O194" i="1"/>
  <c r="B155" i="3" s="1"/>
  <c r="O195" i="1"/>
  <c r="B156" i="3" s="1"/>
  <c r="O196" i="1"/>
  <c r="B157" i="3" s="1"/>
  <c r="O197" i="1"/>
  <c r="B158" i="3" s="1"/>
  <c r="O198" i="1"/>
  <c r="B159" i="3" s="1"/>
  <c r="O199" i="1"/>
  <c r="B160" i="3" s="1"/>
  <c r="O200" i="1"/>
  <c r="B161" i="3" s="1"/>
  <c r="O201" i="1"/>
  <c r="B162" i="3" s="1"/>
  <c r="O202" i="1"/>
  <c r="B163" i="3" s="1"/>
  <c r="O191" i="1"/>
  <c r="B152" i="3" s="1"/>
  <c r="O169" i="1"/>
  <c r="B133" i="3" s="1"/>
  <c r="O170" i="1"/>
  <c r="B134" i="3" s="1"/>
  <c r="O171" i="1"/>
  <c r="B135" i="3" s="1"/>
  <c r="O172" i="1"/>
  <c r="B136" i="3" s="1"/>
  <c r="O173" i="1"/>
  <c r="B137" i="3" s="1"/>
  <c r="O174" i="1"/>
  <c r="B138" i="3" s="1"/>
  <c r="O175" i="1"/>
  <c r="B139" i="3" s="1"/>
  <c r="O176" i="1"/>
  <c r="B140" i="3" s="1"/>
  <c r="O177" i="1"/>
  <c r="B141" i="3" s="1"/>
  <c r="O178" i="1"/>
  <c r="B142" i="3" s="1"/>
  <c r="O179" i="1"/>
  <c r="B143" i="3" s="1"/>
  <c r="O168" i="1"/>
  <c r="O146" i="1"/>
  <c r="B113" i="3" s="1"/>
  <c r="O147" i="1"/>
  <c r="B114" i="3" s="1"/>
  <c r="O148" i="1"/>
  <c r="B115" i="3" s="1"/>
  <c r="O149" i="1"/>
  <c r="B116" i="3" s="1"/>
  <c r="O150" i="1"/>
  <c r="B117" i="3" s="1"/>
  <c r="O151" i="1"/>
  <c r="B118" i="3" s="1"/>
  <c r="O152" i="1"/>
  <c r="B119" i="3" s="1"/>
  <c r="O153" i="1"/>
  <c r="B120" i="3" s="1"/>
  <c r="O154" i="1"/>
  <c r="B121" i="3" s="1"/>
  <c r="O155" i="1"/>
  <c r="B122" i="3" s="1"/>
  <c r="O156" i="1"/>
  <c r="B123" i="3" s="1"/>
  <c r="O145" i="1"/>
  <c r="B112" i="3" s="1"/>
  <c r="O123" i="1"/>
  <c r="B93" i="3" s="1"/>
  <c r="O124" i="1"/>
  <c r="B94" i="3" s="1"/>
  <c r="O126" i="1"/>
  <c r="B96" i="3" s="1"/>
  <c r="O127" i="1"/>
  <c r="B97" i="3" s="1"/>
  <c r="O128" i="1"/>
  <c r="B98" i="3" s="1"/>
  <c r="O129" i="1"/>
  <c r="B99" i="3" s="1"/>
  <c r="O130" i="1"/>
  <c r="B100" i="3" s="1"/>
  <c r="O131" i="1"/>
  <c r="B101" i="3" s="1"/>
  <c r="O132" i="1"/>
  <c r="B102" i="3" s="1"/>
  <c r="O133" i="1"/>
  <c r="B103" i="3" s="1"/>
  <c r="O122" i="1"/>
  <c r="B92" i="3" s="1"/>
  <c r="O100" i="1"/>
  <c r="B73" i="3" s="1"/>
  <c r="O101" i="1"/>
  <c r="B74" i="3" s="1"/>
  <c r="O102" i="1"/>
  <c r="B75" i="3" s="1"/>
  <c r="O103" i="1"/>
  <c r="B76" i="3" s="1"/>
  <c r="O104" i="1"/>
  <c r="B77" i="3" s="1"/>
  <c r="O105" i="1"/>
  <c r="B78" i="3" s="1"/>
  <c r="O106" i="1"/>
  <c r="B79" i="3" s="1"/>
  <c r="O107" i="1"/>
  <c r="B80" i="3" s="1"/>
  <c r="O108" i="1"/>
  <c r="B81" i="3" s="1"/>
  <c r="O109" i="1"/>
  <c r="B82" i="3" s="1"/>
  <c r="O110" i="1"/>
  <c r="B83" i="3" s="1"/>
  <c r="O99" i="1"/>
  <c r="B72" i="3" s="1"/>
  <c r="O77" i="1"/>
  <c r="B53" i="3" s="1"/>
  <c r="O78" i="1"/>
  <c r="B54" i="3" s="1"/>
  <c r="O79" i="1"/>
  <c r="B55" i="3" s="1"/>
  <c r="O80" i="1"/>
  <c r="B56" i="3" s="1"/>
  <c r="O81" i="1"/>
  <c r="B57" i="3" s="1"/>
  <c r="O82" i="1"/>
  <c r="B58" i="3" s="1"/>
  <c r="O83" i="1"/>
  <c r="B59" i="3" s="1"/>
  <c r="O84" i="1"/>
  <c r="B60" i="3" s="1"/>
  <c r="O85" i="1"/>
  <c r="B61" i="3" s="1"/>
  <c r="O86" i="1"/>
  <c r="B62" i="3" s="1"/>
  <c r="O87" i="1"/>
  <c r="B63" i="3" s="1"/>
  <c r="O76" i="1"/>
  <c r="B52" i="3" s="1"/>
  <c r="O54" i="1"/>
  <c r="B30" i="3" s="1"/>
  <c r="O55" i="1"/>
  <c r="B31" i="3" s="1"/>
  <c r="O56" i="1"/>
  <c r="B32" i="3" s="1"/>
  <c r="O57" i="1"/>
  <c r="B33" i="3" s="1"/>
  <c r="O58" i="1"/>
  <c r="B34" i="3" s="1"/>
  <c r="O59" i="1"/>
  <c r="B35" i="3" s="1"/>
  <c r="O60" i="1"/>
  <c r="B36" i="3" s="1"/>
  <c r="O61" i="1"/>
  <c r="B37" i="3" s="1"/>
  <c r="O62" i="1"/>
  <c r="B38" i="3" s="1"/>
  <c r="O63" i="1"/>
  <c r="B39" i="3" s="1"/>
  <c r="O64" i="1"/>
  <c r="B40" i="3" s="1"/>
  <c r="O53" i="1"/>
  <c r="B29" i="3" s="1"/>
  <c r="N441" i="1"/>
  <c r="N440" i="1"/>
  <c r="N408" i="1"/>
  <c r="N407" i="1"/>
  <c r="N396" i="1"/>
  <c r="N395" i="1"/>
  <c r="N394" i="1"/>
  <c r="N362" i="1"/>
  <c r="N363" i="1"/>
  <c r="N364" i="1"/>
  <c r="N347" i="1"/>
  <c r="N348" i="1"/>
  <c r="N349" i="1"/>
  <c r="N331" i="1"/>
  <c r="N332" i="1"/>
  <c r="N333" i="1"/>
  <c r="N313" i="1"/>
  <c r="N323" i="1" s="1"/>
  <c r="N314" i="1"/>
  <c r="N315" i="1"/>
  <c r="N293" i="1"/>
  <c r="N294" i="1"/>
  <c r="N295" i="1"/>
  <c r="N273" i="1"/>
  <c r="N274" i="1"/>
  <c r="N275" i="1"/>
  <c r="N253" i="1"/>
  <c r="N254" i="1"/>
  <c r="N255" i="1"/>
  <c r="N233" i="1"/>
  <c r="N234" i="1"/>
  <c r="N235" i="1"/>
  <c r="N213" i="1"/>
  <c r="N214" i="1"/>
  <c r="N215" i="1"/>
  <c r="N190" i="1"/>
  <c r="N191" i="1"/>
  <c r="N192" i="1"/>
  <c r="N167" i="1"/>
  <c r="N168" i="1"/>
  <c r="N169" i="1"/>
  <c r="N144" i="1"/>
  <c r="N145" i="1"/>
  <c r="N146" i="1"/>
  <c r="N121" i="1"/>
  <c r="N122" i="1"/>
  <c r="N123" i="1"/>
  <c r="N98" i="1"/>
  <c r="N99" i="1"/>
  <c r="N100" i="1"/>
  <c r="N75" i="1"/>
  <c r="N76" i="1"/>
  <c r="N77" i="1"/>
  <c r="N52" i="1"/>
  <c r="N53" i="1"/>
  <c r="N54" i="1"/>
  <c r="N30" i="1"/>
  <c r="N31" i="1"/>
  <c r="N32" i="1"/>
  <c r="O31" i="1"/>
  <c r="B7" i="3" s="1"/>
  <c r="O32" i="1"/>
  <c r="B8" i="3" s="1"/>
  <c r="O33" i="1"/>
  <c r="B9" i="3" s="1"/>
  <c r="O34" i="1"/>
  <c r="B10" i="3" s="1"/>
  <c r="O35" i="1"/>
  <c r="B11" i="3" s="1"/>
  <c r="O36" i="1"/>
  <c r="B12" i="3" s="1"/>
  <c r="O37" i="1"/>
  <c r="B13" i="3" s="1"/>
  <c r="S13" i="3" s="1"/>
  <c r="O38" i="1"/>
  <c r="B14" i="3" s="1"/>
  <c r="O39" i="1"/>
  <c r="B15" i="3" s="1"/>
  <c r="O40" i="1"/>
  <c r="B16" i="3" s="1"/>
  <c r="O41" i="1"/>
  <c r="B17" i="3" s="1"/>
  <c r="O30" i="1"/>
  <c r="B6" i="3" s="1"/>
  <c r="O8" i="1"/>
  <c r="B7" i="2" s="1"/>
  <c r="O11" i="1"/>
  <c r="B10" i="2" s="1"/>
  <c r="O12" i="1"/>
  <c r="B11" i="2" s="1"/>
  <c r="O13" i="1"/>
  <c r="B12" i="2" s="1"/>
  <c r="O14" i="1"/>
  <c r="B13" i="2" s="1"/>
  <c r="O15" i="1"/>
  <c r="B14" i="2" s="1"/>
  <c r="O16" i="1"/>
  <c r="B15" i="2" s="1"/>
  <c r="O17" i="1"/>
  <c r="B16" i="2" s="1"/>
  <c r="O18" i="1"/>
  <c r="B17" i="2" s="1"/>
  <c r="O7" i="1"/>
  <c r="B6" i="2" s="1"/>
  <c r="AV9" i="1"/>
  <c r="N182" i="1" l="1"/>
  <c r="S17" i="3"/>
  <c r="S40" i="3" s="1"/>
  <c r="T40" i="3" s="1"/>
  <c r="B235" i="3"/>
  <c r="O305" i="1"/>
  <c r="N245" i="1"/>
  <c r="P164" i="1"/>
  <c r="B132" i="3"/>
  <c r="O182" i="1"/>
  <c r="B188" i="3"/>
  <c r="O245" i="1"/>
  <c r="S16" i="3"/>
  <c r="S8" i="3"/>
  <c r="N305" i="1"/>
  <c r="B172" i="3"/>
  <c r="O225" i="1"/>
  <c r="S15" i="3"/>
  <c r="S7" i="3"/>
  <c r="B220" i="3"/>
  <c r="O285" i="1"/>
  <c r="N265" i="1"/>
  <c r="S10" i="3"/>
  <c r="N225" i="1"/>
  <c r="B249" i="3"/>
  <c r="O323" i="1"/>
  <c r="S36" i="3"/>
  <c r="W13" i="3"/>
  <c r="S11" i="3"/>
  <c r="N285" i="1"/>
  <c r="O90" i="1"/>
  <c r="P72" i="1"/>
  <c r="Q72" i="1" s="1"/>
  <c r="O136" i="1"/>
  <c r="P118" i="1"/>
  <c r="N355" i="1"/>
  <c r="P78" i="1"/>
  <c r="P105" i="1"/>
  <c r="P150" i="1"/>
  <c r="P196" i="1"/>
  <c r="O159" i="1"/>
  <c r="P141" i="1"/>
  <c r="O205" i="1"/>
  <c r="P187" i="1"/>
  <c r="Q187" i="1" s="1"/>
  <c r="P59" i="1"/>
  <c r="O21" i="1"/>
  <c r="P3" i="1"/>
  <c r="O67" i="1"/>
  <c r="P49" i="1"/>
  <c r="O113" i="1"/>
  <c r="P95" i="1"/>
  <c r="P13" i="1"/>
  <c r="O44" i="1"/>
  <c r="P26" i="1"/>
  <c r="Q26" i="1" s="1"/>
  <c r="P169" i="1"/>
  <c r="P168" i="1"/>
  <c r="P167" i="1"/>
  <c r="P165" i="1"/>
  <c r="Q165" i="1" s="1"/>
  <c r="P166" i="1"/>
  <c r="P12" i="1"/>
  <c r="P58" i="1"/>
  <c r="P104" i="1"/>
  <c r="P149" i="1"/>
  <c r="P195" i="1"/>
  <c r="P277" i="1"/>
  <c r="P11" i="1"/>
  <c r="P36" i="1"/>
  <c r="P103" i="1"/>
  <c r="P148" i="1"/>
  <c r="P194" i="1"/>
  <c r="P257" i="1"/>
  <c r="P4" i="1"/>
  <c r="P83" i="1"/>
  <c r="P129" i="1"/>
  <c r="P147" i="1"/>
  <c r="P193" i="1"/>
  <c r="P256" i="1"/>
  <c r="P274" i="1"/>
  <c r="P275" i="1"/>
  <c r="P273" i="1"/>
  <c r="N340" i="1"/>
  <c r="P82" i="1"/>
  <c r="P128" i="1"/>
  <c r="P146" i="1"/>
  <c r="P145" i="1"/>
  <c r="P142" i="1"/>
  <c r="Q142" i="1" s="1"/>
  <c r="P144" i="1"/>
  <c r="P143" i="1"/>
  <c r="P213" i="1"/>
  <c r="P53" i="1"/>
  <c r="P54" i="1"/>
  <c r="P50" i="1"/>
  <c r="Q50" i="1" s="1"/>
  <c r="P52" i="1"/>
  <c r="P51" i="1"/>
  <c r="P100" i="1"/>
  <c r="P97" i="1"/>
  <c r="P98" i="1"/>
  <c r="P99" i="1"/>
  <c r="P96" i="1"/>
  <c r="Q96" i="1" s="1"/>
  <c r="P127" i="1"/>
  <c r="P32" i="1"/>
  <c r="P80" i="1"/>
  <c r="P126" i="1"/>
  <c r="P152" i="1"/>
  <c r="P171" i="1"/>
  <c r="P198" i="1"/>
  <c r="P314" i="1"/>
  <c r="P315" i="1"/>
  <c r="P313" i="1"/>
  <c r="P120" i="1"/>
  <c r="P119" i="1"/>
  <c r="Q119" i="1" s="1"/>
  <c r="AW22" i="1"/>
  <c r="P37" i="1"/>
  <c r="P76" i="1"/>
  <c r="P77" i="1"/>
  <c r="P73" i="1"/>
  <c r="Q73" i="1" s="1"/>
  <c r="P74" i="1"/>
  <c r="P75" i="1"/>
  <c r="P295" i="1"/>
  <c r="P294" i="1"/>
  <c r="P293" i="1"/>
  <c r="P57" i="1"/>
  <c r="P175" i="1"/>
  <c r="P237" i="1"/>
  <c r="P276" i="1"/>
  <c r="P35" i="1"/>
  <c r="P56" i="1"/>
  <c r="P102" i="1"/>
  <c r="P174" i="1"/>
  <c r="P236" i="1"/>
  <c r="P34" i="1"/>
  <c r="P55" i="1"/>
  <c r="P101" i="1"/>
  <c r="P173" i="1"/>
  <c r="P191" i="1"/>
  <c r="P192" i="1"/>
  <c r="P188" i="1"/>
  <c r="P189" i="1"/>
  <c r="P190" i="1"/>
  <c r="P235" i="1"/>
  <c r="P234" i="1"/>
  <c r="P233" i="1"/>
  <c r="P254" i="1"/>
  <c r="P255" i="1"/>
  <c r="P253" i="1"/>
  <c r="P33" i="1"/>
  <c r="P81" i="1"/>
  <c r="P172" i="1"/>
  <c r="P14" i="1"/>
  <c r="P31" i="1"/>
  <c r="P30" i="1"/>
  <c r="P27" i="1"/>
  <c r="Q27" i="1" s="1"/>
  <c r="P29" i="1"/>
  <c r="P28" i="1"/>
  <c r="Q28" i="1" s="1"/>
  <c r="P60" i="1"/>
  <c r="P79" i="1"/>
  <c r="P106" i="1"/>
  <c r="P151" i="1"/>
  <c r="P170" i="1"/>
  <c r="P197" i="1"/>
  <c r="N205" i="1"/>
  <c r="N90" i="1"/>
  <c r="N113" i="1"/>
  <c r="Q95" i="1"/>
  <c r="Q164" i="1"/>
  <c r="N44" i="1"/>
  <c r="N136" i="1"/>
  <c r="Q118" i="1"/>
  <c r="N159" i="1"/>
  <c r="Q141" i="1"/>
  <c r="N67" i="1"/>
  <c r="Q49" i="1"/>
  <c r="Q311" i="1"/>
  <c r="Q271" i="1"/>
  <c r="Q329" i="1"/>
  <c r="Q345" i="1"/>
  <c r="O265" i="1"/>
  <c r="Q188" i="1"/>
  <c r="Q251" i="1"/>
  <c r="Q211" i="1"/>
  <c r="Q291" i="1"/>
  <c r="O10" i="1"/>
  <c r="O9" i="1"/>
  <c r="N6" i="1"/>
  <c r="N8" i="1"/>
  <c r="N7" i="1"/>
  <c r="S6" i="3" l="1"/>
  <c r="S29" i="3" s="1"/>
  <c r="S34" i="3"/>
  <c r="W11" i="3"/>
  <c r="T10" i="3"/>
  <c r="S33" i="3"/>
  <c r="W10" i="3"/>
  <c r="W8" i="3"/>
  <c r="S31" i="3"/>
  <c r="P5" i="1"/>
  <c r="B8" i="2"/>
  <c r="T16" i="3"/>
  <c r="S39" i="3"/>
  <c r="T39" i="3" s="1"/>
  <c r="T15" i="3"/>
  <c r="S38" i="3"/>
  <c r="T38" i="3" s="1"/>
  <c r="P10" i="1"/>
  <c r="B9" i="2"/>
  <c r="T7" i="3"/>
  <c r="S30" i="3"/>
  <c r="W7" i="3"/>
  <c r="X7" i="3" s="1"/>
  <c r="P6" i="1"/>
  <c r="P7" i="1"/>
  <c r="P8" i="1"/>
  <c r="P9" i="1"/>
  <c r="Q3" i="1"/>
  <c r="N21" i="1"/>
  <c r="S7" i="2"/>
  <c r="S6" i="2"/>
  <c r="Q4" i="1"/>
  <c r="S8" i="2"/>
  <c r="AF351" i="1"/>
  <c r="AF335" i="1"/>
  <c r="S22" i="3" l="1"/>
  <c r="T5" i="3"/>
  <c r="S21" i="3"/>
  <c r="X10" i="3"/>
  <c r="T6" i="3"/>
  <c r="W6" i="3"/>
  <c r="X6" i="3" s="1"/>
  <c r="T33" i="3"/>
  <c r="T30" i="3"/>
  <c r="T29" i="3"/>
  <c r="AA24" i="3"/>
  <c r="S31" i="2"/>
  <c r="W7" i="2"/>
  <c r="T7" i="2"/>
  <c r="S30" i="2"/>
  <c r="T6" i="2"/>
  <c r="W6" i="2"/>
  <c r="T5" i="2"/>
  <c r="S23" i="2"/>
  <c r="S22" i="2"/>
  <c r="S32" i="2"/>
  <c r="W32" i="2" s="1"/>
  <c r="W8" i="2"/>
  <c r="T28" i="3"/>
  <c r="X3" i="2"/>
  <c r="U31" i="3"/>
  <c r="N197" i="1"/>
  <c r="X5" i="3" l="1"/>
  <c r="W30" i="2"/>
  <c r="AA25" i="2"/>
  <c r="W29" i="3"/>
  <c r="W31" i="3"/>
  <c r="X5" i="2"/>
  <c r="Y5" i="2" s="1"/>
  <c r="U31" i="2"/>
  <c r="T31" i="2"/>
  <c r="Y3" i="2"/>
  <c r="U29" i="3"/>
  <c r="V28" i="3" s="1"/>
  <c r="Y5" i="3"/>
  <c r="U32" i="2"/>
  <c r="X4" i="2"/>
  <c r="Y6" i="3"/>
  <c r="U30" i="2"/>
  <c r="T29" i="2"/>
  <c r="T30" i="2"/>
  <c r="W30" i="3"/>
  <c r="U30" i="3"/>
  <c r="W31" i="2"/>
  <c r="AF220" i="1"/>
  <c r="W43" i="3" l="1"/>
  <c r="W46" i="2"/>
  <c r="W45" i="2"/>
  <c r="X28" i="3"/>
  <c r="Y28" i="3" s="1"/>
  <c r="V31" i="2"/>
  <c r="Y4" i="3"/>
  <c r="Y4" i="2"/>
  <c r="V30" i="2"/>
  <c r="V29" i="2"/>
  <c r="X29" i="2"/>
  <c r="Y29" i="2" s="1"/>
  <c r="X30" i="2"/>
  <c r="Y30" i="2" s="1"/>
  <c r="X31" i="2"/>
  <c r="Y31" i="2" s="1"/>
  <c r="X29" i="3"/>
  <c r="Y29" i="3" s="1"/>
  <c r="X30" i="3"/>
  <c r="Y30" i="3" s="1"/>
  <c r="V29" i="3"/>
  <c r="V30" i="3"/>
  <c r="AS336" i="1"/>
  <c r="AR336" i="1"/>
  <c r="AA300" i="1"/>
  <c r="Z300" i="1"/>
  <c r="AG300" i="1" s="1"/>
  <c r="Z262" i="1"/>
  <c r="AG262" i="1" s="1"/>
  <c r="Z242" i="1"/>
  <c r="AG242" i="1" s="1"/>
  <c r="Z222" i="1"/>
  <c r="N335" i="1"/>
  <c r="I300" i="1"/>
  <c r="H300" i="1"/>
  <c r="H262" i="1"/>
  <c r="B212" i="3" s="1"/>
  <c r="H242" i="1"/>
  <c r="B196" i="3" s="1"/>
  <c r="H222" i="1"/>
  <c r="O222" i="1" l="1"/>
  <c r="B180" i="3" s="1"/>
  <c r="S14" i="3" s="1"/>
  <c r="AF241" i="1"/>
  <c r="G196" i="3"/>
  <c r="AF261" i="1"/>
  <c r="G212" i="3"/>
  <c r="G241" i="3"/>
  <c r="K12" i="3" s="1"/>
  <c r="AH13" i="1"/>
  <c r="AF221" i="1"/>
  <c r="AG222" i="1"/>
  <c r="AA27" i="2"/>
  <c r="AA26" i="3"/>
  <c r="N221" i="1"/>
  <c r="N241" i="1"/>
  <c r="N299" i="1"/>
  <c r="AF299" i="1"/>
  <c r="N261" i="1"/>
  <c r="N280" i="1"/>
  <c r="T14" i="3" l="1"/>
  <c r="T13" i="3"/>
  <c r="B241" i="3"/>
  <c r="S12" i="3" s="1"/>
  <c r="P296" i="1"/>
  <c r="G180" i="3"/>
  <c r="AH15" i="1"/>
  <c r="AF280" i="1"/>
  <c r="K14" i="3" l="1"/>
  <c r="S37" i="3"/>
  <c r="S35" i="3"/>
  <c r="W12" i="3"/>
  <c r="T12" i="3"/>
  <c r="T11" i="3"/>
  <c r="N296" i="1"/>
  <c r="X12" i="3" l="1"/>
  <c r="X11" i="3"/>
  <c r="T35" i="3"/>
  <c r="T34" i="3"/>
  <c r="T37" i="3"/>
  <c r="T36" i="3"/>
  <c r="Q292" i="1"/>
  <c r="AF9" i="1"/>
  <c r="N316" i="1"/>
  <c r="N297" i="1"/>
  <c r="N298" i="1"/>
  <c r="N9" i="1"/>
  <c r="Q295" i="1" l="1"/>
  <c r="Q293" i="1"/>
  <c r="Q5" i="1"/>
  <c r="Q294" i="1"/>
  <c r="AF365" i="1"/>
  <c r="AF350" i="1"/>
  <c r="AF334" i="1"/>
  <c r="AF317" i="1"/>
  <c r="AF318" i="1"/>
  <c r="AF316" i="1"/>
  <c r="AF297" i="1"/>
  <c r="AF298" i="1"/>
  <c r="AF296" i="1"/>
  <c r="AF277" i="1"/>
  <c r="AF278" i="1"/>
  <c r="AF279" i="1"/>
  <c r="AF276" i="1"/>
  <c r="AF257" i="1"/>
  <c r="AF258" i="1"/>
  <c r="AF259" i="1"/>
  <c r="AF260" i="1"/>
  <c r="AF256" i="1"/>
  <c r="AF237" i="1"/>
  <c r="AF238" i="1"/>
  <c r="AF239" i="1"/>
  <c r="AF240" i="1"/>
  <c r="AF236" i="1"/>
  <c r="AF217" i="1"/>
  <c r="AF218" i="1"/>
  <c r="AF219" i="1"/>
  <c r="AF216" i="1"/>
  <c r="AF194" i="1"/>
  <c r="AF195" i="1"/>
  <c r="AF196" i="1"/>
  <c r="AF197" i="1"/>
  <c r="AF198" i="1"/>
  <c r="AF199" i="1"/>
  <c r="AF200" i="1"/>
  <c r="AF201" i="1"/>
  <c r="AF202" i="1"/>
  <c r="AF193" i="1"/>
  <c r="AF171" i="1"/>
  <c r="AF172" i="1"/>
  <c r="AF173" i="1"/>
  <c r="AF174" i="1"/>
  <c r="AF175" i="1"/>
  <c r="AF176" i="1"/>
  <c r="AF177" i="1"/>
  <c r="AF178" i="1"/>
  <c r="AF179" i="1"/>
  <c r="AF170" i="1"/>
  <c r="AF148" i="1"/>
  <c r="AF149" i="1"/>
  <c r="AF150" i="1"/>
  <c r="AF151" i="1"/>
  <c r="AF152" i="1"/>
  <c r="AF153" i="1"/>
  <c r="AF154" i="1"/>
  <c r="AF155" i="1"/>
  <c r="AF156" i="1"/>
  <c r="AF147" i="1"/>
  <c r="AF125" i="1"/>
  <c r="AF126" i="1"/>
  <c r="AF127" i="1"/>
  <c r="AF128" i="1"/>
  <c r="AF129" i="1"/>
  <c r="AF130" i="1"/>
  <c r="AF131" i="1"/>
  <c r="AF132" i="1"/>
  <c r="AF133" i="1"/>
  <c r="AF124" i="1"/>
  <c r="AF102" i="1"/>
  <c r="AF103" i="1"/>
  <c r="AF104" i="1"/>
  <c r="AF105" i="1"/>
  <c r="AF106" i="1"/>
  <c r="AF107" i="1"/>
  <c r="AF108" i="1"/>
  <c r="AF109" i="1"/>
  <c r="AF110" i="1"/>
  <c r="AF101" i="1"/>
  <c r="AF79" i="1"/>
  <c r="AF80" i="1"/>
  <c r="AF81" i="1"/>
  <c r="AF82" i="1"/>
  <c r="AF83" i="1"/>
  <c r="AF84" i="1"/>
  <c r="AF85" i="1"/>
  <c r="AF86" i="1"/>
  <c r="AF87" i="1"/>
  <c r="AF78" i="1"/>
  <c r="AF56" i="1"/>
  <c r="AF57" i="1"/>
  <c r="AF58" i="1"/>
  <c r="AF59" i="1"/>
  <c r="AF60" i="1"/>
  <c r="AF61" i="1"/>
  <c r="AF62" i="1"/>
  <c r="AF63" i="1"/>
  <c r="AF64" i="1"/>
  <c r="AF55" i="1"/>
  <c r="AF33" i="1"/>
  <c r="AF34" i="1"/>
  <c r="AF35" i="1"/>
  <c r="AF36" i="1"/>
  <c r="AF37" i="1"/>
  <c r="AF38" i="1"/>
  <c r="AF39" i="1"/>
  <c r="AF40" i="1"/>
  <c r="AF41" i="1"/>
  <c r="AF32" i="1"/>
  <c r="AF10" i="1"/>
  <c r="AF11" i="1"/>
  <c r="AF12" i="1"/>
  <c r="AF13" i="1"/>
  <c r="AF14" i="1"/>
  <c r="AF15" i="1"/>
  <c r="AF16" i="1"/>
  <c r="AF17" i="1"/>
  <c r="AF18" i="1"/>
  <c r="Q296" i="1" l="1"/>
  <c r="M11" i="2" l="1"/>
  <c r="N365" i="1"/>
  <c r="N370" i="1" s="1"/>
  <c r="N350" i="1"/>
  <c r="Q346" i="1" s="1"/>
  <c r="N334" i="1"/>
  <c r="N318" i="1"/>
  <c r="N317" i="1"/>
  <c r="M7" i="3" l="1"/>
  <c r="Q330" i="1"/>
  <c r="N319" i="1"/>
  <c r="Q313" i="1"/>
  <c r="Q314" i="1"/>
  <c r="N336" i="1"/>
  <c r="Q332" i="1" s="1"/>
  <c r="Q331" i="1"/>
  <c r="Q347" i="1"/>
  <c r="N277" i="1"/>
  <c r="N278" i="1"/>
  <c r="N279" i="1"/>
  <c r="N276" i="1"/>
  <c r="N257" i="1"/>
  <c r="N258" i="1"/>
  <c r="N259" i="1"/>
  <c r="N260" i="1"/>
  <c r="N262" i="1"/>
  <c r="N256" i="1"/>
  <c r="N237" i="1"/>
  <c r="N238" i="1"/>
  <c r="N239" i="1"/>
  <c r="N240" i="1"/>
  <c r="N242" i="1"/>
  <c r="N236" i="1"/>
  <c r="N217" i="1"/>
  <c r="N218" i="1"/>
  <c r="N219" i="1"/>
  <c r="N220" i="1"/>
  <c r="N222" i="1"/>
  <c r="N216" i="1"/>
  <c r="N194" i="1"/>
  <c r="N195" i="1"/>
  <c r="N196" i="1"/>
  <c r="N198" i="1"/>
  <c r="N199" i="1"/>
  <c r="N200" i="1"/>
  <c r="N201" i="1"/>
  <c r="N202" i="1"/>
  <c r="N203" i="1"/>
  <c r="N193" i="1"/>
  <c r="N171" i="1"/>
  <c r="N172" i="1"/>
  <c r="N173" i="1"/>
  <c r="N174" i="1"/>
  <c r="N175" i="1"/>
  <c r="N176" i="1"/>
  <c r="N177" i="1"/>
  <c r="N178" i="1"/>
  <c r="N179" i="1"/>
  <c r="N180" i="1"/>
  <c r="N170" i="1"/>
  <c r="N148" i="1"/>
  <c r="N149" i="1"/>
  <c r="N150" i="1"/>
  <c r="N151" i="1"/>
  <c r="N152" i="1"/>
  <c r="N153" i="1"/>
  <c r="N154" i="1"/>
  <c r="N155" i="1"/>
  <c r="N156" i="1"/>
  <c r="N157" i="1"/>
  <c r="N147" i="1"/>
  <c r="N126" i="1"/>
  <c r="N127" i="1"/>
  <c r="N128" i="1"/>
  <c r="N129" i="1"/>
  <c r="N130" i="1"/>
  <c r="N131" i="1"/>
  <c r="N132" i="1"/>
  <c r="N133" i="1"/>
  <c r="N134" i="1"/>
  <c r="N124" i="1"/>
  <c r="N111" i="1"/>
  <c r="N102" i="1"/>
  <c r="N103" i="1"/>
  <c r="N104" i="1"/>
  <c r="N105" i="1"/>
  <c r="N106" i="1"/>
  <c r="N107" i="1"/>
  <c r="N108" i="1"/>
  <c r="N109" i="1"/>
  <c r="N110" i="1"/>
  <c r="N101" i="1"/>
  <c r="N79" i="1"/>
  <c r="N80" i="1"/>
  <c r="N81" i="1"/>
  <c r="N82" i="1"/>
  <c r="N83" i="1"/>
  <c r="N84" i="1"/>
  <c r="N85" i="1"/>
  <c r="N86" i="1"/>
  <c r="N87" i="1"/>
  <c r="N88" i="1"/>
  <c r="N78" i="1"/>
  <c r="N56" i="1"/>
  <c r="N57" i="1"/>
  <c r="N58" i="1"/>
  <c r="N59" i="1"/>
  <c r="N60" i="1"/>
  <c r="N61" i="1"/>
  <c r="N62" i="1"/>
  <c r="N63" i="1"/>
  <c r="N64" i="1"/>
  <c r="N65" i="1"/>
  <c r="N55" i="1"/>
  <c r="N33" i="1"/>
  <c r="N34" i="1"/>
  <c r="N35" i="1"/>
  <c r="N36" i="1"/>
  <c r="N37" i="1"/>
  <c r="N38" i="1"/>
  <c r="N39" i="1"/>
  <c r="N40" i="1"/>
  <c r="N41" i="1"/>
  <c r="N42" i="1"/>
  <c r="AP351" i="1"/>
  <c r="AO351" i="1"/>
  <c r="AN351" i="1"/>
  <c r="AM351" i="1"/>
  <c r="AL351" i="1"/>
  <c r="AK351" i="1"/>
  <c r="AV336" i="1"/>
  <c r="AU336" i="1"/>
  <c r="AT336" i="1"/>
  <c r="AW336" i="1" s="1"/>
  <c r="AP335" i="1"/>
  <c r="AO335" i="1"/>
  <c r="AN335" i="1"/>
  <c r="AM335" i="1"/>
  <c r="AL335" i="1"/>
  <c r="AK335" i="1"/>
  <c r="AV366" i="1"/>
  <c r="AU366" i="1"/>
  <c r="AT366" i="1"/>
  <c r="AS366" i="1"/>
  <c r="AR366" i="1"/>
  <c r="AQ366" i="1"/>
  <c r="AW366" i="1" s="1"/>
  <c r="AP365" i="1"/>
  <c r="AO365" i="1"/>
  <c r="AN365" i="1"/>
  <c r="AM365" i="1"/>
  <c r="AL365" i="1"/>
  <c r="AK365" i="1"/>
  <c r="AV351" i="1"/>
  <c r="AU351" i="1"/>
  <c r="AT351" i="1"/>
  <c r="AS351" i="1"/>
  <c r="AR351" i="1"/>
  <c r="AQ351" i="1"/>
  <c r="AP350" i="1"/>
  <c r="AO350" i="1"/>
  <c r="AN350" i="1"/>
  <c r="AM350" i="1"/>
  <c r="AL350" i="1"/>
  <c r="AK350" i="1"/>
  <c r="AV335" i="1"/>
  <c r="AU335" i="1"/>
  <c r="AT335" i="1"/>
  <c r="AS335" i="1"/>
  <c r="AR335" i="1"/>
  <c r="AQ335" i="1"/>
  <c r="AP334" i="1"/>
  <c r="AO334" i="1"/>
  <c r="AN334" i="1"/>
  <c r="AM334" i="1"/>
  <c r="AL334" i="1"/>
  <c r="AK334" i="1"/>
  <c r="AV318" i="1"/>
  <c r="AV319" i="1"/>
  <c r="AU318" i="1"/>
  <c r="AU319" i="1"/>
  <c r="AT318" i="1"/>
  <c r="AT319" i="1"/>
  <c r="AS318" i="1"/>
  <c r="AS319" i="1"/>
  <c r="AR318" i="1"/>
  <c r="AR319" i="1"/>
  <c r="AQ318" i="1"/>
  <c r="AQ319" i="1"/>
  <c r="AP317" i="1"/>
  <c r="AP318" i="1"/>
  <c r="AO317" i="1"/>
  <c r="AO318" i="1"/>
  <c r="AN317" i="1"/>
  <c r="AN318" i="1"/>
  <c r="AM317" i="1"/>
  <c r="AM318" i="1"/>
  <c r="AL317" i="1"/>
  <c r="AL318" i="1"/>
  <c r="AK317" i="1"/>
  <c r="AK318" i="1"/>
  <c r="AV317" i="1"/>
  <c r="AU317" i="1"/>
  <c r="AT317" i="1"/>
  <c r="AS317" i="1"/>
  <c r="AR317" i="1"/>
  <c r="AQ317" i="1"/>
  <c r="AP316" i="1"/>
  <c r="AO316" i="1"/>
  <c r="AN316" i="1"/>
  <c r="AM316" i="1"/>
  <c r="AL316" i="1"/>
  <c r="AK316" i="1"/>
  <c r="AV298" i="1"/>
  <c r="AV299" i="1"/>
  <c r="AV300" i="1"/>
  <c r="AU298" i="1"/>
  <c r="AU299" i="1"/>
  <c r="AU300" i="1"/>
  <c r="AT298" i="1"/>
  <c r="AT299" i="1"/>
  <c r="AT300" i="1"/>
  <c r="AS298" i="1"/>
  <c r="AS299" i="1"/>
  <c r="AS300" i="1"/>
  <c r="AR298" i="1"/>
  <c r="AR299" i="1"/>
  <c r="AQ298" i="1"/>
  <c r="AQ299" i="1"/>
  <c r="AP297" i="1"/>
  <c r="AP298" i="1"/>
  <c r="AP299" i="1"/>
  <c r="AO297" i="1"/>
  <c r="AO298" i="1"/>
  <c r="AO299" i="1"/>
  <c r="AN297" i="1"/>
  <c r="AN298" i="1"/>
  <c r="AN299" i="1"/>
  <c r="AM297" i="1"/>
  <c r="AM298" i="1"/>
  <c r="AM299" i="1"/>
  <c r="AL297" i="1"/>
  <c r="AL298" i="1"/>
  <c r="AL299" i="1"/>
  <c r="AK297" i="1"/>
  <c r="AK298" i="1"/>
  <c r="AK299" i="1"/>
  <c r="AW334" i="1" l="1"/>
  <c r="AW318" i="1"/>
  <c r="AW365" i="1"/>
  <c r="AW317" i="1"/>
  <c r="AW299" i="1"/>
  <c r="AW298" i="1"/>
  <c r="AW316" i="1"/>
  <c r="AW323" i="1" s="1"/>
  <c r="AW319" i="1"/>
  <c r="AW350" i="1"/>
  <c r="AW335" i="1"/>
  <c r="AW351" i="1"/>
  <c r="Q51" i="1"/>
  <c r="Q74" i="1"/>
  <c r="Q143" i="1"/>
  <c r="Q212" i="1"/>
  <c r="Q272" i="1"/>
  <c r="Q252" i="1"/>
  <c r="Q120" i="1"/>
  <c r="Q189" i="1"/>
  <c r="Q97" i="1"/>
  <c r="Q166" i="1"/>
  <c r="Q98" i="1"/>
  <c r="Q100" i="1"/>
  <c r="Q99" i="1"/>
  <c r="P215" i="1"/>
  <c r="Q215" i="1" s="1"/>
  <c r="P214" i="1"/>
  <c r="Q214" i="1" s="1"/>
  <c r="Q213" i="1"/>
  <c r="Q235" i="1"/>
  <c r="Q234" i="1"/>
  <c r="Q233" i="1"/>
  <c r="Q255" i="1"/>
  <c r="Q254" i="1"/>
  <c r="Q253" i="1"/>
  <c r="N281" i="1"/>
  <c r="Q274" i="1"/>
  <c r="Q275" i="1"/>
  <c r="Q273" i="1"/>
  <c r="Q30" i="1"/>
  <c r="Q29" i="1"/>
  <c r="Q31" i="1"/>
  <c r="Q76" i="1"/>
  <c r="Q75" i="1"/>
  <c r="Q77" i="1"/>
  <c r="Q54" i="1"/>
  <c r="Q53" i="1"/>
  <c r="Q52" i="1"/>
  <c r="Q190" i="1"/>
  <c r="Q191" i="1"/>
  <c r="Q192" i="1"/>
  <c r="Q315" i="1"/>
  <c r="Q167" i="1"/>
  <c r="Q168" i="1"/>
  <c r="Q169" i="1"/>
  <c r="Q145" i="1"/>
  <c r="Q146" i="1"/>
  <c r="Q144" i="1"/>
  <c r="Q236" i="1"/>
  <c r="Q237" i="1"/>
  <c r="Q151" i="1"/>
  <c r="P216" i="1"/>
  <c r="Q216" i="1" s="1"/>
  <c r="Q147" i="1"/>
  <c r="Q82" i="1"/>
  <c r="Q101" i="1"/>
  <c r="Q148" i="1"/>
  <c r="Q196" i="1"/>
  <c r="Q80" i="1"/>
  <c r="Q128" i="1"/>
  <c r="Q175" i="1"/>
  <c r="Q32" i="1"/>
  <c r="Q35" i="1"/>
  <c r="Q79" i="1"/>
  <c r="Q127" i="1"/>
  <c r="Q174" i="1"/>
  <c r="Q194" i="1"/>
  <c r="Q58" i="1"/>
  <c r="Q257" i="1"/>
  <c r="Q83" i="1"/>
  <c r="Q104" i="1"/>
  <c r="Q198" i="1"/>
  <c r="Q197" i="1"/>
  <c r="Q37" i="1"/>
  <c r="Q81" i="1"/>
  <c r="P217" i="1"/>
  <c r="Q217" i="1" s="1"/>
  <c r="Q55" i="1"/>
  <c r="Q105" i="1"/>
  <c r="Q171" i="1"/>
  <c r="Q57" i="1"/>
  <c r="Q150" i="1"/>
  <c r="Q276" i="1"/>
  <c r="Q56" i="1"/>
  <c r="Q103" i="1"/>
  <c r="Q149" i="1"/>
  <c r="Q256" i="1"/>
  <c r="Q78" i="1"/>
  <c r="Q102" i="1"/>
  <c r="Q129" i="1"/>
  <c r="Q193" i="1"/>
  <c r="Q36" i="1"/>
  <c r="Q195" i="1"/>
  <c r="Q34" i="1"/>
  <c r="Q60" i="1"/>
  <c r="Q126" i="1"/>
  <c r="Q170" i="1"/>
  <c r="Q173" i="1"/>
  <c r="Q33" i="1"/>
  <c r="Q59" i="1"/>
  <c r="Q106" i="1"/>
  <c r="Q152" i="1"/>
  <c r="Q172" i="1"/>
  <c r="AW370" i="1"/>
  <c r="AV278" i="1"/>
  <c r="AV279" i="1"/>
  <c r="AV280" i="1"/>
  <c r="AV281" i="1"/>
  <c r="AU278" i="1"/>
  <c r="AU279" i="1"/>
  <c r="AU280" i="1"/>
  <c r="AU281" i="1"/>
  <c r="AT278" i="1"/>
  <c r="AT279" i="1"/>
  <c r="AT280" i="1"/>
  <c r="AT281" i="1"/>
  <c r="AS278" i="1"/>
  <c r="AS279" i="1"/>
  <c r="AS280" i="1"/>
  <c r="AS281" i="1"/>
  <c r="AR278" i="1"/>
  <c r="AR279" i="1"/>
  <c r="AR280" i="1"/>
  <c r="AR281" i="1"/>
  <c r="AQ278" i="1"/>
  <c r="AQ279" i="1"/>
  <c r="AQ280" i="1"/>
  <c r="AQ281" i="1"/>
  <c r="AP277" i="1"/>
  <c r="AP278" i="1"/>
  <c r="AP279" i="1"/>
  <c r="AP280" i="1"/>
  <c r="AP281" i="1"/>
  <c r="AO277" i="1"/>
  <c r="AO278" i="1"/>
  <c r="AO279" i="1"/>
  <c r="AO280" i="1"/>
  <c r="AO281" i="1"/>
  <c r="AN277" i="1"/>
  <c r="AN278" i="1"/>
  <c r="AN279" i="1"/>
  <c r="AN280" i="1"/>
  <c r="AN281" i="1"/>
  <c r="AM277" i="1"/>
  <c r="AM278" i="1"/>
  <c r="AM279" i="1"/>
  <c r="AM280" i="1"/>
  <c r="AM281" i="1"/>
  <c r="AL277" i="1"/>
  <c r="AL278" i="1"/>
  <c r="AL279" i="1"/>
  <c r="AL280" i="1"/>
  <c r="AL281" i="1"/>
  <c r="AK277" i="1"/>
  <c r="AK278" i="1"/>
  <c r="AK279" i="1"/>
  <c r="AK280" i="1"/>
  <c r="AK281" i="1"/>
  <c r="AV297" i="1"/>
  <c r="AU297" i="1"/>
  <c r="AT297" i="1"/>
  <c r="AS297" i="1"/>
  <c r="AR297" i="1"/>
  <c r="AR300" i="1" s="1"/>
  <c r="AQ297" i="1"/>
  <c r="AQ300" i="1" s="1"/>
  <c r="AW300" i="1" s="1"/>
  <c r="AP296" i="1"/>
  <c r="AO296" i="1"/>
  <c r="AN296" i="1"/>
  <c r="AM296" i="1"/>
  <c r="AL296" i="1"/>
  <c r="AK296" i="1"/>
  <c r="AV277" i="1"/>
  <c r="AU277" i="1"/>
  <c r="AT277" i="1"/>
  <c r="AS277" i="1"/>
  <c r="AR277" i="1"/>
  <c r="AQ277" i="1"/>
  <c r="AP276" i="1"/>
  <c r="AO276" i="1"/>
  <c r="AN276" i="1"/>
  <c r="AM276" i="1"/>
  <c r="AL276" i="1"/>
  <c r="AK276" i="1"/>
  <c r="AV258" i="1"/>
  <c r="AV259" i="1"/>
  <c r="AV260" i="1"/>
  <c r="AV261" i="1"/>
  <c r="AV262" i="1"/>
  <c r="AU258" i="1"/>
  <c r="AU259" i="1"/>
  <c r="AU260" i="1"/>
  <c r="AU261" i="1"/>
  <c r="AU262" i="1"/>
  <c r="AT258" i="1"/>
  <c r="AT259" i="1"/>
  <c r="AT260" i="1"/>
  <c r="AT261" i="1"/>
  <c r="AT262" i="1"/>
  <c r="AS258" i="1"/>
  <c r="AS259" i="1"/>
  <c r="AS260" i="1"/>
  <c r="AS261" i="1"/>
  <c r="AS262" i="1"/>
  <c r="AR258" i="1"/>
  <c r="AR259" i="1"/>
  <c r="AR260" i="1"/>
  <c r="AR261" i="1"/>
  <c r="AR262" i="1"/>
  <c r="AQ258" i="1"/>
  <c r="AQ259" i="1"/>
  <c r="AQ260" i="1"/>
  <c r="AQ261" i="1"/>
  <c r="AP257" i="1"/>
  <c r="AP258" i="1"/>
  <c r="AP259" i="1"/>
  <c r="AP260" i="1"/>
  <c r="AP261" i="1"/>
  <c r="AO257" i="1"/>
  <c r="AO258" i="1"/>
  <c r="AO259" i="1"/>
  <c r="AO260" i="1"/>
  <c r="AO261" i="1"/>
  <c r="AN257" i="1"/>
  <c r="AN258" i="1"/>
  <c r="AN259" i="1"/>
  <c r="AN260" i="1"/>
  <c r="AN261" i="1"/>
  <c r="AM257" i="1"/>
  <c r="AM258" i="1"/>
  <c r="AM259" i="1"/>
  <c r="AM260" i="1"/>
  <c r="AM261" i="1"/>
  <c r="AL257" i="1"/>
  <c r="AL258" i="1"/>
  <c r="AL259" i="1"/>
  <c r="AL260" i="1"/>
  <c r="AL261" i="1"/>
  <c r="AK257" i="1"/>
  <c r="AK258" i="1"/>
  <c r="AK259" i="1"/>
  <c r="AK260" i="1"/>
  <c r="AK261" i="1"/>
  <c r="AV257" i="1"/>
  <c r="AU257" i="1"/>
  <c r="AT257" i="1"/>
  <c r="AS257" i="1"/>
  <c r="AR257" i="1"/>
  <c r="AQ257" i="1"/>
  <c r="AP256" i="1"/>
  <c r="AO256" i="1"/>
  <c r="AN256" i="1"/>
  <c r="AM256" i="1"/>
  <c r="AL256" i="1"/>
  <c r="AK256" i="1"/>
  <c r="AV238" i="1"/>
  <c r="AV239" i="1"/>
  <c r="AV240" i="1"/>
  <c r="AV241" i="1"/>
  <c r="AV242" i="1"/>
  <c r="AU238" i="1"/>
  <c r="AU239" i="1"/>
  <c r="AU240" i="1"/>
  <c r="AU241" i="1"/>
  <c r="AU242" i="1"/>
  <c r="AT238" i="1"/>
  <c r="AT239" i="1"/>
  <c r="AT240" i="1"/>
  <c r="AT241" i="1"/>
  <c r="AT242" i="1"/>
  <c r="AS238" i="1"/>
  <c r="AS239" i="1"/>
  <c r="AS240" i="1"/>
  <c r="AS241" i="1"/>
  <c r="AS242" i="1"/>
  <c r="AR238" i="1"/>
  <c r="AR239" i="1"/>
  <c r="AR240" i="1"/>
  <c r="AR241" i="1"/>
  <c r="AR242" i="1"/>
  <c r="AQ238" i="1"/>
  <c r="AQ239" i="1"/>
  <c r="AQ240" i="1"/>
  <c r="AQ241" i="1"/>
  <c r="AP241" i="1"/>
  <c r="AP237" i="1"/>
  <c r="AP238" i="1"/>
  <c r="AP239" i="1"/>
  <c r="AP240" i="1"/>
  <c r="AO237" i="1"/>
  <c r="AO238" i="1"/>
  <c r="AO239" i="1"/>
  <c r="AO240" i="1"/>
  <c r="AO241" i="1"/>
  <c r="AN237" i="1"/>
  <c r="AN238" i="1"/>
  <c r="AN239" i="1"/>
  <c r="AN240" i="1"/>
  <c r="AN241" i="1"/>
  <c r="AM237" i="1"/>
  <c r="AM238" i="1"/>
  <c r="AM239" i="1"/>
  <c r="AM240" i="1"/>
  <c r="AM241" i="1"/>
  <c r="AL237" i="1"/>
  <c r="AL238" i="1"/>
  <c r="AL239" i="1"/>
  <c r="AL240" i="1"/>
  <c r="AL241" i="1"/>
  <c r="AK237" i="1"/>
  <c r="AK238" i="1"/>
  <c r="AK239" i="1"/>
  <c r="AK240" i="1"/>
  <c r="AK241" i="1"/>
  <c r="AV237" i="1"/>
  <c r="AU237" i="1"/>
  <c r="AT237" i="1"/>
  <c r="AS237" i="1"/>
  <c r="AR237" i="1"/>
  <c r="AQ237" i="1"/>
  <c r="AP236" i="1"/>
  <c r="AO236" i="1"/>
  <c r="AN236" i="1"/>
  <c r="AM236" i="1"/>
  <c r="AL236" i="1"/>
  <c r="AK236" i="1"/>
  <c r="AV218" i="1"/>
  <c r="AV219" i="1"/>
  <c r="AV220" i="1"/>
  <c r="AV221" i="1"/>
  <c r="AV222" i="1"/>
  <c r="AU218" i="1"/>
  <c r="AU219" i="1"/>
  <c r="AU220" i="1"/>
  <c r="AU221" i="1"/>
  <c r="AU222" i="1"/>
  <c r="AT218" i="1"/>
  <c r="AT219" i="1"/>
  <c r="AT220" i="1"/>
  <c r="AT221" i="1"/>
  <c r="AT222" i="1"/>
  <c r="AS218" i="1"/>
  <c r="AS219" i="1"/>
  <c r="AS220" i="1"/>
  <c r="AS221" i="1"/>
  <c r="AS222" i="1"/>
  <c r="AR218" i="1"/>
  <c r="AR219" i="1"/>
  <c r="AR220" i="1"/>
  <c r="AR221" i="1"/>
  <c r="AR222" i="1"/>
  <c r="AQ218" i="1"/>
  <c r="AQ219" i="1"/>
  <c r="AQ220" i="1"/>
  <c r="AQ221" i="1"/>
  <c r="AP217" i="1"/>
  <c r="AP218" i="1"/>
  <c r="AP219" i="1"/>
  <c r="AP220" i="1"/>
  <c r="AP221" i="1"/>
  <c r="AO217" i="1"/>
  <c r="AO218" i="1"/>
  <c r="AO219" i="1"/>
  <c r="AO220" i="1"/>
  <c r="AO221" i="1"/>
  <c r="AN217" i="1"/>
  <c r="AN218" i="1"/>
  <c r="AN219" i="1"/>
  <c r="AN220" i="1"/>
  <c r="AN221" i="1"/>
  <c r="AM217" i="1"/>
  <c r="AM218" i="1"/>
  <c r="AM219" i="1"/>
  <c r="AM220" i="1"/>
  <c r="AM221" i="1"/>
  <c r="AL217" i="1"/>
  <c r="AL218" i="1"/>
  <c r="AL219" i="1"/>
  <c r="AL220" i="1"/>
  <c r="AL221" i="1"/>
  <c r="AK217" i="1"/>
  <c r="AK218" i="1"/>
  <c r="AK219" i="1"/>
  <c r="AK220" i="1"/>
  <c r="AK221" i="1"/>
  <c r="AV217" i="1"/>
  <c r="AU217" i="1"/>
  <c r="AT217" i="1"/>
  <c r="AS217" i="1"/>
  <c r="AR217" i="1"/>
  <c r="AQ217" i="1"/>
  <c r="AP216" i="1"/>
  <c r="AO216" i="1"/>
  <c r="AN216" i="1"/>
  <c r="AM216" i="1"/>
  <c r="AL216" i="1"/>
  <c r="AK216" i="1"/>
  <c r="AV195" i="1"/>
  <c r="AV196" i="1"/>
  <c r="AV197" i="1"/>
  <c r="AV198" i="1"/>
  <c r="AV199" i="1"/>
  <c r="AV200" i="1"/>
  <c r="AV201" i="1"/>
  <c r="AV202" i="1"/>
  <c r="AV203" i="1"/>
  <c r="AU195" i="1"/>
  <c r="AU196" i="1"/>
  <c r="AU197" i="1"/>
  <c r="AU198" i="1"/>
  <c r="AU199" i="1"/>
  <c r="AU200" i="1"/>
  <c r="AU201" i="1"/>
  <c r="AU202" i="1"/>
  <c r="AU203" i="1"/>
  <c r="AT195" i="1"/>
  <c r="AT196" i="1"/>
  <c r="AT197" i="1"/>
  <c r="AT198" i="1"/>
  <c r="AT199" i="1"/>
  <c r="AT200" i="1"/>
  <c r="AT201" i="1"/>
  <c r="AT202" i="1"/>
  <c r="AT203" i="1"/>
  <c r="AS195" i="1"/>
  <c r="AS196" i="1"/>
  <c r="AS197" i="1"/>
  <c r="AS198" i="1"/>
  <c r="AS199" i="1"/>
  <c r="AS200" i="1"/>
  <c r="AS201" i="1"/>
  <c r="AS202" i="1"/>
  <c r="AS203" i="1"/>
  <c r="AR195" i="1"/>
  <c r="AR196" i="1"/>
  <c r="AR197" i="1"/>
  <c r="AR198" i="1"/>
  <c r="AR199" i="1"/>
  <c r="AR200" i="1"/>
  <c r="AR201" i="1"/>
  <c r="AR202" i="1"/>
  <c r="AR203" i="1"/>
  <c r="AQ195" i="1"/>
  <c r="AQ196" i="1"/>
  <c r="AQ197" i="1"/>
  <c r="AQ198" i="1"/>
  <c r="AQ199" i="1"/>
  <c r="AQ200" i="1"/>
  <c r="AQ201" i="1"/>
  <c r="AQ202" i="1"/>
  <c r="AQ203" i="1"/>
  <c r="AP194" i="1"/>
  <c r="AP195" i="1"/>
  <c r="AP196" i="1"/>
  <c r="AP197" i="1"/>
  <c r="AP198" i="1"/>
  <c r="AP199" i="1"/>
  <c r="AP200" i="1"/>
  <c r="AP201" i="1"/>
  <c r="AP202" i="1"/>
  <c r="AP203" i="1"/>
  <c r="AO194" i="1"/>
  <c r="AO195" i="1"/>
  <c r="AO196" i="1"/>
  <c r="AO197" i="1"/>
  <c r="AO198" i="1"/>
  <c r="AO199" i="1"/>
  <c r="AO200" i="1"/>
  <c r="AO201" i="1"/>
  <c r="AO202" i="1"/>
  <c r="AO203" i="1"/>
  <c r="AN194" i="1"/>
  <c r="AN195" i="1"/>
  <c r="AN196" i="1"/>
  <c r="AN197" i="1"/>
  <c r="AN198" i="1"/>
  <c r="AN199" i="1"/>
  <c r="AN200" i="1"/>
  <c r="AN201" i="1"/>
  <c r="AN202" i="1"/>
  <c r="AN203" i="1"/>
  <c r="AM203" i="1"/>
  <c r="AM194" i="1"/>
  <c r="AM195" i="1"/>
  <c r="AM196" i="1"/>
  <c r="AM197" i="1"/>
  <c r="AM198" i="1"/>
  <c r="AM199" i="1"/>
  <c r="AM200" i="1"/>
  <c r="AM201" i="1"/>
  <c r="AM202" i="1"/>
  <c r="AL194" i="1"/>
  <c r="AL195" i="1"/>
  <c r="AL196" i="1"/>
  <c r="AL197" i="1"/>
  <c r="AL198" i="1"/>
  <c r="AL199" i="1"/>
  <c r="AL200" i="1"/>
  <c r="AL201" i="1"/>
  <c r="AL202" i="1"/>
  <c r="AL203" i="1"/>
  <c r="AK194" i="1"/>
  <c r="AK195" i="1"/>
  <c r="AK196" i="1"/>
  <c r="AK197" i="1"/>
  <c r="AK198" i="1"/>
  <c r="AK199" i="1"/>
  <c r="AK200" i="1"/>
  <c r="AK201" i="1"/>
  <c r="AK202" i="1"/>
  <c r="AK203" i="1"/>
  <c r="AV194" i="1"/>
  <c r="AU194" i="1"/>
  <c r="AT194" i="1"/>
  <c r="AS194" i="1"/>
  <c r="AR194" i="1"/>
  <c r="AQ194" i="1"/>
  <c r="AP193" i="1"/>
  <c r="AO193" i="1"/>
  <c r="AN193" i="1"/>
  <c r="AM193" i="1"/>
  <c r="AL193" i="1"/>
  <c r="AK193" i="1"/>
  <c r="AV172" i="1"/>
  <c r="AV173" i="1"/>
  <c r="AV174" i="1"/>
  <c r="AV175" i="1"/>
  <c r="AV176" i="1"/>
  <c r="AV177" i="1"/>
  <c r="AV178" i="1"/>
  <c r="AV179" i="1"/>
  <c r="AV180" i="1"/>
  <c r="AU172" i="1"/>
  <c r="AU173" i="1"/>
  <c r="AU174" i="1"/>
  <c r="AU175" i="1"/>
  <c r="AU176" i="1"/>
  <c r="AU177" i="1"/>
  <c r="AU178" i="1"/>
  <c r="AU179" i="1"/>
  <c r="AU180" i="1"/>
  <c r="AT172" i="1"/>
  <c r="AT173" i="1"/>
  <c r="AT174" i="1"/>
  <c r="AT175" i="1"/>
  <c r="AT176" i="1"/>
  <c r="AT177" i="1"/>
  <c r="AT178" i="1"/>
  <c r="AT179" i="1"/>
  <c r="AT180" i="1"/>
  <c r="AS172" i="1"/>
  <c r="AS173" i="1"/>
  <c r="AS174" i="1"/>
  <c r="AS175" i="1"/>
  <c r="AS176" i="1"/>
  <c r="AS177" i="1"/>
  <c r="AS178" i="1"/>
  <c r="AS179" i="1"/>
  <c r="AS180" i="1"/>
  <c r="AR172" i="1"/>
  <c r="AR173" i="1"/>
  <c r="AR174" i="1"/>
  <c r="AR175" i="1"/>
  <c r="AR176" i="1"/>
  <c r="AR177" i="1"/>
  <c r="AR178" i="1"/>
  <c r="AR179" i="1"/>
  <c r="AR180" i="1"/>
  <c r="AQ172" i="1"/>
  <c r="AQ173" i="1"/>
  <c r="AQ174" i="1"/>
  <c r="AQ175" i="1"/>
  <c r="AQ176" i="1"/>
  <c r="AQ177" i="1"/>
  <c r="AQ178" i="1"/>
  <c r="AQ179" i="1"/>
  <c r="AQ180" i="1"/>
  <c r="AP171" i="1"/>
  <c r="AP172" i="1"/>
  <c r="AP173" i="1"/>
  <c r="AP174" i="1"/>
  <c r="AP175" i="1"/>
  <c r="AP176" i="1"/>
  <c r="AP177" i="1"/>
  <c r="AP178" i="1"/>
  <c r="AP179" i="1"/>
  <c r="AP180" i="1"/>
  <c r="AO171" i="1"/>
  <c r="AO172" i="1"/>
  <c r="AO173" i="1"/>
  <c r="AO174" i="1"/>
  <c r="AO175" i="1"/>
  <c r="AO176" i="1"/>
  <c r="AO177" i="1"/>
  <c r="AO178" i="1"/>
  <c r="AO179" i="1"/>
  <c r="AO180" i="1"/>
  <c r="AN171" i="1"/>
  <c r="AN172" i="1"/>
  <c r="AN173" i="1"/>
  <c r="AN174" i="1"/>
  <c r="AN175" i="1"/>
  <c r="AN176" i="1"/>
  <c r="AN177" i="1"/>
  <c r="AN178" i="1"/>
  <c r="AN179" i="1"/>
  <c r="AN180" i="1"/>
  <c r="AM171" i="1"/>
  <c r="AM172" i="1"/>
  <c r="AM173" i="1"/>
  <c r="AM174" i="1"/>
  <c r="AM175" i="1"/>
  <c r="AM176" i="1"/>
  <c r="AM177" i="1"/>
  <c r="AM178" i="1"/>
  <c r="AM179" i="1"/>
  <c r="AM180" i="1"/>
  <c r="AL171" i="1"/>
  <c r="AL172" i="1"/>
  <c r="AL173" i="1"/>
  <c r="AL174" i="1"/>
  <c r="AL175" i="1"/>
  <c r="AL176" i="1"/>
  <c r="AL177" i="1"/>
  <c r="AL178" i="1"/>
  <c r="AL179" i="1"/>
  <c r="AL180" i="1"/>
  <c r="AK171" i="1"/>
  <c r="AK172" i="1"/>
  <c r="AK173" i="1"/>
  <c r="AK174" i="1"/>
  <c r="AK175" i="1"/>
  <c r="AK176" i="1"/>
  <c r="AK177" i="1"/>
  <c r="AK178" i="1"/>
  <c r="AK179" i="1"/>
  <c r="AK180" i="1"/>
  <c r="AV171" i="1"/>
  <c r="AU171" i="1"/>
  <c r="AT171" i="1"/>
  <c r="AS171" i="1"/>
  <c r="AR171" i="1"/>
  <c r="AQ171" i="1"/>
  <c r="AP170" i="1"/>
  <c r="AO170" i="1"/>
  <c r="AN170" i="1"/>
  <c r="AM170" i="1"/>
  <c r="AL170" i="1"/>
  <c r="AK170" i="1"/>
  <c r="AV149" i="1"/>
  <c r="AV150" i="1"/>
  <c r="AV151" i="1"/>
  <c r="AV152" i="1"/>
  <c r="AV153" i="1"/>
  <c r="AV154" i="1"/>
  <c r="AV155" i="1"/>
  <c r="AV156" i="1"/>
  <c r="AV157" i="1"/>
  <c r="AU149" i="1"/>
  <c r="AU150" i="1"/>
  <c r="AU151" i="1"/>
  <c r="AU152" i="1"/>
  <c r="AU153" i="1"/>
  <c r="AU154" i="1"/>
  <c r="AU155" i="1"/>
  <c r="AU156" i="1"/>
  <c r="AU157" i="1"/>
  <c r="AT149" i="1"/>
  <c r="AT150" i="1"/>
  <c r="AT151" i="1"/>
  <c r="AT152" i="1"/>
  <c r="AT153" i="1"/>
  <c r="AT154" i="1"/>
  <c r="AT155" i="1"/>
  <c r="AT156" i="1"/>
  <c r="AT157" i="1"/>
  <c r="AS149" i="1"/>
  <c r="AS150" i="1"/>
  <c r="AS151" i="1"/>
  <c r="AS152" i="1"/>
  <c r="AS153" i="1"/>
  <c r="AS154" i="1"/>
  <c r="AS155" i="1"/>
  <c r="AS156" i="1"/>
  <c r="AS157" i="1"/>
  <c r="AR149" i="1"/>
  <c r="AR150" i="1"/>
  <c r="AR151" i="1"/>
  <c r="AR152" i="1"/>
  <c r="AR153" i="1"/>
  <c r="AR154" i="1"/>
  <c r="AR155" i="1"/>
  <c r="AR156" i="1"/>
  <c r="AR157" i="1"/>
  <c r="AQ149" i="1"/>
  <c r="AQ150" i="1"/>
  <c r="AQ151" i="1"/>
  <c r="AQ152" i="1"/>
  <c r="AQ153" i="1"/>
  <c r="AQ154" i="1"/>
  <c r="AQ155" i="1"/>
  <c r="AQ156" i="1"/>
  <c r="AQ157" i="1"/>
  <c r="AP148" i="1"/>
  <c r="AP149" i="1"/>
  <c r="AP150" i="1"/>
  <c r="AP151" i="1"/>
  <c r="AP152" i="1"/>
  <c r="AP153" i="1"/>
  <c r="AP154" i="1"/>
  <c r="AP155" i="1"/>
  <c r="AP156" i="1"/>
  <c r="AP157" i="1"/>
  <c r="AO148" i="1"/>
  <c r="AO149" i="1"/>
  <c r="AO150" i="1"/>
  <c r="AO151" i="1"/>
  <c r="AO152" i="1"/>
  <c r="AO153" i="1"/>
  <c r="AO154" i="1"/>
  <c r="AO155" i="1"/>
  <c r="AO156" i="1"/>
  <c r="AO157" i="1"/>
  <c r="AN148" i="1"/>
  <c r="AN149" i="1"/>
  <c r="AN150" i="1"/>
  <c r="AN151" i="1"/>
  <c r="AN152" i="1"/>
  <c r="AN153" i="1"/>
  <c r="AN154" i="1"/>
  <c r="AN155" i="1"/>
  <c r="AN156" i="1"/>
  <c r="AN157" i="1"/>
  <c r="AM148" i="1"/>
  <c r="AM149" i="1"/>
  <c r="AM150" i="1"/>
  <c r="AM151" i="1"/>
  <c r="AM152" i="1"/>
  <c r="AM153" i="1"/>
  <c r="AM154" i="1"/>
  <c r="AM155" i="1"/>
  <c r="AM156" i="1"/>
  <c r="AM157" i="1"/>
  <c r="AL148" i="1"/>
  <c r="AL149" i="1"/>
  <c r="AL150" i="1"/>
  <c r="AL151" i="1"/>
  <c r="AL152" i="1"/>
  <c r="AL153" i="1"/>
  <c r="AL154" i="1"/>
  <c r="AL155" i="1"/>
  <c r="AL156" i="1"/>
  <c r="AL157" i="1"/>
  <c r="AK148" i="1"/>
  <c r="AK149" i="1"/>
  <c r="AK150" i="1"/>
  <c r="AK151" i="1"/>
  <c r="AK152" i="1"/>
  <c r="AK153" i="1"/>
  <c r="AK154" i="1"/>
  <c r="AK155" i="1"/>
  <c r="AK156" i="1"/>
  <c r="AK157" i="1"/>
  <c r="AV148" i="1"/>
  <c r="AU148" i="1"/>
  <c r="AT148" i="1"/>
  <c r="AS148" i="1"/>
  <c r="AR148" i="1"/>
  <c r="AQ148" i="1"/>
  <c r="AP147" i="1"/>
  <c r="AO147" i="1"/>
  <c r="AN147" i="1"/>
  <c r="AM147" i="1"/>
  <c r="AL147" i="1"/>
  <c r="AK147" i="1"/>
  <c r="AV126" i="1"/>
  <c r="AV127" i="1"/>
  <c r="AV128" i="1"/>
  <c r="AV129" i="1"/>
  <c r="AV130" i="1"/>
  <c r="AV131" i="1"/>
  <c r="AV132" i="1"/>
  <c r="AV133" i="1"/>
  <c r="AV134" i="1"/>
  <c r="AU126" i="1"/>
  <c r="AU127" i="1"/>
  <c r="AU128" i="1"/>
  <c r="AU129" i="1"/>
  <c r="AU130" i="1"/>
  <c r="AU131" i="1"/>
  <c r="AU132" i="1"/>
  <c r="AU133" i="1"/>
  <c r="AU134" i="1"/>
  <c r="AT126" i="1"/>
  <c r="AT127" i="1"/>
  <c r="AT128" i="1"/>
  <c r="AT129" i="1"/>
  <c r="AT130" i="1"/>
  <c r="AT131" i="1"/>
  <c r="AT132" i="1"/>
  <c r="AT133" i="1"/>
  <c r="AT134" i="1"/>
  <c r="AS126" i="1"/>
  <c r="AS127" i="1"/>
  <c r="AS128" i="1"/>
  <c r="AS129" i="1"/>
  <c r="AS130" i="1"/>
  <c r="AS131" i="1"/>
  <c r="AS132" i="1"/>
  <c r="AS133" i="1"/>
  <c r="AS134" i="1"/>
  <c r="AR134" i="1"/>
  <c r="AR126" i="1"/>
  <c r="AR127" i="1"/>
  <c r="AR128" i="1"/>
  <c r="AR129" i="1"/>
  <c r="AR130" i="1"/>
  <c r="AR131" i="1"/>
  <c r="AR132" i="1"/>
  <c r="AR133" i="1"/>
  <c r="AQ126" i="1"/>
  <c r="AQ127" i="1"/>
  <c r="AQ128" i="1"/>
  <c r="AQ129" i="1"/>
  <c r="AQ130" i="1"/>
  <c r="AQ131" i="1"/>
  <c r="AQ132" i="1"/>
  <c r="AQ133" i="1"/>
  <c r="AV125" i="1"/>
  <c r="AU125" i="1"/>
  <c r="AT125" i="1"/>
  <c r="AS125" i="1"/>
  <c r="AR125" i="1"/>
  <c r="AQ125" i="1"/>
  <c r="AP125" i="1"/>
  <c r="AP126" i="1"/>
  <c r="AP127" i="1"/>
  <c r="AP128" i="1"/>
  <c r="AP129" i="1"/>
  <c r="AP130" i="1"/>
  <c r="AP131" i="1"/>
  <c r="AP132" i="1"/>
  <c r="AP133" i="1"/>
  <c r="AP134" i="1"/>
  <c r="AO125" i="1"/>
  <c r="AO126" i="1"/>
  <c r="AO127" i="1"/>
  <c r="AO128" i="1"/>
  <c r="AO129" i="1"/>
  <c r="AO130" i="1"/>
  <c r="AO131" i="1"/>
  <c r="AO132" i="1"/>
  <c r="AO133" i="1"/>
  <c r="AO134" i="1"/>
  <c r="AN125" i="1"/>
  <c r="AN126" i="1"/>
  <c r="AN127" i="1"/>
  <c r="AN128" i="1"/>
  <c r="AN129" i="1"/>
  <c r="AN130" i="1"/>
  <c r="AN131" i="1"/>
  <c r="AN132" i="1"/>
  <c r="AN133" i="1"/>
  <c r="AN134" i="1"/>
  <c r="AM125" i="1"/>
  <c r="AM126" i="1"/>
  <c r="AM127" i="1"/>
  <c r="AM128" i="1"/>
  <c r="AM129" i="1"/>
  <c r="AM130" i="1"/>
  <c r="AM131" i="1"/>
  <c r="AM132" i="1"/>
  <c r="AM133" i="1"/>
  <c r="AM134" i="1"/>
  <c r="AL125" i="1"/>
  <c r="AL126" i="1"/>
  <c r="AL127" i="1"/>
  <c r="AL128" i="1"/>
  <c r="AL129" i="1"/>
  <c r="AL130" i="1"/>
  <c r="AL131" i="1"/>
  <c r="AL132" i="1"/>
  <c r="AL133" i="1"/>
  <c r="AL134" i="1"/>
  <c r="AK126" i="1"/>
  <c r="AK127" i="1"/>
  <c r="AK128" i="1"/>
  <c r="AK129" i="1"/>
  <c r="AK130" i="1"/>
  <c r="AK131" i="1"/>
  <c r="AK132" i="1"/>
  <c r="AK133" i="1"/>
  <c r="AK134" i="1"/>
  <c r="AP124" i="1"/>
  <c r="AO124" i="1"/>
  <c r="AN124" i="1"/>
  <c r="AM124" i="1"/>
  <c r="AL124" i="1"/>
  <c r="AK124" i="1"/>
  <c r="AV103" i="1"/>
  <c r="AV104" i="1"/>
  <c r="AV105" i="1"/>
  <c r="AV106" i="1"/>
  <c r="AV107" i="1"/>
  <c r="AV108" i="1"/>
  <c r="AV109" i="1"/>
  <c r="AV110" i="1"/>
  <c r="AV111" i="1"/>
  <c r="AU103" i="1"/>
  <c r="AU104" i="1"/>
  <c r="AU105" i="1"/>
  <c r="AU106" i="1"/>
  <c r="AU107" i="1"/>
  <c r="AU108" i="1"/>
  <c r="AU109" i="1"/>
  <c r="AU110" i="1"/>
  <c r="AU111" i="1"/>
  <c r="AT103" i="1"/>
  <c r="AT104" i="1"/>
  <c r="AT105" i="1"/>
  <c r="AT106" i="1"/>
  <c r="AT107" i="1"/>
  <c r="AT108" i="1"/>
  <c r="AT109" i="1"/>
  <c r="AT110" i="1"/>
  <c r="AT111" i="1"/>
  <c r="AS103" i="1"/>
  <c r="AS104" i="1"/>
  <c r="AS105" i="1"/>
  <c r="AS106" i="1"/>
  <c r="AS107" i="1"/>
  <c r="AS108" i="1"/>
  <c r="AS109" i="1"/>
  <c r="AS110" i="1"/>
  <c r="AS111" i="1"/>
  <c r="AR103" i="1"/>
  <c r="AR104" i="1"/>
  <c r="AR105" i="1"/>
  <c r="AR106" i="1"/>
  <c r="AR107" i="1"/>
  <c r="AR108" i="1"/>
  <c r="AR109" i="1"/>
  <c r="AR110" i="1"/>
  <c r="AR111" i="1"/>
  <c r="AQ111" i="1"/>
  <c r="AQ103" i="1"/>
  <c r="AQ104" i="1"/>
  <c r="AQ105" i="1"/>
  <c r="AQ106" i="1"/>
  <c r="AQ107" i="1"/>
  <c r="AQ108" i="1"/>
  <c r="AQ109" i="1"/>
  <c r="AQ110" i="1"/>
  <c r="AP102" i="1"/>
  <c r="AP103" i="1"/>
  <c r="AP104" i="1"/>
  <c r="AP105" i="1"/>
  <c r="AP106" i="1"/>
  <c r="AP107" i="1"/>
  <c r="AP108" i="1"/>
  <c r="AP109" i="1"/>
  <c r="AP110" i="1"/>
  <c r="AP111" i="1"/>
  <c r="AO102" i="1"/>
  <c r="AO103" i="1"/>
  <c r="AO104" i="1"/>
  <c r="AO105" i="1"/>
  <c r="AO106" i="1"/>
  <c r="AO107" i="1"/>
  <c r="AO108" i="1"/>
  <c r="AO109" i="1"/>
  <c r="AO110" i="1"/>
  <c r="AO111" i="1"/>
  <c r="AN102" i="1"/>
  <c r="AN103" i="1"/>
  <c r="AN104" i="1"/>
  <c r="AN105" i="1"/>
  <c r="AN106" i="1"/>
  <c r="AN107" i="1"/>
  <c r="AN108" i="1"/>
  <c r="AN109" i="1"/>
  <c r="AN110" i="1"/>
  <c r="AN111" i="1"/>
  <c r="AM102" i="1"/>
  <c r="AM103" i="1"/>
  <c r="AM104" i="1"/>
  <c r="AM105" i="1"/>
  <c r="AM106" i="1"/>
  <c r="AM107" i="1"/>
  <c r="AM108" i="1"/>
  <c r="AM109" i="1"/>
  <c r="AM110" i="1"/>
  <c r="AM111" i="1"/>
  <c r="AL102" i="1"/>
  <c r="AL103" i="1"/>
  <c r="AL104" i="1"/>
  <c r="AL105" i="1"/>
  <c r="AL106" i="1"/>
  <c r="AL107" i="1"/>
  <c r="AL108" i="1"/>
  <c r="AL109" i="1"/>
  <c r="AL110" i="1"/>
  <c r="AL111" i="1"/>
  <c r="AK102" i="1"/>
  <c r="AK103" i="1"/>
  <c r="AK104" i="1"/>
  <c r="AK105" i="1"/>
  <c r="AK106" i="1"/>
  <c r="AK107" i="1"/>
  <c r="AK108" i="1"/>
  <c r="AK109" i="1"/>
  <c r="AK110" i="1"/>
  <c r="AK111" i="1"/>
  <c r="AV102" i="1"/>
  <c r="AU102" i="1"/>
  <c r="AT102" i="1"/>
  <c r="AS102" i="1"/>
  <c r="AR102" i="1"/>
  <c r="AQ102" i="1"/>
  <c r="AP101" i="1"/>
  <c r="AO101" i="1"/>
  <c r="AN101" i="1"/>
  <c r="AM101" i="1"/>
  <c r="AL101" i="1"/>
  <c r="AK101" i="1"/>
  <c r="AV80" i="1"/>
  <c r="AV81" i="1"/>
  <c r="AV82" i="1"/>
  <c r="AV83" i="1"/>
  <c r="AV84" i="1"/>
  <c r="AV85" i="1"/>
  <c r="AV86" i="1"/>
  <c r="AV87" i="1"/>
  <c r="AV88" i="1"/>
  <c r="AU80" i="1"/>
  <c r="AU81" i="1"/>
  <c r="AU82" i="1"/>
  <c r="AU83" i="1"/>
  <c r="AU84" i="1"/>
  <c r="AU85" i="1"/>
  <c r="AU86" i="1"/>
  <c r="AU87" i="1"/>
  <c r="AU88" i="1"/>
  <c r="AT80" i="1"/>
  <c r="AT81" i="1"/>
  <c r="AT82" i="1"/>
  <c r="AT83" i="1"/>
  <c r="AT84" i="1"/>
  <c r="AT85" i="1"/>
  <c r="AT86" i="1"/>
  <c r="AT87" i="1"/>
  <c r="AT88" i="1"/>
  <c r="AS80" i="1"/>
  <c r="AS81" i="1"/>
  <c r="AS82" i="1"/>
  <c r="AS83" i="1"/>
  <c r="AS84" i="1"/>
  <c r="AS85" i="1"/>
  <c r="AS86" i="1"/>
  <c r="AS87" i="1"/>
  <c r="AS88" i="1"/>
  <c r="AR80" i="1"/>
  <c r="AR81" i="1"/>
  <c r="AR82" i="1"/>
  <c r="AR83" i="1"/>
  <c r="AR84" i="1"/>
  <c r="AR85" i="1"/>
  <c r="AR86" i="1"/>
  <c r="AR87" i="1"/>
  <c r="AR88" i="1"/>
  <c r="AQ80" i="1"/>
  <c r="AQ81" i="1"/>
  <c r="AQ82" i="1"/>
  <c r="AQ83" i="1"/>
  <c r="AQ84" i="1"/>
  <c r="AQ85" i="1"/>
  <c r="AQ86" i="1"/>
  <c r="AQ87" i="1"/>
  <c r="AQ88" i="1"/>
  <c r="AP79" i="1"/>
  <c r="AP80" i="1"/>
  <c r="AP81" i="1"/>
  <c r="AP82" i="1"/>
  <c r="AP83" i="1"/>
  <c r="AP84" i="1"/>
  <c r="AP85" i="1"/>
  <c r="AP86" i="1"/>
  <c r="AP87" i="1"/>
  <c r="AP88" i="1"/>
  <c r="AO79" i="1"/>
  <c r="AO80" i="1"/>
  <c r="AO81" i="1"/>
  <c r="AO82" i="1"/>
  <c r="AO83" i="1"/>
  <c r="AO84" i="1"/>
  <c r="AO85" i="1"/>
  <c r="AO86" i="1"/>
  <c r="AO87" i="1"/>
  <c r="AO88" i="1"/>
  <c r="AN79" i="1"/>
  <c r="AN80" i="1"/>
  <c r="AN81" i="1"/>
  <c r="AN82" i="1"/>
  <c r="AN83" i="1"/>
  <c r="AN84" i="1"/>
  <c r="AN85" i="1"/>
  <c r="AN86" i="1"/>
  <c r="AN87" i="1"/>
  <c r="AN88" i="1"/>
  <c r="AM79" i="1"/>
  <c r="AM80" i="1"/>
  <c r="AM81" i="1"/>
  <c r="AM82" i="1"/>
  <c r="AM83" i="1"/>
  <c r="AM84" i="1"/>
  <c r="AM85" i="1"/>
  <c r="AM86" i="1"/>
  <c r="AM87" i="1"/>
  <c r="AM88" i="1"/>
  <c r="AV79" i="1"/>
  <c r="AU57" i="1"/>
  <c r="AU58" i="1"/>
  <c r="AU59" i="1"/>
  <c r="AU60" i="1"/>
  <c r="AU61" i="1"/>
  <c r="AU62" i="1"/>
  <c r="AU63" i="1"/>
  <c r="AU64" i="1"/>
  <c r="AU65" i="1"/>
  <c r="AU56" i="1"/>
  <c r="AU79" i="1"/>
  <c r="AT79" i="1"/>
  <c r="AS79" i="1"/>
  <c r="AR79" i="1"/>
  <c r="AQ79" i="1"/>
  <c r="AP78" i="1"/>
  <c r="AO78" i="1"/>
  <c r="AN78" i="1"/>
  <c r="AM78" i="1"/>
  <c r="AL79" i="1"/>
  <c r="AL80" i="1"/>
  <c r="AL81" i="1"/>
  <c r="AL82" i="1"/>
  <c r="AL83" i="1"/>
  <c r="AL84" i="1"/>
  <c r="AL85" i="1"/>
  <c r="AL86" i="1"/>
  <c r="AL87" i="1"/>
  <c r="AL88" i="1"/>
  <c r="AL78" i="1"/>
  <c r="AK79" i="1"/>
  <c r="AK80" i="1"/>
  <c r="AK81" i="1"/>
  <c r="AK82" i="1"/>
  <c r="AK83" i="1"/>
  <c r="AK84" i="1"/>
  <c r="AK85" i="1"/>
  <c r="AK86" i="1"/>
  <c r="AK87" i="1"/>
  <c r="AK88" i="1"/>
  <c r="AK78" i="1"/>
  <c r="AV57" i="1"/>
  <c r="AV58" i="1"/>
  <c r="AV59" i="1"/>
  <c r="AV60" i="1"/>
  <c r="AV61" i="1"/>
  <c r="AV62" i="1"/>
  <c r="AV63" i="1"/>
  <c r="AV64" i="1"/>
  <c r="AV65" i="1"/>
  <c r="AT57" i="1"/>
  <c r="AT58" i="1"/>
  <c r="AT59" i="1"/>
  <c r="AT60" i="1"/>
  <c r="AT61" i="1"/>
  <c r="AT62" i="1"/>
  <c r="AT63" i="1"/>
  <c r="AT64" i="1"/>
  <c r="AT65" i="1"/>
  <c r="AS57" i="1"/>
  <c r="AS58" i="1"/>
  <c r="AS59" i="1"/>
  <c r="AS60" i="1"/>
  <c r="AS61" i="1"/>
  <c r="AS62" i="1"/>
  <c r="AS63" i="1"/>
  <c r="AS64" i="1"/>
  <c r="AS65" i="1"/>
  <c r="AR57" i="1"/>
  <c r="AR58" i="1"/>
  <c r="AR59" i="1"/>
  <c r="AR60" i="1"/>
  <c r="AR61" i="1"/>
  <c r="AR62" i="1"/>
  <c r="AR63" i="1"/>
  <c r="AR64" i="1"/>
  <c r="AR65" i="1"/>
  <c r="AQ57" i="1"/>
  <c r="AQ58" i="1"/>
  <c r="AQ59" i="1"/>
  <c r="AQ60" i="1"/>
  <c r="AQ61" i="1"/>
  <c r="AQ62" i="1"/>
  <c r="AQ63" i="1"/>
  <c r="AQ64" i="1"/>
  <c r="AQ65" i="1"/>
  <c r="AV56" i="1"/>
  <c r="AT56" i="1"/>
  <c r="AS56" i="1"/>
  <c r="AR56" i="1"/>
  <c r="AQ56" i="1"/>
  <c r="AP56" i="1"/>
  <c r="AP57" i="1"/>
  <c r="AP58" i="1"/>
  <c r="AP59" i="1"/>
  <c r="AP60" i="1"/>
  <c r="AP61" i="1"/>
  <c r="AP62" i="1"/>
  <c r="AP63" i="1"/>
  <c r="AP64" i="1"/>
  <c r="AP65" i="1"/>
  <c r="AP55" i="1"/>
  <c r="AO56" i="1"/>
  <c r="AO57" i="1"/>
  <c r="AO58" i="1"/>
  <c r="AO59" i="1"/>
  <c r="AO60" i="1"/>
  <c r="AO61" i="1"/>
  <c r="AO62" i="1"/>
  <c r="AO63" i="1"/>
  <c r="AO64" i="1"/>
  <c r="AO65" i="1"/>
  <c r="AN56" i="1"/>
  <c r="AN57" i="1"/>
  <c r="AN58" i="1"/>
  <c r="AN59" i="1"/>
  <c r="AN60" i="1"/>
  <c r="AN61" i="1"/>
  <c r="AN62" i="1"/>
  <c r="AN63" i="1"/>
  <c r="AN64" i="1"/>
  <c r="AN65" i="1"/>
  <c r="AM65" i="1"/>
  <c r="AL56" i="1"/>
  <c r="AL57" i="1"/>
  <c r="AL58" i="1"/>
  <c r="AL59" i="1"/>
  <c r="AL60" i="1"/>
  <c r="AL61" i="1"/>
  <c r="AL62" i="1"/>
  <c r="AL63" i="1"/>
  <c r="AL64" i="1"/>
  <c r="AL65" i="1"/>
  <c r="AO55" i="1"/>
  <c r="AN55" i="1"/>
  <c r="AL55" i="1"/>
  <c r="AK56" i="1"/>
  <c r="AK57" i="1"/>
  <c r="AK58" i="1"/>
  <c r="AK59" i="1"/>
  <c r="AK60" i="1"/>
  <c r="AK61" i="1"/>
  <c r="AK62" i="1"/>
  <c r="AK63" i="1"/>
  <c r="AK64" i="1"/>
  <c r="AK65" i="1"/>
  <c r="AK55" i="1"/>
  <c r="AV34" i="1"/>
  <c r="AV35" i="1"/>
  <c r="AV36" i="1"/>
  <c r="AV37" i="1"/>
  <c r="AV38" i="1"/>
  <c r="AV39" i="1"/>
  <c r="AV40" i="1"/>
  <c r="AV41" i="1"/>
  <c r="AV42" i="1"/>
  <c r="AV33" i="1"/>
  <c r="AU34" i="1"/>
  <c r="AU35" i="1"/>
  <c r="AU36" i="1"/>
  <c r="AU37" i="1"/>
  <c r="AU38" i="1"/>
  <c r="AU39" i="1"/>
  <c r="AU40" i="1"/>
  <c r="AU41" i="1"/>
  <c r="AU42" i="1"/>
  <c r="AU33" i="1"/>
  <c r="AT34" i="1"/>
  <c r="AT35" i="1"/>
  <c r="AT36" i="1"/>
  <c r="AT37" i="1"/>
  <c r="AT38" i="1"/>
  <c r="AT39" i="1"/>
  <c r="AT40" i="1"/>
  <c r="AT41" i="1"/>
  <c r="AT42" i="1"/>
  <c r="AT33" i="1"/>
  <c r="AS34" i="1"/>
  <c r="AS35" i="1"/>
  <c r="AS36" i="1"/>
  <c r="AS37" i="1"/>
  <c r="AS38" i="1"/>
  <c r="AS39" i="1"/>
  <c r="AS40" i="1"/>
  <c r="AS41" i="1"/>
  <c r="AS42" i="1"/>
  <c r="AS33" i="1"/>
  <c r="AR34" i="1"/>
  <c r="AR35" i="1"/>
  <c r="AR36" i="1"/>
  <c r="AR37" i="1"/>
  <c r="AR38" i="1"/>
  <c r="AR39" i="1"/>
  <c r="AR40" i="1"/>
  <c r="AR41" i="1"/>
  <c r="AR42" i="1"/>
  <c r="AR33" i="1"/>
  <c r="AQ34" i="1"/>
  <c r="AQ35" i="1"/>
  <c r="AQ36" i="1"/>
  <c r="AQ37" i="1"/>
  <c r="AQ38" i="1"/>
  <c r="AQ39" i="1"/>
  <c r="AQ40" i="1"/>
  <c r="AQ41" i="1"/>
  <c r="AQ42" i="1"/>
  <c r="AQ33" i="1"/>
  <c r="AP33" i="1"/>
  <c r="AP34" i="1"/>
  <c r="AP35" i="1"/>
  <c r="AP36" i="1"/>
  <c r="AP37" i="1"/>
  <c r="AP38" i="1"/>
  <c r="AP39" i="1"/>
  <c r="AP40" i="1"/>
  <c r="AP41" i="1"/>
  <c r="AP42" i="1"/>
  <c r="AP32" i="1"/>
  <c r="AO33" i="1"/>
  <c r="AO34" i="1"/>
  <c r="AO35" i="1"/>
  <c r="AO36" i="1"/>
  <c r="AO37" i="1"/>
  <c r="AO38" i="1"/>
  <c r="AO39" i="1"/>
  <c r="AO40" i="1"/>
  <c r="AO41" i="1"/>
  <c r="AO42" i="1"/>
  <c r="AO32" i="1"/>
  <c r="AN33" i="1"/>
  <c r="AN34" i="1"/>
  <c r="AN35" i="1"/>
  <c r="AN36" i="1"/>
  <c r="AN37" i="1"/>
  <c r="AN38" i="1"/>
  <c r="AN39" i="1"/>
  <c r="AN40" i="1"/>
  <c r="AN41" i="1"/>
  <c r="AN42" i="1"/>
  <c r="AN32" i="1"/>
  <c r="AM33" i="1"/>
  <c r="AM34" i="1"/>
  <c r="AM35" i="1"/>
  <c r="AM36" i="1"/>
  <c r="AM37" i="1"/>
  <c r="AM38" i="1"/>
  <c r="AM39" i="1"/>
  <c r="AM40" i="1"/>
  <c r="AM41" i="1"/>
  <c r="AM42" i="1"/>
  <c r="AM32" i="1"/>
  <c r="AL33" i="1"/>
  <c r="AL34" i="1"/>
  <c r="AL35" i="1"/>
  <c r="AL36" i="1"/>
  <c r="AL37" i="1"/>
  <c r="AL38" i="1"/>
  <c r="AL39" i="1"/>
  <c r="AL40" i="1"/>
  <c r="AL41" i="1"/>
  <c r="AL42" i="1"/>
  <c r="AL32" i="1"/>
  <c r="AK33" i="1"/>
  <c r="AK34" i="1"/>
  <c r="AK35" i="1"/>
  <c r="AK36" i="1"/>
  <c r="AK37" i="1"/>
  <c r="AK38" i="1"/>
  <c r="AW38" i="1" s="1"/>
  <c r="AK39" i="1"/>
  <c r="AK40" i="1"/>
  <c r="AK41" i="1"/>
  <c r="AK42" i="1"/>
  <c r="AK32" i="1"/>
  <c r="AV12" i="1"/>
  <c r="AV13" i="1"/>
  <c r="AV14" i="1"/>
  <c r="AV15" i="1"/>
  <c r="AV16" i="1"/>
  <c r="AV17" i="1"/>
  <c r="AV18" i="1"/>
  <c r="AV19" i="1"/>
  <c r="AV10" i="1"/>
  <c r="AU11" i="1"/>
  <c r="AU12" i="1"/>
  <c r="AU13" i="1"/>
  <c r="AU14" i="1"/>
  <c r="AU15" i="1"/>
  <c r="AU16" i="1"/>
  <c r="AU17" i="1"/>
  <c r="AU18" i="1"/>
  <c r="AU19" i="1"/>
  <c r="AU10" i="1"/>
  <c r="AT11" i="1"/>
  <c r="AT12" i="1"/>
  <c r="AT13" i="1"/>
  <c r="AT14" i="1"/>
  <c r="AT15" i="1"/>
  <c r="AT16" i="1"/>
  <c r="AT17" i="1"/>
  <c r="AT18" i="1"/>
  <c r="AT19" i="1"/>
  <c r="AT10" i="1"/>
  <c r="AS11" i="1"/>
  <c r="AS12" i="1"/>
  <c r="AS13" i="1"/>
  <c r="AS14" i="1"/>
  <c r="AS15" i="1"/>
  <c r="AS16" i="1"/>
  <c r="AS17" i="1"/>
  <c r="AS18" i="1"/>
  <c r="AS19" i="1"/>
  <c r="AS10" i="1"/>
  <c r="AR11" i="1"/>
  <c r="AR12" i="1"/>
  <c r="AR13" i="1"/>
  <c r="AR14" i="1"/>
  <c r="AR15" i="1"/>
  <c r="AR16" i="1"/>
  <c r="AR17" i="1"/>
  <c r="AR18" i="1"/>
  <c r="AR19" i="1"/>
  <c r="AR10" i="1"/>
  <c r="AQ11" i="1"/>
  <c r="AQ12" i="1"/>
  <c r="AQ13" i="1"/>
  <c r="AQ14" i="1"/>
  <c r="AQ15" i="1"/>
  <c r="AQ16" i="1"/>
  <c r="AQ17" i="1"/>
  <c r="AQ18" i="1"/>
  <c r="AQ19" i="1"/>
  <c r="AQ10" i="1"/>
  <c r="AP10" i="1"/>
  <c r="AP11" i="1"/>
  <c r="AP12" i="1"/>
  <c r="AP13" i="1"/>
  <c r="AP14" i="1"/>
  <c r="AP15" i="1"/>
  <c r="AP16" i="1"/>
  <c r="AP17" i="1"/>
  <c r="AP18" i="1"/>
  <c r="AP19" i="1"/>
  <c r="AP9" i="1"/>
  <c r="AO10" i="1"/>
  <c r="AO11" i="1"/>
  <c r="AO12" i="1"/>
  <c r="AO13" i="1"/>
  <c r="AO14" i="1"/>
  <c r="AO15" i="1"/>
  <c r="AO16" i="1"/>
  <c r="AO17" i="1"/>
  <c r="AO18" i="1"/>
  <c r="AO19" i="1"/>
  <c r="AO9" i="1"/>
  <c r="AW59" i="1" l="1"/>
  <c r="AW84" i="1"/>
  <c r="AW110" i="1"/>
  <c r="AW102" i="1"/>
  <c r="AW133" i="1"/>
  <c r="AW150" i="1"/>
  <c r="AW179" i="1"/>
  <c r="AW171" i="1"/>
  <c r="AW200" i="1"/>
  <c r="AW296" i="1"/>
  <c r="AW277" i="1"/>
  <c r="AW55" i="1"/>
  <c r="AW124" i="1"/>
  <c r="AW193" i="1"/>
  <c r="AW132" i="1"/>
  <c r="AW149" i="1"/>
  <c r="AW199" i="1"/>
  <c r="AW36" i="1"/>
  <c r="AW65" i="1"/>
  <c r="AW57" i="1"/>
  <c r="AW82" i="1"/>
  <c r="AW108" i="1"/>
  <c r="AW131" i="1"/>
  <c r="AW156" i="1"/>
  <c r="AW148" i="1"/>
  <c r="AW177" i="1"/>
  <c r="AW198" i="1"/>
  <c r="AW241" i="1"/>
  <c r="AW260" i="1"/>
  <c r="AW83" i="1"/>
  <c r="AW109" i="1"/>
  <c r="AW32" i="1"/>
  <c r="AW35" i="1"/>
  <c r="AW64" i="1"/>
  <c r="AW56" i="1"/>
  <c r="AW78" i="1"/>
  <c r="AW81" i="1"/>
  <c r="AW101" i="1"/>
  <c r="AW107" i="1"/>
  <c r="AW130" i="1"/>
  <c r="AW155" i="1"/>
  <c r="AW170" i="1"/>
  <c r="AW176" i="1"/>
  <c r="AW197" i="1"/>
  <c r="AW221" i="1"/>
  <c r="AW240" i="1"/>
  <c r="AW259" i="1"/>
  <c r="AW58" i="1"/>
  <c r="AW42" i="1"/>
  <c r="AW34" i="1"/>
  <c r="AW63" i="1"/>
  <c r="AW88" i="1"/>
  <c r="AW80" i="1"/>
  <c r="AW106" i="1"/>
  <c r="AW129" i="1"/>
  <c r="AW154" i="1"/>
  <c r="AW175" i="1"/>
  <c r="AW196" i="1"/>
  <c r="AW220" i="1"/>
  <c r="AW239" i="1"/>
  <c r="AW258" i="1"/>
  <c r="AW276" i="1"/>
  <c r="AW281" i="1"/>
  <c r="AW41" i="1"/>
  <c r="AW33" i="1"/>
  <c r="AW62" i="1"/>
  <c r="AW87" i="1"/>
  <c r="AW79" i="1"/>
  <c r="AW105" i="1"/>
  <c r="AW128" i="1"/>
  <c r="AW147" i="1"/>
  <c r="AW153" i="1"/>
  <c r="AW174" i="1"/>
  <c r="AW203" i="1"/>
  <c r="AW195" i="1"/>
  <c r="AW219" i="1"/>
  <c r="AW238" i="1"/>
  <c r="AW256" i="1"/>
  <c r="AW266" i="1" s="1"/>
  <c r="AW257" i="1"/>
  <c r="AW280" i="1"/>
  <c r="AW37" i="1"/>
  <c r="AW157" i="1"/>
  <c r="AW178" i="1"/>
  <c r="AW261" i="1"/>
  <c r="AW40" i="1"/>
  <c r="AW61" i="1"/>
  <c r="AW86" i="1"/>
  <c r="AW104" i="1"/>
  <c r="AW127" i="1"/>
  <c r="AW152" i="1"/>
  <c r="AW173" i="1"/>
  <c r="AW202" i="1"/>
  <c r="AW194" i="1"/>
  <c r="AW218" i="1"/>
  <c r="AW236" i="1"/>
  <c r="AW237" i="1"/>
  <c r="AW279" i="1"/>
  <c r="AW297" i="1"/>
  <c r="AW39" i="1"/>
  <c r="AW60" i="1"/>
  <c r="AW85" i="1"/>
  <c r="AW111" i="1"/>
  <c r="AW103" i="1"/>
  <c r="AW115" i="1" s="1"/>
  <c r="AW126" i="1"/>
  <c r="AW151" i="1"/>
  <c r="AW180" i="1"/>
  <c r="AW172" i="1"/>
  <c r="AW201" i="1"/>
  <c r="AW216" i="1"/>
  <c r="AW217" i="1"/>
  <c r="AW278" i="1"/>
  <c r="AQ134" i="1"/>
  <c r="AW134" i="1" s="1"/>
  <c r="Q277" i="1"/>
  <c r="AQ262" i="1"/>
  <c r="AW262" i="1" s="1"/>
  <c r="AQ242" i="1"/>
  <c r="AW242" i="1" s="1"/>
  <c r="AQ222" i="1"/>
  <c r="AW222" i="1" s="1"/>
  <c r="W39" i="3"/>
  <c r="W40" i="3"/>
  <c r="W38" i="3"/>
  <c r="AN10" i="1"/>
  <c r="AN11" i="1"/>
  <c r="AN12" i="1"/>
  <c r="AN13" i="1"/>
  <c r="AN14" i="1"/>
  <c r="AN15" i="1"/>
  <c r="AN16" i="1"/>
  <c r="AN17" i="1"/>
  <c r="AN18" i="1"/>
  <c r="AN19" i="1"/>
  <c r="AN9" i="1"/>
  <c r="AM10" i="1"/>
  <c r="AM11" i="1"/>
  <c r="AM12" i="1"/>
  <c r="AM13" i="1"/>
  <c r="AM14" i="1"/>
  <c r="AM15" i="1"/>
  <c r="AM16" i="1"/>
  <c r="AM17" i="1"/>
  <c r="AM18" i="1"/>
  <c r="AM19" i="1"/>
  <c r="AM9" i="1"/>
  <c r="AL10" i="1"/>
  <c r="AL11" i="1"/>
  <c r="AL12" i="1"/>
  <c r="AL13" i="1"/>
  <c r="AL14" i="1"/>
  <c r="AL15" i="1"/>
  <c r="AL16" i="1"/>
  <c r="AL17" i="1"/>
  <c r="AL18" i="1"/>
  <c r="AL19" i="1"/>
  <c r="AL9" i="1"/>
  <c r="AK10" i="1"/>
  <c r="AK11" i="1"/>
  <c r="AK12" i="1"/>
  <c r="AK13" i="1"/>
  <c r="AK14" i="1"/>
  <c r="AK15" i="1"/>
  <c r="AK16" i="1"/>
  <c r="AK17" i="1"/>
  <c r="AK18" i="1"/>
  <c r="AK19" i="1"/>
  <c r="AK9" i="1"/>
  <c r="N11" i="1"/>
  <c r="N12" i="1"/>
  <c r="N13" i="1"/>
  <c r="N14" i="1"/>
  <c r="N15" i="1"/>
  <c r="S15" i="2" s="1"/>
  <c r="N16" i="1"/>
  <c r="S16" i="2" s="1"/>
  <c r="N17" i="1"/>
  <c r="S17" i="2" s="1"/>
  <c r="S41" i="2" s="1"/>
  <c r="N18" i="1"/>
  <c r="S9" i="2"/>
  <c r="B125" i="1"/>
  <c r="AW286" i="1" l="1"/>
  <c r="AW13" i="1"/>
  <c r="AW9" i="1"/>
  <c r="AW12" i="1"/>
  <c r="AW17" i="1"/>
  <c r="AW19" i="1"/>
  <c r="AW10" i="1"/>
  <c r="AW227" i="1"/>
  <c r="AW226" i="1"/>
  <c r="AW18" i="1"/>
  <c r="AW16" i="1"/>
  <c r="AW46" i="1"/>
  <c r="AW15" i="1"/>
  <c r="AW69" i="1"/>
  <c r="AW14" i="1"/>
  <c r="AW247" i="1"/>
  <c r="AW246" i="1"/>
  <c r="S33" i="2"/>
  <c r="T32" i="2" s="1"/>
  <c r="W9" i="2"/>
  <c r="T8" i="2"/>
  <c r="S40" i="2"/>
  <c r="U40" i="2" s="1"/>
  <c r="T16" i="2"/>
  <c r="S39" i="2"/>
  <c r="T39" i="2" s="1"/>
  <c r="T15" i="2"/>
  <c r="AW184" i="1"/>
  <c r="AW92" i="1"/>
  <c r="AW207" i="1"/>
  <c r="AW161" i="1"/>
  <c r="W37" i="3"/>
  <c r="W35" i="3"/>
  <c r="W34" i="3"/>
  <c r="AW225" i="1"/>
  <c r="W36" i="3"/>
  <c r="AW245" i="1"/>
  <c r="AW287" i="1"/>
  <c r="AW285" i="1"/>
  <c r="AW305" i="1"/>
  <c r="AW267" i="1"/>
  <c r="AW265" i="1"/>
  <c r="O125" i="1"/>
  <c r="B95" i="3" s="1"/>
  <c r="S9" i="3" s="1"/>
  <c r="S13" i="2"/>
  <c r="S12" i="2"/>
  <c r="S11" i="2"/>
  <c r="U39" i="3"/>
  <c r="U40" i="3"/>
  <c r="V40" i="3" s="1"/>
  <c r="X40" i="3"/>
  <c r="Y40" i="3" s="1"/>
  <c r="U38" i="3"/>
  <c r="AK125" i="1"/>
  <c r="N125" i="1"/>
  <c r="U39" i="2" l="1"/>
  <c r="S32" i="3"/>
  <c r="W32" i="3" s="1"/>
  <c r="T9" i="3"/>
  <c r="W9" i="3"/>
  <c r="T8" i="3"/>
  <c r="S23" i="3"/>
  <c r="AW125" i="1"/>
  <c r="AW138" i="1" s="1"/>
  <c r="S35" i="2"/>
  <c r="W11" i="2"/>
  <c r="T11" i="2"/>
  <c r="T40" i="2"/>
  <c r="S36" i="2"/>
  <c r="T12" i="2"/>
  <c r="W12" i="2"/>
  <c r="S37" i="2"/>
  <c r="P125" i="1"/>
  <c r="Q125" i="1" s="1"/>
  <c r="P123" i="1"/>
  <c r="P121" i="1"/>
  <c r="P124" i="1"/>
  <c r="P122" i="1"/>
  <c r="Q122" i="1" s="1"/>
  <c r="Y11" i="3"/>
  <c r="U37" i="3"/>
  <c r="V37" i="3" s="1"/>
  <c r="Y12" i="3"/>
  <c r="Y10" i="3"/>
  <c r="X6" i="2"/>
  <c r="S14" i="2"/>
  <c r="Q123" i="1"/>
  <c r="Q121" i="1"/>
  <c r="U35" i="3"/>
  <c r="U32" i="3"/>
  <c r="V31" i="3" s="1"/>
  <c r="U34" i="3"/>
  <c r="U36" i="3"/>
  <c r="X36" i="3"/>
  <c r="Y36" i="3" s="1"/>
  <c r="Q14" i="1"/>
  <c r="Q11" i="1"/>
  <c r="Q124" i="1"/>
  <c r="Q13" i="1"/>
  <c r="Q12" i="1"/>
  <c r="V38" i="3"/>
  <c r="W40" i="2"/>
  <c r="W39" i="2"/>
  <c r="X38" i="3"/>
  <c r="Y38" i="3" s="1"/>
  <c r="X35" i="3"/>
  <c r="Y35" i="3" s="1"/>
  <c r="X34" i="3"/>
  <c r="Y34" i="3" s="1"/>
  <c r="X39" i="3"/>
  <c r="Y39" i="3" s="1"/>
  <c r="X37" i="3"/>
  <c r="Y37" i="3" s="1"/>
  <c r="V39" i="3"/>
  <c r="X9" i="3" l="1"/>
  <c r="X8" i="3"/>
  <c r="T32" i="3"/>
  <c r="T31" i="3"/>
  <c r="S38" i="2"/>
  <c r="T38" i="2" s="1"/>
  <c r="T14" i="2"/>
  <c r="T13" i="2"/>
  <c r="W44" i="3"/>
  <c r="Y6" i="2"/>
  <c r="Z4" i="2"/>
  <c r="Y7" i="3"/>
  <c r="X11" i="2"/>
  <c r="Y11" i="2" s="1"/>
  <c r="W33" i="2"/>
  <c r="X31" i="3"/>
  <c r="Y31" i="3" s="1"/>
  <c r="V35" i="3"/>
  <c r="V34" i="3"/>
  <c r="U36" i="2"/>
  <c r="V36" i="3"/>
  <c r="U33" i="2"/>
  <c r="V32" i="2" s="1"/>
  <c r="W35" i="2"/>
  <c r="X39" i="2"/>
  <c r="Y39" i="2" s="1"/>
  <c r="V40" i="2"/>
  <c r="V39" i="2"/>
  <c r="X40" i="2"/>
  <c r="Y40" i="2" s="1"/>
  <c r="U38" i="2" l="1"/>
  <c r="V38" i="2" s="1"/>
  <c r="W38" i="2"/>
  <c r="X38" i="2" s="1"/>
  <c r="Y38" i="2" s="1"/>
  <c r="X32" i="2"/>
  <c r="Y32" i="2" s="1"/>
  <c r="T36" i="2"/>
  <c r="W36" i="2"/>
  <c r="X35" i="2" s="1"/>
  <c r="Y35" i="2" s="1"/>
  <c r="U35" i="2"/>
  <c r="V35" i="2" s="1"/>
  <c r="W37" i="2"/>
  <c r="T37" i="2"/>
  <c r="U37" i="2"/>
  <c r="V37" i="2" s="1"/>
  <c r="T35" i="2"/>
  <c r="X37" i="2" l="1"/>
  <c r="Y37" i="2" s="1"/>
  <c r="X36" i="2"/>
  <c r="Y36" i="2" s="1"/>
  <c r="V36" i="2"/>
  <c r="N10" i="1"/>
  <c r="AV11" i="1"/>
  <c r="AW11" i="1" l="1"/>
  <c r="AW23" i="1" s="1"/>
  <c r="Q7" i="1"/>
  <c r="Q6" i="1"/>
  <c r="Q8" i="1"/>
  <c r="Q9" i="1"/>
  <c r="S10" i="2"/>
  <c r="Q10" i="1"/>
  <c r="S34" i="2" l="1"/>
  <c r="T10" i="2"/>
  <c r="W10" i="2"/>
  <c r="S24" i="2"/>
  <c r="T9" i="2"/>
  <c r="X8" i="2"/>
  <c r="Y8" i="2" s="1"/>
  <c r="X7" i="2"/>
  <c r="T34" i="2"/>
  <c r="U34" i="2"/>
  <c r="T33" i="2"/>
  <c r="W34" i="2"/>
  <c r="W47" i="2" s="1"/>
  <c r="X9" i="2" l="1"/>
  <c r="Y9" i="2" s="1"/>
  <c r="X10" i="2"/>
  <c r="Y10" i="2" s="1"/>
  <c r="Y7" i="2"/>
  <c r="Z2" i="2"/>
  <c r="X33" i="2"/>
  <c r="Y33" i="2" s="1"/>
  <c r="X34" i="2"/>
  <c r="Y34" i="2" s="1"/>
  <c r="V34" i="2"/>
  <c r="V33" i="2"/>
  <c r="Y9" i="3" l="1"/>
  <c r="Y8" i="3" l="1"/>
  <c r="U33" i="3"/>
  <c r="W33" i="3"/>
  <c r="W45" i="3" s="1"/>
  <c r="X32" i="3" l="1"/>
  <c r="Y32" i="3" s="1"/>
  <c r="X33" i="3"/>
  <c r="Y33" i="3" s="1"/>
  <c r="V33" i="3"/>
  <c r="V32" i="3"/>
</calcChain>
</file>

<file path=xl/sharedStrings.xml><?xml version="1.0" encoding="utf-8"?>
<sst xmlns="http://schemas.openxmlformats.org/spreadsheetml/2006/main" count="1864" uniqueCount="199">
  <si>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</si>
  <si>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</si>
  <si>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</si>
  <si>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</si>
  <si>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</si>
  <si>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</si>
  <si>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</si>
  <si>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</si>
  <si>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</si>
  <si>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</si>
  <si>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</si>
  <si>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</si>
  <si>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</si>
  <si>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St. Louis County Residential Customer Count</t>
  </si>
  <si>
    <t>St. Louis County Residential Usage (1000 Gallons)</t>
  </si>
  <si>
    <t>St. Joseph Residential Usage (1000 Gallons)</t>
  </si>
  <si>
    <t>St. Joseph Residential Customer Count</t>
  </si>
  <si>
    <t>Warrensburg Residential Customer Count</t>
  </si>
  <si>
    <t>Warrensburg Residential Usage (1000 Gallons)</t>
  </si>
  <si>
    <t>Brunswick Residential Usage (1000 Gallons)</t>
  </si>
  <si>
    <t>Brunswick Residential Customer Count</t>
  </si>
  <si>
    <t>St. Charles Residential Usage (1000 Gallons)</t>
  </si>
  <si>
    <t>Mexico Residential Usage (1000 Gallons)</t>
  </si>
  <si>
    <t>Joplin Residential Usage (1000 Gallons)</t>
  </si>
  <si>
    <t>Jefferson City Residential Usage (1000 Gallons)</t>
  </si>
  <si>
    <t>Ozark Mountain Residential Usage (1000 Gallons)</t>
  </si>
  <si>
    <t>Saddlebrooke Residential Usage (1000 Gallons)</t>
  </si>
  <si>
    <t>Tri-States Residential Usage (1000 Gallons)</t>
  </si>
  <si>
    <t>Emerald Pointe Residential Usage (1000 Gallons)</t>
  </si>
  <si>
    <t>Anna Meadows Residential Usage (1000 Gallons)</t>
  </si>
  <si>
    <t>Redfield Pointe Residential Usage (1000 Gallons)</t>
  </si>
  <si>
    <t>Jaxson Estates Residential Usage (1000 Gallons)</t>
  </si>
  <si>
    <t>Hickory Hills Residential Usage (1000 Gallons)</t>
  </si>
  <si>
    <t>Woodland Manor Residential Usage (1000 Gallons)</t>
  </si>
  <si>
    <t>St. Charles Residential Customer Count</t>
  </si>
  <si>
    <t>Mexico Residential Customer Count</t>
  </si>
  <si>
    <t>Joplin Residential Customer Count</t>
  </si>
  <si>
    <t>Jefferson City Residential Customer Count</t>
  </si>
  <si>
    <t>Ozark Mountain Residential Customer Count</t>
  </si>
  <si>
    <t>Saddlebrooke Residential Customer Count</t>
  </si>
  <si>
    <t>Tri-States Residential Customer Count</t>
  </si>
  <si>
    <t>Emerald Pointe Residential Customer Count</t>
  </si>
  <si>
    <t>Anna Meadows Residential Customer Count</t>
  </si>
  <si>
    <t>Redfield Pointe Residential Customer Count</t>
  </si>
  <si>
    <t>Jaxson Estates Residential Customer Count</t>
  </si>
  <si>
    <t>Hickory Hills Residential Customer Count</t>
  </si>
  <si>
    <t>Woodland Manor Residential Customer Count</t>
  </si>
  <si>
    <t>5-yr Avg</t>
  </si>
  <si>
    <t>10-yr Avg</t>
  </si>
  <si>
    <t>Usage/Day</t>
  </si>
  <si>
    <t>St. Louis County Residential Customer Usage Per Month</t>
  </si>
  <si>
    <t>St. Joseph Residential Customer Usage Per Month</t>
  </si>
  <si>
    <t>Warrensburg Residential Customer Usage Per Month</t>
  </si>
  <si>
    <t>Brunswick Residential Customer Usage Per Month</t>
  </si>
  <si>
    <t>St. Charles Residential Customer Usage Per Month</t>
  </si>
  <si>
    <t>Mexico Residential Customer Usage Per Month</t>
  </si>
  <si>
    <t>Joplin Residential Customer Usage Per Month</t>
  </si>
  <si>
    <t>Jefferson City Residential Customer Usage Per Month</t>
  </si>
  <si>
    <t>Spring Valley Residential Customer Usage Per Month</t>
  </si>
  <si>
    <t>Ozark Mountain Residential Customer Usage Per Month</t>
  </si>
  <si>
    <t>Saddlebrooke Residential Customer Usage Per Month</t>
  </si>
  <si>
    <t>Tri-States Residential Customer Usage Per Month</t>
  </si>
  <si>
    <t>Emerald Pointe Residential Customer Usage Per Month</t>
  </si>
  <si>
    <t>Redfield Pointe Residential Customer Usage Per Month</t>
  </si>
  <si>
    <t>Hickory HIlls Residential Customer Usage Per Month</t>
  </si>
  <si>
    <t>Woodland Manor Residential Customer Usage Per Month</t>
  </si>
  <si>
    <t>4-yr Avg</t>
  </si>
  <si>
    <t>Spring Valley/Lake Manor Residential Usage (1000 Gallons)</t>
  </si>
  <si>
    <t>Per Month</t>
  </si>
  <si>
    <t>Per Day</t>
  </si>
  <si>
    <t>5yr-Avg/Customer /Day</t>
  </si>
  <si>
    <t>5yr-Avg/Customer/Day</t>
  </si>
  <si>
    <t>5yr-Avg</t>
  </si>
  <si>
    <t>Pevely Farm Residential Usage (1000 Gallons)</t>
  </si>
  <si>
    <t>Wardsville Residential Usage (1000 Gallons)</t>
  </si>
  <si>
    <t>Lawson Residential Usage (1000 Gallons)</t>
  </si>
  <si>
    <t>Rogue Creek Residential Usage (1000 Gallons)</t>
  </si>
  <si>
    <t>Calendar Year Total Usage</t>
  </si>
  <si>
    <t>Total Usage      July - June</t>
  </si>
  <si>
    <t>3-yr Average</t>
  </si>
  <si>
    <t>8-yr Avg</t>
  </si>
  <si>
    <t>9-yr Avg</t>
  </si>
  <si>
    <t>Jaxson EstatesResidential Customer Usage Per Month</t>
  </si>
  <si>
    <t>Anna Meadows Residential Customer Usage Per Month</t>
  </si>
  <si>
    <t>Lawson Residential Customer Usage Per Month</t>
  </si>
  <si>
    <t>Rogue Creek Residential Customer Usage Per Month</t>
  </si>
  <si>
    <t>Pevely Farm Residential Customer Usage Per Month</t>
  </si>
  <si>
    <t>Wardsville Residential Customer Usage Per Month</t>
  </si>
  <si>
    <t>Prev. 5yr</t>
  </si>
  <si>
    <t>Prev 5yr</t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</si>
  <si>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color theme="1"/>
        <rFont val="Calibri"/>
        <family val="2"/>
        <scheme val="minor"/>
      </rPr>
      <t xml:space="preserve"> - White Branch Residential Usage (1000 Gallons)</t>
    </r>
  </si>
  <si>
    <t>Lawson Residential Customer Count</t>
  </si>
  <si>
    <t>Rogue Creek Residential Customer Count</t>
  </si>
  <si>
    <t>Pevely Farm Residential Customer Count</t>
  </si>
  <si>
    <t>Wardsville Residential Customer Count</t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</si>
  <si>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color theme="1"/>
        <rFont val="Calibri"/>
        <family val="2"/>
        <scheme val="minor"/>
      </rPr>
      <t xml:space="preserve"> - White Branch Residential Customer Count</t>
    </r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</si>
  <si>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color theme="1"/>
        <rFont val="Calibri"/>
        <family val="2"/>
        <scheme val="minor"/>
      </rPr>
      <t xml:space="preserve"> - White Branch Residential Customer Usage Per Month</t>
    </r>
  </si>
  <si>
    <t>Prev 5-yr Avg</t>
  </si>
  <si>
    <t>10yr Avg</t>
  </si>
  <si>
    <t>Platte County (Parkville) Residential Usage (1000 Gallons)</t>
  </si>
  <si>
    <t>Tariff District #1 Over-All Usage Per Year</t>
  </si>
  <si>
    <t>Tariff District #1 Avg Usage Per Year</t>
  </si>
  <si>
    <t>Tariff District #1 Usage Per Customer Per Year</t>
  </si>
  <si>
    <t>Tariff District #2 Over-All Usage Per Year</t>
  </si>
  <si>
    <t>Tariff District #2 Avg Usage Per Year</t>
  </si>
  <si>
    <t>Tariff District #2 Usage Per Customer Per Year</t>
  </si>
  <si>
    <t>3yr-avg</t>
  </si>
  <si>
    <t>3yr avg</t>
  </si>
  <si>
    <t>Lake Carmel Residential Usage (1000 Gallons)</t>
  </si>
  <si>
    <t>Lake Carmel Residential Customer Count</t>
  </si>
  <si>
    <t>Lake Carmel Residential Customer Usage Per Month</t>
  </si>
  <si>
    <t>Maplewood Residential Usage (1000 Gallons)</t>
  </si>
  <si>
    <t>Mapelwood Residential Customer Count</t>
  </si>
  <si>
    <t>Mapelwood Residential Customer Usage Per Month</t>
  </si>
  <si>
    <t>Branson Metro Residential Usage (1000 Gallons)</t>
  </si>
  <si>
    <t>Branson Metro Residential Customer Count</t>
  </si>
  <si>
    <t>Branson Metro Residential Customer Usage Per Month</t>
  </si>
  <si>
    <t>Total yr/Customer</t>
  </si>
  <si>
    <t>per m difference</t>
  </si>
  <si>
    <t>Difference/yr</t>
  </si>
  <si>
    <t>5yr</t>
  </si>
  <si>
    <t>5yr avg</t>
  </si>
  <si>
    <t>Tariff District 1</t>
  </si>
  <si>
    <t>Annually</t>
  </si>
  <si>
    <t>Tariff District 2</t>
  </si>
  <si>
    <t>10yr avg</t>
  </si>
  <si>
    <t>10yr</t>
  </si>
  <si>
    <t>Total Annual Decline in Usage</t>
  </si>
  <si>
    <t>Units</t>
  </si>
  <si>
    <t>A</t>
  </si>
  <si>
    <t>B</t>
  </si>
  <si>
    <t>C</t>
  </si>
  <si>
    <t>D</t>
  </si>
  <si>
    <t>E</t>
  </si>
  <si>
    <t>Garden City Residential Usage (1000 Gallons)</t>
  </si>
  <si>
    <t>Orrick Residential Usage (1000 Gallons)</t>
  </si>
  <si>
    <t>Purcell Residential Usage (1000 Gallons)</t>
  </si>
  <si>
    <t>Stewartsville Residential Usage (1000 Gallons)</t>
  </si>
  <si>
    <t>Wood Heights Residential Usage (1000 Gallons)</t>
  </si>
  <si>
    <t>Ironton Residential Usage (1000 Gallons)</t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</si>
  <si>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color theme="1"/>
        <rFont val="Calibri"/>
        <family val="2"/>
        <scheme val="minor"/>
      </rPr>
      <t xml:space="preserve"> - Rankin Acres/Branson Metro Residential Usage (1000 Gallons)</t>
    </r>
  </si>
  <si>
    <t>Stonebridge/Maplewood/Riverside Residential Usage (1000 Gallons)</t>
  </si>
  <si>
    <t>Plate County (Parkville) Residential Customer Count</t>
  </si>
  <si>
    <t>Spring Valley/Lake Manor Residential Customer Count</t>
  </si>
  <si>
    <t>Stonebridge/Maplewood/Riverside Residential Customer Count</t>
  </si>
  <si>
    <t>Garden City Residential Customer Count</t>
  </si>
  <si>
    <t>Orrick Residential Customer Count</t>
  </si>
  <si>
    <t>Purcell Residential Customer Count</t>
  </si>
  <si>
    <t>Stewartsville Residential Customer Count</t>
  </si>
  <si>
    <t>Woodheights Residential Customer Count</t>
  </si>
  <si>
    <t>Ironton Residential Customer Count</t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</si>
  <si>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rFont val="Calibri"/>
        <family val="2"/>
        <scheme val="minor"/>
      </rPr>
      <t xml:space="preserve"> - Monsees Residential Usage (1000 Gallons)</t>
    </r>
  </si>
  <si>
    <t>Plate County (Parkville) Residential Customer Usage Per Month</t>
  </si>
  <si>
    <t>Stonebridge/Maplewood/Riverside Residential Customer Usage Per Month</t>
  </si>
  <si>
    <t>Garden City Residential Customer Usage Per Month</t>
  </si>
  <si>
    <t>Orrick Residential Customer Usage Per Month</t>
  </si>
  <si>
    <t>Purcell Residential Customer Usage Per Month</t>
  </si>
  <si>
    <t>Stewartsville Residential Customer Usage Per Month</t>
  </si>
  <si>
    <t>Woodheights Residential Customer Usage Per Month</t>
  </si>
  <si>
    <t>Ironton Residential Customer Usage Per Month</t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</si>
  <si>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color theme="1"/>
        <rFont val="Calibri"/>
        <family val="2"/>
        <scheme val="minor"/>
      </rPr>
      <t xml:space="preserve"> - Monsees Residential Customer Usage Per Month</t>
    </r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</si>
  <si>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color theme="1"/>
        <rFont val="Calibri"/>
        <family val="2"/>
        <scheme val="minor"/>
      </rPr>
      <t xml:space="preserve"> - Monsees Residential Customer Count</t>
    </r>
  </si>
  <si>
    <t>Total Usage (Staff Est. Calendar Yr) 5-yrs</t>
  </si>
  <si>
    <t>4yr-Avg</t>
  </si>
  <si>
    <t>Avg Customer Count Per Year (July - June)</t>
  </si>
  <si>
    <t>MAWC Total Avg Customer Count Per Calendar Yr</t>
  </si>
  <si>
    <t>5yr Avg</t>
  </si>
  <si>
    <t>Avg Customer Count/Month Calendar Year</t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</si>
  <si>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rFont val="Calibri"/>
        <family val="2"/>
        <scheme val="minor"/>
      </rPr>
      <t xml:space="preserve"> - Rankin Acres Residential Customer Usage Per Month</t>
    </r>
  </si>
  <si>
    <r>
      <rPr>
        <b/>
        <sz val="11"/>
        <color rgb="FFFF0000"/>
        <rFont val="Calibri"/>
        <family val="2"/>
        <scheme val="minor"/>
      </rPr>
      <t>Flat Rate</t>
    </r>
    <r>
      <rPr>
        <b/>
        <sz val="11"/>
        <rFont val="Calibri"/>
        <family val="2"/>
        <scheme val="minor"/>
      </rPr>
      <t xml:space="preserve"> - Rankin Acres/Branson Metro Residential Customer Count</t>
    </r>
  </si>
  <si>
    <t>Difference/cust/yr</t>
  </si>
  <si>
    <t>Staff 5yr Res. Avg Decline/Customer (Actuals)</t>
  </si>
  <si>
    <t>Co. Predicted 10yr Res. Avg Decline/Customer</t>
  </si>
  <si>
    <t>(1,407*319,003) = 448,837,221</t>
  </si>
  <si>
    <t>(1,000*322,271) = 322,271,000</t>
  </si>
  <si>
    <t>D1</t>
  </si>
  <si>
    <t>D2</t>
  </si>
  <si>
    <t>Difference/cust/day</t>
  </si>
  <si>
    <t>(6)2021</t>
  </si>
  <si>
    <t>(93)2021</t>
  </si>
  <si>
    <t>(132)2021</t>
  </si>
  <si>
    <t>(113)2021</t>
  </si>
  <si>
    <t>(88)2021</t>
  </si>
  <si>
    <t>448,837,221*7.7604</t>
  </si>
  <si>
    <t>322,271,000*7.7604</t>
  </si>
  <si>
    <t>(600*119,281) = 71,568,600</t>
  </si>
  <si>
    <t>71,568,600*8.3781</t>
  </si>
  <si>
    <t>Total Annual Increrase/Decline in Usage</t>
  </si>
  <si>
    <t xml:space="preserve">Calendar Year Total Usage  </t>
  </si>
  <si>
    <t>Total Annual $ (Column D/1000)</t>
  </si>
  <si>
    <t>F</t>
  </si>
  <si>
    <t>Total Annual $ Per Customer</t>
  </si>
  <si>
    <t>3yr Avg</t>
  </si>
  <si>
    <r>
      <t>(431*</t>
    </r>
    <r>
      <rPr>
        <b/>
        <sz val="10"/>
        <color rgb="FFFF0000"/>
        <rFont val="Calibri"/>
        <family val="2"/>
        <scheme val="minor"/>
      </rPr>
      <t>116,727</t>
    </r>
    <r>
      <rPr>
        <sz val="10"/>
        <color theme="1"/>
        <rFont val="Calibri"/>
        <family val="2"/>
        <scheme val="minor"/>
      </rPr>
      <t>) = 50,309,337</t>
    </r>
  </si>
  <si>
    <r>
      <rPr>
        <b/>
        <sz val="10"/>
        <color rgb="FFFF0000"/>
        <rFont val="Calibri"/>
        <family val="2"/>
        <scheme val="minor"/>
      </rPr>
      <t>50,309,337</t>
    </r>
    <r>
      <rPr>
        <sz val="10"/>
        <color theme="1"/>
        <rFont val="Calibri"/>
        <family val="2"/>
        <scheme val="minor"/>
      </rPr>
      <t>*8.3781</t>
    </r>
  </si>
  <si>
    <r>
      <t xml:space="preserve">Staff 5yr Res. Avg </t>
    </r>
    <r>
      <rPr>
        <b/>
        <sz val="11"/>
        <color rgb="FFFF0000"/>
        <rFont val="Calibri"/>
        <family val="2"/>
        <scheme val="minor"/>
      </rPr>
      <t>DECREASE</t>
    </r>
    <r>
      <rPr>
        <sz val="11"/>
        <color theme="1"/>
        <rFont val="Calibri"/>
        <family val="2"/>
        <scheme val="minor"/>
      </rPr>
      <t>/Customer (Actuals)</t>
    </r>
  </si>
  <si>
    <t>Table A</t>
  </si>
  <si>
    <t>This workpaper is a revised version of Staff witness Jarrod Robertson's workpaper "WR-2024-0320 Normalization-Declining Usage FILING - REVISED  CRS"</t>
  </si>
  <si>
    <t>LMM-CR-2S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</si>
</sst>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0.0000000"/>
    <numFmt numFmtId="167" formatCode="#,##0.000000"/>
    <numFmt numFmtId="168" formatCode="0.000000"/>
    <numFmt numFmtId="169" formatCode="_(* #,##0.000000_);_(* \(#,##0.000000\);_(* &quot;-&quot;??_);_(@_)"/>
    <numFmt numFmtId="170" formatCode="0.0000000000000"/>
    <numFmt numFmtId="171" formatCode="0.0000"/>
    <numFmt numFmtId="172" formatCode="#,##0.0000"/>
    <numFmt numFmtId="173" formatCode="&quot;$&quot;#,##0.00"/>
    <numFmt numFmtId="17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9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2" fontId="0" fillId="0" borderId="0" xfId="0" applyNumberFormat="1"/>
    <xf numFmtId="0" fontId="0" fillId="0" borderId="0" xfId="0" applyNumberFormat="1"/>
    <xf numFmtId="0" fontId="0" fillId="2" borderId="0" xfId="0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Border="1"/>
    <xf numFmtId="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43" fontId="2" fillId="0" borderId="2" xfId="0" applyNumberFormat="1" applyFont="1" applyBorder="1"/>
    <xf numFmtId="0" fontId="0" fillId="0" borderId="2" xfId="0" applyBorder="1"/>
    <xf numFmtId="0" fontId="2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6" fillId="0" borderId="0" xfId="0" applyFont="1"/>
    <xf numFmtId="43" fontId="6" fillId="0" borderId="0" xfId="0" applyNumberFormat="1" applyFont="1"/>
    <xf numFmtId="164" fontId="6" fillId="0" borderId="0" xfId="1" applyNumberFormat="1" applyFont="1" applyAlignment="1">
      <alignment horizontal="center"/>
    </xf>
    <xf numFmtId="0" fontId="3" fillId="0" borderId="0" xfId="0" applyFont="1" applyFill="1"/>
    <xf numFmtId="2" fontId="6" fillId="0" borderId="0" xfId="0" applyNumberFormat="1" applyFont="1"/>
    <xf numFmtId="0" fontId="3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0" xfId="0" applyNumberFormat="1" applyFont="1" applyFill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3" fontId="2" fillId="0" borderId="0" xfId="0" applyNumberFormat="1" applyFont="1" applyAlignment="1">
      <alignment horizontal="center" wrapText="1"/>
    </xf>
    <xf numFmtId="3" fontId="0" fillId="0" borderId="0" xfId="1" applyNumberFormat="1" applyFont="1"/>
    <xf numFmtId="3" fontId="0" fillId="0" borderId="0" xfId="1" applyNumberFormat="1" applyFont="1" applyAlignment="1">
      <alignment horizontal="center"/>
    </xf>
    <xf numFmtId="3" fontId="0" fillId="0" borderId="0" xfId="1" applyNumberFormat="1" applyFont="1" applyBorder="1" applyAlignment="1">
      <alignment horizontal="center"/>
    </xf>
    <xf numFmtId="3" fontId="0" fillId="0" borderId="0" xfId="1" applyNumberFormat="1" applyFont="1" applyBorder="1"/>
    <xf numFmtId="3" fontId="0" fillId="0" borderId="0" xfId="0" applyNumberFormat="1" applyBorder="1"/>
    <xf numFmtId="3" fontId="3" fillId="0" borderId="0" xfId="0" applyNumberFormat="1" applyFont="1" applyFill="1"/>
    <xf numFmtId="0" fontId="2" fillId="0" borderId="0" xfId="0" applyFont="1" applyBorder="1" applyAlignment="1">
      <alignment wrapText="1"/>
    </xf>
    <xf numFmtId="3" fontId="3" fillId="0" borderId="4" xfId="0" applyNumberFormat="1" applyFont="1" applyFill="1" applyBorder="1"/>
    <xf numFmtId="0" fontId="2" fillId="2" borderId="0" xfId="0" applyFont="1" applyFill="1"/>
    <xf numFmtId="0" fontId="2" fillId="0" borderId="0" xfId="0" applyFont="1" applyFill="1"/>
    <xf numFmtId="3" fontId="6" fillId="0" borderId="0" xfId="1" applyNumberFormat="1" applyFont="1" applyFill="1"/>
    <xf numFmtId="3" fontId="0" fillId="0" borderId="0" xfId="1" applyNumberFormat="1" applyFont="1" applyFill="1"/>
    <xf numFmtId="3" fontId="0" fillId="0" borderId="0" xfId="0" applyNumberFormat="1" applyFill="1"/>
    <xf numFmtId="3" fontId="6" fillId="0" borderId="0" xfId="0" applyNumberFormat="1" applyFont="1" applyFill="1"/>
    <xf numFmtId="41" fontId="0" fillId="0" borderId="0" xfId="2" applyFont="1" applyAlignment="1">
      <alignment horizontal="center"/>
    </xf>
    <xf numFmtId="164" fontId="1" fillId="0" borderId="0" xfId="1" applyNumberFormat="1" applyFont="1" applyAlignment="1">
      <alignment horizontal="center"/>
    </xf>
    <xf numFmtId="166" fontId="6" fillId="0" borderId="0" xfId="0" applyNumberFormat="1" applyFont="1" applyFill="1"/>
    <xf numFmtId="0" fontId="3" fillId="0" borderId="0" xfId="0" applyFont="1"/>
    <xf numFmtId="166" fontId="3" fillId="0" borderId="0" xfId="0" applyNumberFormat="1" applyFont="1"/>
    <xf numFmtId="166" fontId="3" fillId="2" borderId="0" xfId="0" applyNumberFormat="1" applyFont="1" applyFill="1"/>
    <xf numFmtId="0" fontId="7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/>
    <xf numFmtId="43" fontId="4" fillId="0" borderId="0" xfId="0" applyNumberFormat="1" applyFont="1"/>
    <xf numFmtId="0" fontId="3" fillId="2" borderId="0" xfId="0" applyFont="1" applyFill="1"/>
    <xf numFmtId="0" fontId="0" fillId="0" borderId="0" xfId="0" applyFont="1"/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 wrapText="1"/>
    </xf>
    <xf numFmtId="43" fontId="0" fillId="0" borderId="0" xfId="1" applyNumberFormat="1" applyFont="1"/>
    <xf numFmtId="1" fontId="0" fillId="0" borderId="0" xfId="0" applyNumberFormat="1"/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0" applyFont="1" applyFill="1"/>
    <xf numFmtId="168" fontId="3" fillId="0" borderId="0" xfId="0" applyNumberFormat="1" applyFont="1"/>
    <xf numFmtId="169" fontId="3" fillId="0" borderId="0" xfId="1" applyNumberFormat="1" applyFont="1"/>
    <xf numFmtId="168" fontId="3" fillId="0" borderId="0" xfId="0" applyNumberFormat="1" applyFont="1" applyFill="1"/>
    <xf numFmtId="168" fontId="3" fillId="2" borderId="0" xfId="0" applyNumberFormat="1" applyFont="1" applyFill="1"/>
    <xf numFmtId="164" fontId="4" fillId="0" borderId="0" xfId="1" applyNumberFormat="1" applyFont="1"/>
    <xf numFmtId="164" fontId="4" fillId="0" borderId="0" xfId="1" applyNumberFormat="1" applyFont="1" applyAlignment="1">
      <alignment horizontal="center" wrapText="1"/>
    </xf>
    <xf numFmtId="1" fontId="4" fillId="0" borderId="0" xfId="0" applyNumberFormat="1" applyFont="1"/>
    <xf numFmtId="3" fontId="4" fillId="0" borderId="0" xfId="0" applyNumberFormat="1" applyFont="1" applyFill="1"/>
    <xf numFmtId="43" fontId="4" fillId="0" borderId="0" xfId="1" applyNumberFormat="1" applyFont="1"/>
    <xf numFmtId="2" fontId="4" fillId="0" borderId="0" xfId="0" applyNumberFormat="1" applyFont="1"/>
    <xf numFmtId="2" fontId="0" fillId="3" borderId="3" xfId="0" applyNumberFormat="1" applyFill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3" fontId="7" fillId="0" borderId="0" xfId="0" applyNumberFormat="1" applyFont="1" applyFill="1"/>
    <xf numFmtId="0" fontId="4" fillId="0" borderId="0" xfId="0" applyFont="1"/>
    <xf numFmtId="41" fontId="2" fillId="0" borderId="0" xfId="2" applyFont="1" applyAlignment="1">
      <alignment horizontal="center"/>
    </xf>
    <xf numFmtId="3" fontId="7" fillId="0" borderId="0" xfId="0" applyNumberFormat="1" applyFont="1" applyAlignment="1">
      <alignment horizontal="center" wrapText="1"/>
    </xf>
    <xf numFmtId="37" fontId="3" fillId="0" borderId="0" xfId="1" applyNumberFormat="1" applyFont="1" applyFill="1"/>
    <xf numFmtId="41" fontId="4" fillId="0" borderId="0" xfId="2" applyFont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 wrapText="1"/>
    </xf>
    <xf numFmtId="0" fontId="6" fillId="0" borderId="0" xfId="0" quotePrefix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3" fontId="0" fillId="0" borderId="0" xfId="0" applyNumberFormat="1" applyFont="1" applyFill="1"/>
    <xf numFmtId="164" fontId="0" fillId="0" borderId="0" xfId="1" applyNumberFormat="1" applyFont="1" applyFill="1"/>
    <xf numFmtId="164" fontId="0" fillId="0" borderId="0" xfId="0" applyNumberFormat="1" applyFill="1" applyAlignment="1">
      <alignment horizontal="center"/>
    </xf>
    <xf numFmtId="3" fontId="0" fillId="0" borderId="4" xfId="0" applyNumberFormat="1" applyFill="1" applyBorder="1"/>
    <xf numFmtId="0" fontId="0" fillId="0" borderId="0" xfId="0" applyFill="1" applyAlignment="1">
      <alignment horizontal="center"/>
    </xf>
    <xf numFmtId="43" fontId="0" fillId="0" borderId="0" xfId="0" applyNumberForma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0" quotePrefix="1" applyNumberFormat="1" applyFont="1" applyFill="1" applyAlignment="1">
      <alignment horizontal="center" wrapText="1"/>
    </xf>
    <xf numFmtId="164" fontId="6" fillId="0" borderId="0" xfId="1" applyNumberFormat="1" applyFont="1" applyFill="1" applyAlignment="1">
      <alignment horizontal="center" wrapText="1"/>
    </xf>
    <xf numFmtId="3" fontId="4" fillId="0" borderId="0" xfId="1" applyNumberFormat="1" applyFont="1" applyFill="1"/>
    <xf numFmtId="164" fontId="4" fillId="0" borderId="0" xfId="1" applyNumberFormat="1" applyFont="1" applyFill="1"/>
    <xf numFmtId="3" fontId="3" fillId="0" borderId="0" xfId="1" applyNumberFormat="1" applyFont="1" applyFill="1"/>
    <xf numFmtId="164" fontId="6" fillId="0" borderId="0" xfId="1" quotePrefix="1" applyNumberFormat="1" applyFont="1" applyFill="1" applyAlignment="1">
      <alignment wrapText="1"/>
    </xf>
    <xf numFmtId="164" fontId="6" fillId="0" borderId="0" xfId="1" quotePrefix="1" applyNumberFormat="1" applyFont="1" applyFill="1" applyAlignment="1">
      <alignment horizontal="center" wrapText="1"/>
    </xf>
    <xf numFmtId="3" fontId="0" fillId="0" borderId="0" xfId="1" applyNumberFormat="1" applyFont="1" applyFill="1" applyBorder="1"/>
    <xf numFmtId="0" fontId="2" fillId="0" borderId="0" xfId="0" applyFont="1" applyFill="1" applyAlignment="1">
      <alignment horizontal="center"/>
    </xf>
    <xf numFmtId="164" fontId="0" fillId="0" borderId="0" xfId="0" applyNumberFormat="1" applyFont="1" applyFill="1"/>
    <xf numFmtId="3" fontId="3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2" borderId="0" xfId="0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7" fillId="0" borderId="0" xfId="0" quotePrefix="1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164" fontId="7" fillId="0" borderId="0" xfId="0" applyNumberFormat="1" applyFont="1" applyFill="1" applyAlignment="1">
      <alignment horizontal="center"/>
    </xf>
    <xf numFmtId="41" fontId="7" fillId="0" borderId="0" xfId="0" applyNumberFormat="1" applyFont="1" applyFill="1" applyAlignment="1">
      <alignment horizontal="center"/>
    </xf>
    <xf numFmtId="41" fontId="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0" xfId="0" quotePrefix="1" applyNumberFormat="1" applyFont="1" applyFill="1" applyAlignment="1">
      <alignment horizontal="center" wrapText="1"/>
    </xf>
    <xf numFmtId="164" fontId="4" fillId="0" borderId="0" xfId="1" applyNumberFormat="1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41" fontId="7" fillId="0" borderId="0" xfId="2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3" fontId="4" fillId="0" borderId="0" xfId="0" applyNumberFormat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6" fillId="0" borderId="0" xfId="0" applyNumberFormat="1" applyFont="1" applyFill="1"/>
    <xf numFmtId="166" fontId="3" fillId="0" borderId="0" xfId="0" applyNumberFormat="1" applyFont="1" applyFill="1"/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3" fontId="4" fillId="0" borderId="0" xfId="0" applyNumberFormat="1" applyFont="1"/>
    <xf numFmtId="0" fontId="4" fillId="0" borderId="2" xfId="0" applyFont="1" applyBorder="1"/>
    <xf numFmtId="0" fontId="4" fillId="0" borderId="1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Fill="1" applyBorder="1" applyAlignment="1">
      <alignment wrapText="1"/>
    </xf>
    <xf numFmtId="3" fontId="0" fillId="2" borderId="3" xfId="0" applyNumberFormat="1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/>
    </xf>
    <xf numFmtId="164" fontId="4" fillId="0" borderId="0" xfId="1" quotePrefix="1" applyNumberFormat="1" applyFont="1" applyFill="1" applyAlignment="1">
      <alignment wrapText="1"/>
    </xf>
    <xf numFmtId="164" fontId="4" fillId="0" borderId="0" xfId="1" quotePrefix="1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" fontId="7" fillId="0" borderId="0" xfId="0" applyNumberFormat="1" applyFont="1"/>
    <xf numFmtId="4" fontId="4" fillId="0" borderId="0" xfId="0" applyNumberFormat="1" applyFont="1"/>
    <xf numFmtId="0" fontId="2" fillId="0" borderId="0" xfId="0" applyFont="1" applyBorder="1"/>
    <xf numFmtId="0" fontId="0" fillId="0" borderId="0" xfId="0" applyBorder="1" applyAlignment="1">
      <alignment horizontal="left"/>
    </xf>
    <xf numFmtId="164" fontId="3" fillId="0" borderId="0" xfId="1" quotePrefix="1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horizontal="center" wrapText="1"/>
    </xf>
    <xf numFmtId="170" fontId="0" fillId="0" borderId="0" xfId="0" applyNumberFormat="1"/>
    <xf numFmtId="43" fontId="6" fillId="0" borderId="0" xfId="1" applyNumberFormat="1" applyFont="1" applyAlignment="1">
      <alignment horizontal="center"/>
    </xf>
    <xf numFmtId="3" fontId="2" fillId="0" borderId="0" xfId="1" applyNumberFormat="1" applyFont="1"/>
    <xf numFmtId="164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0" fillId="0" borderId="0" xfId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7" fontId="0" fillId="0" borderId="0" xfId="1" applyNumberFormat="1" applyFont="1" applyFill="1"/>
    <xf numFmtId="37" fontId="4" fillId="0" borderId="0" xfId="1" applyNumberFormat="1" applyFont="1" applyFill="1"/>
    <xf numFmtId="3" fontId="0" fillId="0" borderId="0" xfId="0" applyNumberFormat="1" applyFont="1"/>
    <xf numFmtId="3" fontId="0" fillId="0" borderId="0" xfId="0" applyNumberFormat="1" applyFont="1" applyFill="1" applyAlignment="1">
      <alignment horizontal="center" wrapText="1"/>
    </xf>
    <xf numFmtId="43" fontId="3" fillId="0" borderId="0" xfId="1" applyNumberFormat="1" applyFont="1" applyFill="1" applyAlignment="1">
      <alignment horizontal="center" wrapText="1"/>
    </xf>
    <xf numFmtId="43" fontId="4" fillId="0" borderId="0" xfId="1" applyNumberFormat="1" applyFont="1" applyFill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" fontId="0" fillId="0" borderId="0" xfId="0" applyNumberFormat="1" applyFont="1" applyAlignment="1">
      <alignment horizontal="center" wrapText="1"/>
    </xf>
    <xf numFmtId="164" fontId="10" fillId="0" borderId="0" xfId="1" applyNumberFormat="1" applyFont="1" applyAlignment="1">
      <alignment horizontal="center" wrapText="1"/>
    </xf>
    <xf numFmtId="167" fontId="6" fillId="0" borderId="0" xfId="0" applyNumberFormat="1" applyFont="1"/>
    <xf numFmtId="168" fontId="6" fillId="0" borderId="0" xfId="0" applyNumberFormat="1" applyFont="1"/>
    <xf numFmtId="3" fontId="0" fillId="0" borderId="0" xfId="0" applyNumberFormat="1" applyFont="1" applyAlignment="1">
      <alignment horizontal="center"/>
    </xf>
    <xf numFmtId="3" fontId="1" fillId="0" borderId="0" xfId="1" applyNumberFormat="1" applyFont="1"/>
    <xf numFmtId="3" fontId="1" fillId="0" borderId="0" xfId="1" applyNumberFormat="1" applyFont="1" applyAlignment="1">
      <alignment horizontal="center"/>
    </xf>
    <xf numFmtId="3" fontId="1" fillId="0" borderId="0" xfId="1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3" xfId="0" applyNumberFormat="1" applyFont="1" applyFill="1" applyBorder="1" applyAlignment="1">
      <alignment horizontal="center" wrapText="1"/>
    </xf>
    <xf numFmtId="3" fontId="4" fillId="3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164" fontId="3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center"/>
    </xf>
    <xf numFmtId="0" fontId="9" fillId="0" borderId="0" xfId="0" applyFont="1" applyAlignment="1">
      <alignment wrapText="1"/>
    </xf>
    <xf numFmtId="2" fontId="4" fillId="0" borderId="0" xfId="0" applyNumberFormat="1" applyFon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43" fontId="0" fillId="0" borderId="0" xfId="0" applyNumberFormat="1" applyFont="1" applyAlignment="1">
      <alignment horizontal="center"/>
    </xf>
    <xf numFmtId="3" fontId="0" fillId="2" borderId="3" xfId="0" applyNumberForma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164" fontId="5" fillId="2" borderId="3" xfId="1" applyNumberFormat="1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/>
    </xf>
    <xf numFmtId="171" fontId="0" fillId="0" borderId="0" xfId="0" applyNumberFormat="1"/>
    <xf numFmtId="171" fontId="3" fillId="0" borderId="0" xfId="0" applyNumberFormat="1" applyFont="1"/>
    <xf numFmtId="172" fontId="4" fillId="0" borderId="0" xfId="0" applyNumberFormat="1" applyFont="1" applyFill="1" applyAlignment="1">
      <alignment horizontal="center"/>
    </xf>
    <xf numFmtId="172" fontId="4" fillId="0" borderId="3" xfId="0" applyNumberFormat="1" applyFont="1" applyBorder="1" applyAlignment="1">
      <alignment horizontal="center"/>
    </xf>
    <xf numFmtId="171" fontId="0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0" fontId="0" fillId="2" borderId="0" xfId="0" applyFont="1" applyFill="1" applyAlignment="1">
      <alignment horizontal="center"/>
    </xf>
    <xf numFmtId="171" fontId="0" fillId="2" borderId="0" xfId="0" applyNumberFormat="1" applyFill="1"/>
    <xf numFmtId="0" fontId="1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172" fontId="4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0" fillId="0" borderId="4" xfId="0" applyNumberFormat="1" applyBorder="1"/>
    <xf numFmtId="8" fontId="13" fillId="0" borderId="0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7" xfId="0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0" fillId="0" borderId="9" xfId="0" applyNumberFormat="1" applyFill="1" applyBorder="1"/>
    <xf numFmtId="0" fontId="0" fillId="0" borderId="6" xfId="0" applyFill="1" applyBorder="1"/>
    <xf numFmtId="173" fontId="14" fillId="0" borderId="8" xfId="0" applyNumberFormat="1" applyFont="1" applyFill="1" applyBorder="1" applyAlignment="1">
      <alignment horizontal="center"/>
    </xf>
    <xf numFmtId="173" fontId="14" fillId="0" borderId="7" xfId="0" applyNumberFormat="1" applyFont="1" applyFill="1" applyBorder="1" applyAlignment="1">
      <alignment horizontal="center"/>
    </xf>
    <xf numFmtId="173" fontId="14" fillId="0" borderId="8" xfId="0" applyNumberFormat="1" applyFont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43" fontId="0" fillId="0" borderId="9" xfId="1" applyFont="1" applyFill="1" applyBorder="1" applyAlignment="1"/>
    <xf numFmtId="0" fontId="0" fillId="0" borderId="10" xfId="0" applyBorder="1"/>
    <xf numFmtId="0" fontId="0" fillId="0" borderId="11" xfId="0" applyBorder="1"/>
    <xf numFmtId="3" fontId="14" fillId="0" borderId="4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3" fontId="0" fillId="0" borderId="9" xfId="0" applyNumberFormat="1" applyFill="1" applyBorder="1" applyAlignment="1">
      <alignment horizontal="center"/>
    </xf>
    <xf numFmtId="3" fontId="14" fillId="0" borderId="12" xfId="0" applyNumberFormat="1" applyFont="1" applyFill="1" applyBorder="1" applyAlignment="1">
      <alignment horizontal="center"/>
    </xf>
    <xf numFmtId="3" fontId="14" fillId="0" borderId="16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13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5" fillId="0" borderId="18" xfId="0" applyFont="1" applyBorder="1"/>
    <xf numFmtId="0" fontId="0" fillId="0" borderId="17" xfId="0" applyBorder="1"/>
    <xf numFmtId="0" fontId="11" fillId="0" borderId="0" xfId="0" applyFont="1" applyBorder="1" applyAlignment="1">
      <alignment horizontal="right"/>
    </xf>
    <xf numFmtId="172" fontId="4" fillId="0" borderId="0" xfId="0" applyNumberFormat="1" applyFont="1" applyAlignment="1">
      <alignment horizontal="center"/>
    </xf>
    <xf numFmtId="172" fontId="4" fillId="2" borderId="0" xfId="0" applyNumberFormat="1" applyFont="1" applyFill="1" applyAlignment="1">
      <alignment horizontal="center"/>
    </xf>
    <xf numFmtId="172" fontId="0" fillId="0" borderId="0" xfId="0" applyNumberFormat="1" applyAlignment="1">
      <alignment horizontal="center"/>
    </xf>
    <xf numFmtId="0" fontId="8" fillId="0" borderId="0" xfId="0" applyFont="1" applyAlignment="1">
      <alignment horizontal="center" wrapText="1"/>
    </xf>
    <xf numFmtId="173" fontId="14" fillId="0" borderId="0" xfId="0" applyNumberFormat="1" applyFont="1" applyFill="1" applyBorder="1" applyAlignment="1">
      <alignment horizontal="center"/>
    </xf>
    <xf numFmtId="8" fontId="12" fillId="0" borderId="0" xfId="0" applyNumberFormat="1" applyFont="1" applyFill="1" applyBorder="1" applyAlignment="1">
      <alignment horizontal="center"/>
    </xf>
    <xf numFmtId="173" fontId="14" fillId="0" borderId="0" xfId="0" applyNumberFormat="1" applyFont="1" applyBorder="1" applyAlignment="1">
      <alignment horizontal="center"/>
    </xf>
    <xf numFmtId="0" fontId="0" fillId="0" borderId="20" xfId="0" applyBorder="1"/>
    <xf numFmtId="0" fontId="2" fillId="0" borderId="21" xfId="0" applyFont="1" applyFill="1" applyBorder="1" applyAlignment="1">
      <alignment horizontal="center"/>
    </xf>
    <xf numFmtId="0" fontId="2" fillId="0" borderId="22" xfId="0" applyFont="1" applyBorder="1"/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14" fillId="0" borderId="19" xfId="0" applyNumberFormat="1" applyFont="1" applyFill="1" applyBorder="1" applyAlignment="1">
      <alignment horizontal="center"/>
    </xf>
    <xf numFmtId="0" fontId="0" fillId="0" borderId="13" xfId="0" applyBorder="1"/>
    <xf numFmtId="173" fontId="14" fillId="0" borderId="11" xfId="0" applyNumberFormat="1" applyFont="1" applyBorder="1" applyAlignment="1">
      <alignment horizontal="center"/>
    </xf>
    <xf numFmtId="0" fontId="16" fillId="0" borderId="7" xfId="0" applyFont="1" applyFill="1" applyBorder="1" applyAlignment="1">
      <alignment horizontal="center" wrapText="1"/>
    </xf>
    <xf numFmtId="169" fontId="3" fillId="0" borderId="0" xfId="0" applyNumberFormat="1" applyFont="1"/>
    <xf numFmtId="164" fontId="6" fillId="0" borderId="0" xfId="1" applyNumberFormat="1" applyFont="1" applyAlignment="1">
      <alignment horizontal="center" wrapText="1"/>
    </xf>
    <xf numFmtId="3" fontId="2" fillId="0" borderId="0" xfId="1" applyNumberFormat="1" applyFont="1" applyAlignment="1">
      <alignment horizontal="center"/>
    </xf>
    <xf numFmtId="1" fontId="17" fillId="0" borderId="14" xfId="0" applyNumberFormat="1" applyFont="1" applyFill="1" applyBorder="1" applyAlignment="1">
      <alignment horizontal="center"/>
    </xf>
    <xf numFmtId="174" fontId="0" fillId="0" borderId="0" xfId="0" applyNumberFormat="1"/>
    <xf numFmtId="171" fontId="6" fillId="0" borderId="0" xfId="0" applyNumberFormat="1" applyFont="1" applyAlignment="1">
      <alignment horizontal="center"/>
    </xf>
    <xf numFmtId="174" fontId="2" fillId="0" borderId="0" xfId="0" applyNumberFormat="1" applyFont="1"/>
    <xf numFmtId="171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17" fillId="0" borderId="5" xfId="0" applyNumberFormat="1" applyFont="1" applyBorder="1" applyAlignment="1">
      <alignment horizontal="center"/>
    </xf>
    <xf numFmtId="173" fontId="17" fillId="0" borderId="8" xfId="0" applyNumberFormat="1" applyFont="1" applyFill="1" applyBorder="1" applyAlignment="1">
      <alignment horizontal="center"/>
    </xf>
    <xf numFmtId="173" fontId="13" fillId="0" borderId="9" xfId="0" applyNumberFormat="1" applyFont="1" applyFill="1" applyBorder="1" applyAlignment="1">
      <alignment horizontal="center"/>
    </xf>
    <xf numFmtId="173" fontId="17" fillId="0" borderId="8" xfId="0" applyNumberFormat="1" applyFont="1" applyBorder="1" applyAlignment="1">
      <alignment horizontal="center"/>
    </xf>
    <xf numFmtId="173" fontId="17" fillId="0" borderId="1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171" fontId="0" fillId="0" borderId="0" xfId="0" applyNumberFormat="1" applyBorder="1" applyAlignment="1">
      <alignment horizontal="right"/>
    </xf>
    <xf numFmtId="8" fontId="17" fillId="0" borderId="9" xfId="0" applyNumberFormat="1" applyFont="1" applyFill="1" applyBorder="1" applyAlignment="1">
      <alignment horizontal="center"/>
    </xf>
    <xf numFmtId="171" fontId="0" fillId="0" borderId="0" xfId="0" applyNumberFormat="1" applyFont="1" applyBorder="1"/>
    <xf numFmtId="164" fontId="0" fillId="2" borderId="0" xfId="1" applyNumberFormat="1" applyFont="1" applyFill="1" applyAlignment="1">
      <alignment horizontal="center"/>
    </xf>
    <xf numFmtId="3" fontId="4" fillId="2" borderId="0" xfId="0" applyNumberFormat="1" applyFont="1" applyFill="1"/>
    <xf numFmtId="3" fontId="0" fillId="2" borderId="0" xfId="0" applyNumberFormat="1" applyFont="1" applyFill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57"/>
  <sheetViews>
    <sheetView tabSelected="1" zoomScaleNormal="100" zoomScaleSheetLayoutView="90" workbookViewId="0">
      <pane xSplit="1" topLeftCell="B1" activePane="topRight" state="frozen"/>
      <selection activeCell="A46" sqref="A46"/>
      <selection pane="topRight" activeCell="L1" sqref="L1"/>
    </sheetView>
  </sheetViews>
  <sheetFormatPr defaultRowHeight="15" x14ac:dyDescent="0.25"/>
  <cols>
    <col min="1" max="1" width="29.85546875" style="3" customWidth="1"/>
    <col min="2" max="4" width="13" style="67" customWidth="1"/>
    <col min="5" max="5" width="12.85546875" style="67" customWidth="1"/>
    <col min="6" max="6" width="13.140625" style="67" customWidth="1"/>
    <col min="7" max="7" width="13.7109375" style="67" customWidth="1"/>
    <col min="8" max="8" width="13.28515625" style="67" customWidth="1"/>
    <col min="9" max="10" width="13.140625" style="67" customWidth="1"/>
    <col min="11" max="12" width="13.5703125" style="67" customWidth="1"/>
    <col min="13" max="13" width="14" style="67" customWidth="1"/>
    <col min="14" max="15" width="15.140625" style="67" customWidth="1"/>
    <col min="16" max="16" width="15.85546875" style="49" customWidth="1"/>
    <col min="17" max="17" width="12.7109375" style="119" customWidth="1"/>
    <col min="18" max="18" width="4.140625" style="34" customWidth="1"/>
    <col min="19" max="19" width="17.28515625" style="3" customWidth="1"/>
    <col min="20" max="20" width="10.28515625" style="4" customWidth="1"/>
    <col min="21" max="21" width="9.85546875" style="4" customWidth="1"/>
    <col min="22" max="22" width="11.140625" style="4" customWidth="1"/>
    <col min="23" max="23" width="10.28515625" style="4" customWidth="1"/>
    <col min="24" max="25" width="10.42578125" style="4" customWidth="1"/>
    <col min="26" max="26" width="9.85546875" style="4" customWidth="1"/>
    <col min="27" max="27" width="10.28515625" style="4" customWidth="1"/>
    <col min="28" max="28" width="10.85546875" style="4" customWidth="1"/>
    <col min="29" max="29" width="9.85546875" style="4" customWidth="1"/>
    <col min="30" max="30" width="10.28515625" style="4" customWidth="1"/>
    <col min="31" max="31" width="10.140625" style="4" customWidth="1"/>
    <col min="32" max="32" width="16.85546875" customWidth="1"/>
    <col min="33" max="34" width="16.85546875" style="4" customWidth="1"/>
    <col min="35" max="35" width="2.7109375" customWidth="1"/>
    <col min="36" max="36" width="18" customWidth="1"/>
    <col min="37" max="37" width="10" customWidth="1"/>
    <col min="38" max="42" width="10.42578125" bestFit="1" customWidth="1"/>
    <col min="43" max="43" width="9.85546875" customWidth="1"/>
    <col min="44" max="48" width="10.42578125" bestFit="1" customWidth="1"/>
    <col min="49" max="49" width="13.42578125" customWidth="1"/>
    <col min="51" max="51" width="17.5703125" customWidth="1"/>
  </cols>
  <sheetData>
    <row r="1" spans="1:51" x14ac:dyDescent="0.25">
      <c r="A1" s="3" t="s">
        <v>197</v>
      </c>
      <c r="L1" s="111" t="s">
        <v>198</v>
      </c>
    </row>
    <row r="2" spans="1:51" ht="60.75" customHeight="1" x14ac:dyDescent="0.25">
      <c r="A2" s="160" t="s">
        <v>14</v>
      </c>
      <c r="B2" s="111" t="s">
        <v>0</v>
      </c>
      <c r="C2" s="111" t="s">
        <v>1</v>
      </c>
      <c r="D2" s="111" t="s">
        <v>2</v>
      </c>
      <c r="E2" s="111" t="s">
        <v>3</v>
      </c>
      <c r="F2" s="111" t="s">
        <v>4</v>
      </c>
      <c r="G2" s="111" t="s">
        <v>5</v>
      </c>
      <c r="H2" s="111" t="s">
        <v>6</v>
      </c>
      <c r="I2" s="111" t="s">
        <v>7</v>
      </c>
      <c r="J2" s="111" t="s">
        <v>8</v>
      </c>
      <c r="K2" s="111" t="s">
        <v>9</v>
      </c>
      <c r="L2" s="111" t="s">
        <v>10</v>
      </c>
      <c r="M2" s="111" t="s">
        <v>11</v>
      </c>
      <c r="N2" s="112" t="s">
        <v>78</v>
      </c>
      <c r="O2" s="112" t="s">
        <v>188</v>
      </c>
      <c r="P2" s="139" t="s">
        <v>162</v>
      </c>
      <c r="Q2" s="140" t="s">
        <v>72</v>
      </c>
      <c r="R2" s="148"/>
      <c r="S2" s="160" t="s">
        <v>13</v>
      </c>
      <c r="T2" s="5" t="s">
        <v>0</v>
      </c>
      <c r="U2" s="5" t="s">
        <v>1</v>
      </c>
      <c r="V2" s="5" t="s">
        <v>2</v>
      </c>
      <c r="W2" s="5" t="s">
        <v>3</v>
      </c>
      <c r="X2" s="5" t="s">
        <v>4</v>
      </c>
      <c r="Y2" s="5" t="s">
        <v>5</v>
      </c>
      <c r="Z2" s="5" t="s">
        <v>6</v>
      </c>
      <c r="AA2" s="5" t="s">
        <v>7</v>
      </c>
      <c r="AB2" s="5" t="s">
        <v>8</v>
      </c>
      <c r="AC2" s="5" t="s">
        <v>9</v>
      </c>
      <c r="AD2" s="5" t="s">
        <v>10</v>
      </c>
      <c r="AE2" s="5" t="s">
        <v>11</v>
      </c>
      <c r="AF2" s="30" t="s">
        <v>164</v>
      </c>
      <c r="AG2" s="30" t="s">
        <v>167</v>
      </c>
      <c r="AH2" s="148" t="s">
        <v>165</v>
      </c>
      <c r="AI2" s="2"/>
      <c r="AJ2" s="160" t="s">
        <v>50</v>
      </c>
      <c r="AK2" s="5" t="s">
        <v>0</v>
      </c>
      <c r="AL2" s="5" t="s">
        <v>1</v>
      </c>
      <c r="AM2" s="5" t="s">
        <v>2</v>
      </c>
      <c r="AN2" s="5" t="s">
        <v>3</v>
      </c>
      <c r="AO2" s="5" t="s">
        <v>4</v>
      </c>
      <c r="AP2" s="5" t="s">
        <v>5</v>
      </c>
      <c r="AQ2" s="5" t="s">
        <v>6</v>
      </c>
      <c r="AR2" s="5" t="s">
        <v>7</v>
      </c>
      <c r="AS2" s="5" t="s">
        <v>8</v>
      </c>
      <c r="AT2" s="5" t="s">
        <v>9</v>
      </c>
      <c r="AU2" s="5" t="s">
        <v>10</v>
      </c>
      <c r="AV2" s="5" t="s">
        <v>11</v>
      </c>
      <c r="AW2" s="5" t="s">
        <v>49</v>
      </c>
    </row>
    <row r="3" spans="1:51" ht="16.5" customHeight="1" x14ac:dyDescent="0.25">
      <c r="A3" s="77">
        <v>2023</v>
      </c>
      <c r="B3" s="189">
        <v>1682818.6949999998</v>
      </c>
      <c r="C3" s="189">
        <v>1496822.277</v>
      </c>
      <c r="D3" s="189">
        <v>1465815.7919999999</v>
      </c>
      <c r="E3" s="189">
        <v>1596704.9369999999</v>
      </c>
      <c r="F3" s="189">
        <v>1642693.5830000001</v>
      </c>
      <c r="G3" s="189">
        <v>2751716.497</v>
      </c>
      <c r="H3" s="189">
        <v>2846805.7220000001</v>
      </c>
      <c r="I3" s="189">
        <v>2404245.142</v>
      </c>
      <c r="J3" s="189">
        <v>2791710.4040000001</v>
      </c>
      <c r="K3" s="189">
        <v>2365672.4720000001</v>
      </c>
      <c r="L3" s="189">
        <v>1763079.8620000002</v>
      </c>
      <c r="M3" s="189">
        <v>1566492.2349999999</v>
      </c>
      <c r="N3" s="97">
        <f t="shared" ref="N3:N5" si="0">SUM(B3:G3)+SUM(H4:M4)</f>
        <v>24888594.961595487</v>
      </c>
      <c r="O3" s="97">
        <f t="shared" ref="O3:O4" si="1">SUM(B3:M3)</f>
        <v>24374577.617999997</v>
      </c>
      <c r="P3" s="136">
        <f>SUM(O3:O7)</f>
        <v>119177973.48908634</v>
      </c>
      <c r="Q3" s="137">
        <f t="shared" ref="Q3:Q8" si="2">P3/5</f>
        <v>23835594.69781727</v>
      </c>
      <c r="R3" s="148"/>
      <c r="S3" s="77">
        <v>2023</v>
      </c>
      <c r="T3" s="189">
        <v>321879</v>
      </c>
      <c r="U3" s="189">
        <v>322014</v>
      </c>
      <c r="V3" s="189">
        <v>321999</v>
      </c>
      <c r="W3" s="189">
        <v>321872</v>
      </c>
      <c r="X3" s="189">
        <v>321976</v>
      </c>
      <c r="Y3" s="189">
        <v>322034</v>
      </c>
      <c r="Z3" s="189">
        <v>322164</v>
      </c>
      <c r="AA3" s="189">
        <v>322371</v>
      </c>
      <c r="AB3" s="189">
        <v>322584</v>
      </c>
      <c r="AC3" s="189">
        <v>322843</v>
      </c>
      <c r="AD3" s="189">
        <v>322807</v>
      </c>
      <c r="AE3" s="189">
        <v>322711</v>
      </c>
      <c r="AF3" s="88">
        <f>(SUM(T3:Y3)+SUM(Z4:AE4))/12</f>
        <v>321614.75</v>
      </c>
      <c r="AG3" s="6">
        <f>SUM(T3:AE3)/12</f>
        <v>322271.16666666669</v>
      </c>
      <c r="AH3" s="36">
        <f>SUM(AG3+AG26+AG49+AG72+AG95+AG118+AG141+AG164+AG187+AG210+AG230+AG250+AG270+AG290+AG310+AG328+AG344+AG359+AG391+AG404+AG437+AG448+AG456+AG467+AG481+AG489+AG497+AG505+AG513+AG521+AG529+AG537+AG545)</f>
        <v>442216</v>
      </c>
      <c r="AI3" s="2"/>
      <c r="AJ3" s="77">
        <v>2023</v>
      </c>
      <c r="AK3" s="11">
        <f t="shared" ref="AK3:AK19" si="3">B3/T3</f>
        <v>5.2281096157251632</v>
      </c>
      <c r="AL3" s="11">
        <f t="shared" ref="AL3" si="4">C3/U3</f>
        <v>4.6483142875775592</v>
      </c>
      <c r="AM3" s="11">
        <f t="shared" ref="AM3" si="5">D3/V3</f>
        <v>4.5522370939040178</v>
      </c>
      <c r="AN3" s="11">
        <f t="shared" ref="AN3" si="6">E3/W3</f>
        <v>4.960682932967142</v>
      </c>
      <c r="AO3" s="11">
        <f t="shared" ref="AO3" si="7">F3/X3</f>
        <v>5.1019131332770149</v>
      </c>
      <c r="AP3" s="11">
        <f t="shared" ref="AP3" si="8">G3/Y3</f>
        <v>8.5448011607470011</v>
      </c>
      <c r="AQ3" s="11">
        <f t="shared" ref="AQ3" si="9">H3/Z3</f>
        <v>8.8365109757763136</v>
      </c>
      <c r="AR3" s="11">
        <f t="shared" ref="AR3" si="10">I3/AA3</f>
        <v>7.4580068988835846</v>
      </c>
      <c r="AS3" s="11">
        <f t="shared" ref="AS3" si="11">J3/AB3</f>
        <v>8.6542122485926143</v>
      </c>
      <c r="AT3" s="11">
        <f t="shared" ref="AT3" si="12">K3/AC3</f>
        <v>7.3276251057015331</v>
      </c>
      <c r="AU3" s="11">
        <f t="shared" ref="AU3" si="13">L3/AD3</f>
        <v>5.4617150867236468</v>
      </c>
      <c r="AV3" s="11">
        <f t="shared" ref="AV3" si="14">M3/AE3</f>
        <v>4.8541643606818479</v>
      </c>
      <c r="AW3" s="73">
        <f>(SUM(AK3:AP3)+SUM(AQ3:AV3))/365.25</f>
        <v>0.20705898124724831</v>
      </c>
    </row>
    <row r="4" spans="1:51" ht="17.25" customHeight="1" x14ac:dyDescent="0.25">
      <c r="A4" s="61">
        <v>2022</v>
      </c>
      <c r="B4" s="190">
        <v>1672610.9709625156</v>
      </c>
      <c r="C4" s="190">
        <v>1521512.5313840825</v>
      </c>
      <c r="D4" s="190">
        <v>1384014.9708083144</v>
      </c>
      <c r="E4" s="190">
        <v>1627378.0132615028</v>
      </c>
      <c r="F4" s="190">
        <v>1580399.645</v>
      </c>
      <c r="G4" s="190">
        <v>2032441.9279763722</v>
      </c>
      <c r="H4" s="190">
        <v>3064693.358</v>
      </c>
      <c r="I4" s="190">
        <v>2594864.0750000002</v>
      </c>
      <c r="J4" s="190">
        <v>2582221.7505954877</v>
      </c>
      <c r="K4" s="190">
        <v>2440387.0030000005</v>
      </c>
      <c r="L4" s="190">
        <v>1980532.5760000001</v>
      </c>
      <c r="M4" s="190">
        <v>1589324.4180000001</v>
      </c>
      <c r="N4" s="97">
        <f t="shared" si="0"/>
        <v>22892133.298605256</v>
      </c>
      <c r="O4" s="97">
        <f t="shared" si="1"/>
        <v>24070381.239988275</v>
      </c>
      <c r="P4" s="136">
        <f t="shared" ref="P4:P14" si="15">SUM(O4:O8)</f>
        <v>120945211.97108635</v>
      </c>
      <c r="Q4" s="137">
        <f t="shared" si="2"/>
        <v>24189042.394217271</v>
      </c>
      <c r="R4" s="148"/>
      <c r="S4" s="61">
        <v>2022</v>
      </c>
      <c r="T4" s="190">
        <v>318215</v>
      </c>
      <c r="U4" s="190">
        <v>318258</v>
      </c>
      <c r="V4" s="190">
        <v>318237</v>
      </c>
      <c r="W4" s="190">
        <v>318150</v>
      </c>
      <c r="X4" s="190">
        <v>318279</v>
      </c>
      <c r="Y4" s="190">
        <v>318200</v>
      </c>
      <c r="Z4" s="190">
        <v>318161</v>
      </c>
      <c r="AA4" s="190">
        <v>322042</v>
      </c>
      <c r="AB4" s="190">
        <v>321969</v>
      </c>
      <c r="AC4" s="190">
        <v>321880</v>
      </c>
      <c r="AD4" s="190">
        <v>321842</v>
      </c>
      <c r="AE4" s="190">
        <v>321709</v>
      </c>
      <c r="AF4" s="88">
        <f>(SUM(T4:Y4)+SUM(Z5:AE5))/12</f>
        <v>318189.25</v>
      </c>
      <c r="AG4" s="6">
        <f t="shared" ref="AG4:AG19" si="16">SUM(T4:AE4)/12</f>
        <v>319745.16666666669</v>
      </c>
      <c r="AH4" s="36">
        <f t="shared" ref="AH4:AH14" si="17">SUM(AG4+AG27+AG50+AG73+AG96+AG119+AG142+AG165+AG188+AG211+AG231+AG251+AG271+AG291+AG311+AG329+AG345+AG360+AG392+AG405+AG438+AG449+AG457+AG468+AG482+AG490+AG498+AG506+AG514+AG522+AG530+AG538+AG546)</f>
        <v>437636.41666666686</v>
      </c>
      <c r="AI4" s="2"/>
      <c r="AJ4" s="61">
        <v>2022</v>
      </c>
      <c r="AK4" s="11">
        <f t="shared" si="3"/>
        <v>5.2562291876954745</v>
      </c>
      <c r="AL4" s="11">
        <f t="shared" ref="AL4" si="18">C4/U4</f>
        <v>4.7807518786144652</v>
      </c>
      <c r="AM4" s="11">
        <f t="shared" ref="AM4" si="19">D4/V4</f>
        <v>4.3490070947385577</v>
      </c>
      <c r="AN4" s="11">
        <f t="shared" ref="AN4" si="20">E4/W4</f>
        <v>5.1151281259201724</v>
      </c>
      <c r="AO4" s="11">
        <f t="shared" ref="AO4" si="21">F4/X4</f>
        <v>4.9654537214205146</v>
      </c>
      <c r="AP4" s="11">
        <f t="shared" ref="AP4" si="22">G4/Y4</f>
        <v>6.3873096416605035</v>
      </c>
      <c r="AQ4" s="11">
        <f t="shared" ref="AQ4" si="23">H4/Z4</f>
        <v>9.6325236531190193</v>
      </c>
      <c r="AR4" s="11">
        <f t="shared" ref="AR4" si="24">I4/AA4</f>
        <v>8.0575331012725062</v>
      </c>
      <c r="AS4" s="11">
        <f t="shared" ref="AS4" si="25">J4/AB4</f>
        <v>8.0200943277007646</v>
      </c>
      <c r="AT4" s="11">
        <f t="shared" ref="AT4" si="26">K4/AC4</f>
        <v>7.581667090219959</v>
      </c>
      <c r="AU4" s="11">
        <f t="shared" ref="AU4" si="27">L4/AD4</f>
        <v>6.153741823627743</v>
      </c>
      <c r="AV4" s="11">
        <f t="shared" ref="AV4" si="28">M4/AE4</f>
        <v>4.9402547581820837</v>
      </c>
      <c r="AW4" s="73">
        <f t="shared" ref="AW4:AW19" si="29">(SUM(AK4:AP4)+SUM(AQ4:AV4))/365.25</f>
        <v>0.2059950565480404</v>
      </c>
      <c r="AY4" s="179"/>
    </row>
    <row r="5" spans="1:51" ht="18" customHeight="1" x14ac:dyDescent="0.25">
      <c r="A5" s="61">
        <v>2021</v>
      </c>
      <c r="B5" s="190">
        <v>1672518.6397098755</v>
      </c>
      <c r="C5" s="190">
        <v>1521387.0600246787</v>
      </c>
      <c r="D5" s="190">
        <v>1485481.4636270129</v>
      </c>
      <c r="E5" s="190">
        <v>1765171.6190253068</v>
      </c>
      <c r="F5" s="190">
        <v>1674085.7562715106</v>
      </c>
      <c r="G5" s="190">
        <v>2147573.4602272166</v>
      </c>
      <c r="H5" s="190">
        <v>2393295.2206875114</v>
      </c>
      <c r="I5" s="190">
        <v>2497089.1655668849</v>
      </c>
      <c r="J5" s="190">
        <v>2781226.5922345002</v>
      </c>
      <c r="K5" s="190">
        <v>2176320.1309968019</v>
      </c>
      <c r="L5" s="190">
        <v>1646454.5610360636</v>
      </c>
      <c r="M5" s="190">
        <v>1579389.5686907084</v>
      </c>
      <c r="N5" s="97">
        <f t="shared" si="0"/>
        <v>24482302.707885601</v>
      </c>
      <c r="O5" s="97">
        <f>SUM(B5:M5)</f>
        <v>23339993.238098074</v>
      </c>
      <c r="P5" s="136">
        <f t="shared" si="15"/>
        <v>122895779.60309809</v>
      </c>
      <c r="Q5" s="137">
        <f t="shared" si="2"/>
        <v>24579155.920619618</v>
      </c>
      <c r="R5" s="148"/>
      <c r="S5" s="61">
        <v>2021</v>
      </c>
      <c r="T5" s="190">
        <v>317976</v>
      </c>
      <c r="U5" s="190">
        <v>317995</v>
      </c>
      <c r="V5" s="190">
        <v>318094</v>
      </c>
      <c r="W5" s="190">
        <v>318099</v>
      </c>
      <c r="X5" s="190">
        <v>318108</v>
      </c>
      <c r="Y5" s="190">
        <v>318209</v>
      </c>
      <c r="Z5" s="190">
        <v>318083</v>
      </c>
      <c r="AA5" s="190">
        <v>318203</v>
      </c>
      <c r="AB5" s="190">
        <v>318213</v>
      </c>
      <c r="AC5" s="190">
        <v>318115</v>
      </c>
      <c r="AD5" s="190">
        <v>318215</v>
      </c>
      <c r="AE5" s="190">
        <v>318103</v>
      </c>
      <c r="AF5" s="88">
        <f>(SUM(T5:Y5)+SUM(Z6:AE6))/12</f>
        <v>317990.66666666669</v>
      </c>
      <c r="AG5" s="6">
        <f t="shared" si="16"/>
        <v>318117.75</v>
      </c>
      <c r="AH5" s="36">
        <f t="shared" si="17"/>
        <v>434935.08333333331</v>
      </c>
      <c r="AI5" s="2"/>
      <c r="AJ5" s="61">
        <v>2021</v>
      </c>
      <c r="AK5" s="11">
        <f t="shared" si="3"/>
        <v>5.259889550500275</v>
      </c>
      <c r="AL5" s="11">
        <f t="shared" ref="AL5" si="30">C5/U5</f>
        <v>4.7843112628333113</v>
      </c>
      <c r="AM5" s="11">
        <f t="shared" ref="AM5" si="31">D5/V5</f>
        <v>4.6699449333436434</v>
      </c>
      <c r="AN5" s="11">
        <f t="shared" ref="AN5" si="32">E5/W5</f>
        <v>5.5491265896004291</v>
      </c>
      <c r="AO5" s="11">
        <f t="shared" ref="AO5" si="33">F5/X5</f>
        <v>5.2626333077807246</v>
      </c>
      <c r="AP5" s="11">
        <f t="shared" ref="AP5" si="34">G5/Y5</f>
        <v>6.7489400369795218</v>
      </c>
      <c r="AQ5" s="11">
        <f t="shared" ref="AQ5" si="35">H5/Z5</f>
        <v>7.5241217565462835</v>
      </c>
      <c r="AR5" s="11">
        <f t="shared" ref="AR5" si="36">I5/AA5</f>
        <v>7.8474721029245007</v>
      </c>
      <c r="AS5" s="11">
        <f t="shared" ref="AS5" si="37">J5/AB5</f>
        <v>8.740141327458339</v>
      </c>
      <c r="AT5" s="11">
        <f t="shared" ref="AT5" si="38">K5/AC5</f>
        <v>6.841299941834877</v>
      </c>
      <c r="AU5" s="11">
        <f t="shared" ref="AU5" si="39">L5/AD5</f>
        <v>5.174031899929493</v>
      </c>
      <c r="AV5" s="11">
        <f t="shared" ref="AV5" si="40">M5/AE5</f>
        <v>4.9650256951072711</v>
      </c>
      <c r="AW5" s="73">
        <f t="shared" si="29"/>
        <v>0.20086773006115993</v>
      </c>
      <c r="AY5" s="9"/>
    </row>
    <row r="6" spans="1:51" ht="14.25" customHeight="1" x14ac:dyDescent="0.25">
      <c r="A6" s="61">
        <v>2020</v>
      </c>
      <c r="B6" s="190">
        <v>1664972.6</v>
      </c>
      <c r="C6" s="190">
        <v>1553268.8289999999</v>
      </c>
      <c r="D6" s="190">
        <v>1483295.8940000001</v>
      </c>
      <c r="E6" s="190">
        <v>1643241.7660000001</v>
      </c>
      <c r="F6" s="190">
        <v>1894709.966</v>
      </c>
      <c r="G6" s="190">
        <v>2040982.23</v>
      </c>
      <c r="H6" s="190">
        <v>2828023.477</v>
      </c>
      <c r="I6" s="190">
        <v>2603818.9249999998</v>
      </c>
      <c r="J6" s="190">
        <v>2722931.66</v>
      </c>
      <c r="K6" s="190">
        <v>2578242.3149999999</v>
      </c>
      <c r="L6" s="190">
        <v>1855785.4920000001</v>
      </c>
      <c r="M6" s="190">
        <v>1627282.84</v>
      </c>
      <c r="N6" s="97">
        <f>SUM(B6:G6)+SUM(H7:M7)</f>
        <v>23038683.993999999</v>
      </c>
      <c r="O6" s="97">
        <f t="shared" ref="O6" si="41">SUM(B6:M6)</f>
        <v>24496555.993999999</v>
      </c>
      <c r="P6" s="136">
        <f t="shared" si="15"/>
        <v>124099863.936</v>
      </c>
      <c r="Q6" s="137">
        <f t="shared" si="2"/>
        <v>24819972.7872</v>
      </c>
      <c r="R6" s="148"/>
      <c r="S6" s="61">
        <v>2020</v>
      </c>
      <c r="T6" s="35">
        <v>316867</v>
      </c>
      <c r="U6" s="35">
        <v>316859</v>
      </c>
      <c r="V6" s="35">
        <v>317039</v>
      </c>
      <c r="W6" s="35">
        <v>317205</v>
      </c>
      <c r="X6" s="35">
        <v>317411</v>
      </c>
      <c r="Y6" s="35">
        <v>317642</v>
      </c>
      <c r="Z6" s="35">
        <v>317755</v>
      </c>
      <c r="AA6" s="35">
        <v>317834</v>
      </c>
      <c r="AB6" s="35">
        <v>318049</v>
      </c>
      <c r="AC6" s="35">
        <v>317854</v>
      </c>
      <c r="AD6" s="35">
        <v>317905</v>
      </c>
      <c r="AE6" s="35">
        <v>318010</v>
      </c>
      <c r="AF6" s="88">
        <f>(SUM(T6:Y6)+SUM(Z7:AE7))/12</f>
        <v>317000.41666666669</v>
      </c>
      <c r="AG6" s="6">
        <f t="shared" si="16"/>
        <v>317535.83333333331</v>
      </c>
      <c r="AH6" s="36">
        <f t="shared" si="17"/>
        <v>433073.08333333337</v>
      </c>
      <c r="AI6" s="2"/>
      <c r="AJ6" s="61">
        <v>2020</v>
      </c>
      <c r="AK6" s="11">
        <f t="shared" si="3"/>
        <v>5.2544840579801626</v>
      </c>
      <c r="AL6" s="11">
        <f t="shared" ref="AL6:AL19" si="42">C6/U6</f>
        <v>4.9020820901410405</v>
      </c>
      <c r="AM6" s="79">
        <f t="shared" ref="AM6:AM19" si="43">D6/V6</f>
        <v>4.6785912584887033</v>
      </c>
      <c r="AN6" s="79">
        <f t="shared" ref="AN6:AN19" si="44">E6/W6</f>
        <v>5.180377881811447</v>
      </c>
      <c r="AO6" s="79">
        <f t="shared" ref="AO6:AO19" si="45">F6/X6</f>
        <v>5.9692637180185946</v>
      </c>
      <c r="AP6" s="79">
        <f t="shared" ref="AP6:AP19" si="46">G6/Y6</f>
        <v>6.4254167584891162</v>
      </c>
      <c r="AQ6" s="79">
        <f t="shared" ref="AQ6" si="47">H6/Z6</f>
        <v>8.9000125159320866</v>
      </c>
      <c r="AR6" s="79">
        <f t="shared" ref="AR6" si="48">I6/AA6</f>
        <v>8.1923863557706227</v>
      </c>
      <c r="AS6" s="79">
        <f t="shared" ref="AS6" si="49">J6/AB6</f>
        <v>8.5613589729884385</v>
      </c>
      <c r="AT6" s="79">
        <f t="shared" ref="AT6" si="50">K6/AC6</f>
        <v>8.1114043397283027</v>
      </c>
      <c r="AU6" s="79">
        <f t="shared" ref="AU6" si="51">L6/AD6</f>
        <v>5.8375473553420045</v>
      </c>
      <c r="AV6" s="79">
        <f t="shared" ref="AV6" si="52">M6/AE6</f>
        <v>5.1170807207320523</v>
      </c>
      <c r="AW6" s="73">
        <f t="shared" si="29"/>
        <v>0.21117044770820692</v>
      </c>
      <c r="AY6" s="9"/>
    </row>
    <row r="7" spans="1:51" ht="16.5" customHeight="1" x14ac:dyDescent="0.25">
      <c r="A7" s="61">
        <v>2019</v>
      </c>
      <c r="B7" s="125">
        <v>1670748.031</v>
      </c>
      <c r="C7" s="125">
        <v>1622176.017</v>
      </c>
      <c r="D7" s="125">
        <v>1562510.8109999998</v>
      </c>
      <c r="E7" s="125">
        <v>1453747.6330000001</v>
      </c>
      <c r="F7" s="125">
        <v>1825264.3939999996</v>
      </c>
      <c r="G7" s="125">
        <v>2003805.804</v>
      </c>
      <c r="H7" s="125">
        <v>2176747.0600000005</v>
      </c>
      <c r="I7" s="125">
        <v>2366048.0729999994</v>
      </c>
      <c r="J7" s="125">
        <v>2274502.2850000001</v>
      </c>
      <c r="K7" s="125">
        <v>2402730.4359999998</v>
      </c>
      <c r="L7" s="125">
        <v>1866843.9539999999</v>
      </c>
      <c r="M7" s="125">
        <v>1671340.9010000001</v>
      </c>
      <c r="N7" s="97">
        <f>SUM(B7:G7)+SUM(H8:M8)</f>
        <v>25533247.989999998</v>
      </c>
      <c r="O7" s="97">
        <f>SUM(B7:M7)</f>
        <v>22896465.399</v>
      </c>
      <c r="P7" s="136">
        <f t="shared" si="15"/>
        <v>124635735.28699999</v>
      </c>
      <c r="Q7" s="137">
        <f t="shared" si="2"/>
        <v>24927147.057399996</v>
      </c>
      <c r="R7" s="149"/>
      <c r="S7" s="61">
        <v>2019</v>
      </c>
      <c r="T7" s="35">
        <v>316657</v>
      </c>
      <c r="U7" s="35">
        <v>316615</v>
      </c>
      <c r="V7" s="35">
        <v>316688</v>
      </c>
      <c r="W7" s="35">
        <v>316633</v>
      </c>
      <c r="X7" s="35">
        <v>316619</v>
      </c>
      <c r="Y7" s="35">
        <v>316546</v>
      </c>
      <c r="Z7" s="35">
        <v>316712</v>
      </c>
      <c r="AA7" s="35">
        <v>316775</v>
      </c>
      <c r="AB7" s="35">
        <v>316857</v>
      </c>
      <c r="AC7" s="35">
        <v>316860</v>
      </c>
      <c r="AD7" s="35">
        <v>316881</v>
      </c>
      <c r="AE7" s="35">
        <v>316897</v>
      </c>
      <c r="AF7" s="8">
        <f t="shared" ref="AF7:AF8" si="53">(SUM(T7:Y7)+SUM(Z8:AE8))/12</f>
        <v>316571.25</v>
      </c>
      <c r="AG7" s="6">
        <f t="shared" si="16"/>
        <v>316728.33333333331</v>
      </c>
      <c r="AH7" s="36">
        <f t="shared" si="17"/>
        <v>431440.3333333332</v>
      </c>
      <c r="AI7" s="2"/>
      <c r="AJ7" s="61">
        <v>2019</v>
      </c>
      <c r="AK7" s="11">
        <f t="shared" si="3"/>
        <v>5.2762074768598195</v>
      </c>
      <c r="AL7" s="11">
        <f t="shared" si="42"/>
        <v>5.123497045307392</v>
      </c>
      <c r="AM7" s="9">
        <f t="shared" si="43"/>
        <v>4.9339122764361134</v>
      </c>
      <c r="AN7" s="9">
        <f t="shared" si="44"/>
        <v>4.5912701234552307</v>
      </c>
      <c r="AO7" s="9">
        <f t="shared" si="45"/>
        <v>5.7648605863830014</v>
      </c>
      <c r="AP7" s="9">
        <f t="shared" si="46"/>
        <v>6.3302199490753317</v>
      </c>
      <c r="AQ7" s="9">
        <f t="shared" ref="AQ7:AQ19" si="54">H7/Z7</f>
        <v>6.8729541665614207</v>
      </c>
      <c r="AR7" s="9">
        <f t="shared" ref="AR7:AR19" si="55">I7/AA7</f>
        <v>7.469175512587797</v>
      </c>
      <c r="AS7" s="9">
        <f t="shared" ref="AS7:AS19" si="56">J7/AB7</f>
        <v>7.178324244059624</v>
      </c>
      <c r="AT7" s="9">
        <f t="shared" ref="AT7:AT19" si="57">K7/AC7</f>
        <v>7.5829402133434316</v>
      </c>
      <c r="AU7" s="9">
        <f t="shared" ref="AU7:AU19" si="58">L7/AD7</f>
        <v>5.8913092107131693</v>
      </c>
      <c r="AV7" s="9">
        <f t="shared" ref="AV7:AV19" si="59">M7/AE7</f>
        <v>5.2740824337245229</v>
      </c>
      <c r="AW7" s="73">
        <f t="shared" si="29"/>
        <v>0.19791581995484422</v>
      </c>
    </row>
    <row r="8" spans="1:51" ht="15" customHeight="1" x14ac:dyDescent="0.25">
      <c r="A8" s="61">
        <v>2018</v>
      </c>
      <c r="B8" s="116">
        <v>1897437.5</v>
      </c>
      <c r="C8" s="116">
        <v>1629961.1</v>
      </c>
      <c r="D8" s="116">
        <v>1758938.2</v>
      </c>
      <c r="E8" s="116">
        <v>1560999.1</v>
      </c>
      <c r="F8" s="116">
        <v>1727444.6</v>
      </c>
      <c r="G8" s="116">
        <v>2172040.2999999998</v>
      </c>
      <c r="H8" s="116">
        <v>2337626.7999999998</v>
      </c>
      <c r="I8" s="116">
        <v>3047861.1</v>
      </c>
      <c r="J8" s="116">
        <v>2569047.9</v>
      </c>
      <c r="K8" s="116">
        <v>3090130.2</v>
      </c>
      <c r="L8" s="116">
        <v>2459889.6</v>
      </c>
      <c r="M8" s="116">
        <v>1890439.7</v>
      </c>
      <c r="N8" s="97">
        <f>SUM(B8:G8)+SUM(H9:M9)</f>
        <v>26240313.629000001</v>
      </c>
      <c r="O8" s="97">
        <f t="shared" ref="O8:O19" si="60">SUM(B8:M8)</f>
        <v>26141816.100000001</v>
      </c>
      <c r="P8" s="136">
        <f t="shared" si="15"/>
        <v>127723392.867</v>
      </c>
      <c r="Q8" s="137">
        <f t="shared" si="2"/>
        <v>25544678.573399998</v>
      </c>
      <c r="R8" s="148"/>
      <c r="S8" s="61">
        <v>2018</v>
      </c>
      <c r="T8" s="35">
        <v>315885</v>
      </c>
      <c r="U8" s="35">
        <v>316080</v>
      </c>
      <c r="V8" s="35">
        <v>316049</v>
      </c>
      <c r="W8" s="35">
        <v>316124</v>
      </c>
      <c r="X8" s="35">
        <v>316269</v>
      </c>
      <c r="Y8" s="35">
        <v>316349</v>
      </c>
      <c r="Z8" s="35">
        <v>316391</v>
      </c>
      <c r="AA8" s="35">
        <v>316480</v>
      </c>
      <c r="AB8" s="35">
        <v>316553</v>
      </c>
      <c r="AC8" s="35">
        <v>316469</v>
      </c>
      <c r="AD8" s="35">
        <v>316606</v>
      </c>
      <c r="AE8" s="35">
        <v>316598</v>
      </c>
      <c r="AF8" s="8">
        <f t="shared" si="53"/>
        <v>315863.58333333331</v>
      </c>
      <c r="AG8" s="6">
        <f t="shared" si="16"/>
        <v>316321.08333333331</v>
      </c>
      <c r="AH8" s="36">
        <f t="shared" si="17"/>
        <v>430516.08333333326</v>
      </c>
      <c r="AI8" s="2"/>
      <c r="AJ8" s="61">
        <v>2018</v>
      </c>
      <c r="AK8" s="11">
        <f t="shared" si="3"/>
        <v>6.006735045981924</v>
      </c>
      <c r="AL8" s="11">
        <f t="shared" si="42"/>
        <v>5.1567992280435337</v>
      </c>
      <c r="AM8" s="9">
        <f t="shared" si="43"/>
        <v>5.5653971377855962</v>
      </c>
      <c r="AN8" s="9">
        <f t="shared" si="44"/>
        <v>4.9379328997482004</v>
      </c>
      <c r="AO8" s="9">
        <f t="shared" si="45"/>
        <v>5.4619472664092914</v>
      </c>
      <c r="AP8" s="9">
        <f t="shared" si="46"/>
        <v>6.8659622758409222</v>
      </c>
      <c r="AQ8" s="9">
        <f t="shared" si="54"/>
        <v>7.3884111747805719</v>
      </c>
      <c r="AR8" s="9">
        <f t="shared" si="55"/>
        <v>9.6305014534883728</v>
      </c>
      <c r="AS8" s="9">
        <f t="shared" si="56"/>
        <v>8.1156959498093517</v>
      </c>
      <c r="AT8" s="9">
        <f t="shared" si="57"/>
        <v>9.7644009365846269</v>
      </c>
      <c r="AU8" s="9">
        <f t="shared" si="58"/>
        <v>7.7695609053523942</v>
      </c>
      <c r="AV8" s="9">
        <f t="shared" si="59"/>
        <v>5.9711043657887917</v>
      </c>
      <c r="AW8" s="73">
        <f t="shared" si="29"/>
        <v>0.22624079025219321</v>
      </c>
    </row>
    <row r="9" spans="1:51" x14ac:dyDescent="0.25">
      <c r="A9" s="3">
        <v>2017</v>
      </c>
      <c r="B9" s="66">
        <v>1800573.7320000001</v>
      </c>
      <c r="C9" s="66">
        <v>1644683.044</v>
      </c>
      <c r="D9" s="66">
        <v>1884145.608</v>
      </c>
      <c r="E9" s="66">
        <v>1326854.4210000001</v>
      </c>
      <c r="F9" s="66">
        <v>1752336.4310000001</v>
      </c>
      <c r="G9" s="66">
        <v>2118862.807</v>
      </c>
      <c r="H9" s="116">
        <v>2125493.3969999999</v>
      </c>
      <c r="I9" s="116">
        <v>3046394.1869999999</v>
      </c>
      <c r="J9" s="116">
        <v>3274548.0440000002</v>
      </c>
      <c r="K9" s="116">
        <v>2814328.682</v>
      </c>
      <c r="L9" s="116">
        <v>2209446.5189999999</v>
      </c>
      <c r="M9" s="97">
        <v>2023282</v>
      </c>
      <c r="N9" s="67">
        <f>SUM(B9:G9)+SUM(H10:M10)</f>
        <v>24497227.932999998</v>
      </c>
      <c r="O9" s="97">
        <f t="shared" si="60"/>
        <v>26020948.872000001</v>
      </c>
      <c r="P9" s="136">
        <f t="shared" si="15"/>
        <v>128371238.01871</v>
      </c>
      <c r="Q9" s="137">
        <f>P9/5</f>
        <v>25674247.603742</v>
      </c>
      <c r="R9" s="150"/>
      <c r="S9" s="3">
        <v>2017</v>
      </c>
      <c r="T9" s="70">
        <v>314962</v>
      </c>
      <c r="U9" s="70">
        <v>315142</v>
      </c>
      <c r="V9" s="70">
        <v>315307</v>
      </c>
      <c r="W9" s="70">
        <v>315260</v>
      </c>
      <c r="X9" s="70">
        <v>315420</v>
      </c>
      <c r="Y9" s="70">
        <v>315442</v>
      </c>
      <c r="Z9" s="70">
        <v>315526</v>
      </c>
      <c r="AA9" s="70">
        <v>315497</v>
      </c>
      <c r="AB9" s="70">
        <v>315595</v>
      </c>
      <c r="AC9" s="70">
        <v>315524</v>
      </c>
      <c r="AD9" s="70">
        <v>315614</v>
      </c>
      <c r="AE9" s="70">
        <v>315851</v>
      </c>
      <c r="AF9" s="8">
        <f>(SUM(T9:Y9)+SUM(Z10:AE10))/12</f>
        <v>314979.33333333331</v>
      </c>
      <c r="AG9" s="6">
        <f t="shared" si="16"/>
        <v>315428.33333333331</v>
      </c>
      <c r="AH9" s="36">
        <f t="shared" si="17"/>
        <v>428226.83333333331</v>
      </c>
      <c r="AJ9" s="3">
        <v>2017</v>
      </c>
      <c r="AK9" s="11">
        <f t="shared" si="3"/>
        <v>5.7167967310342203</v>
      </c>
      <c r="AL9" s="11">
        <f t="shared" si="42"/>
        <v>5.2188633822213477</v>
      </c>
      <c r="AM9" s="9">
        <f t="shared" si="43"/>
        <v>5.9755907988087804</v>
      </c>
      <c r="AN9" s="9">
        <f t="shared" si="44"/>
        <v>4.2087623580536704</v>
      </c>
      <c r="AO9" s="9">
        <f t="shared" si="45"/>
        <v>5.5555653763236323</v>
      </c>
      <c r="AP9" s="9">
        <f t="shared" si="46"/>
        <v>6.7171232968342833</v>
      </c>
      <c r="AQ9" s="9">
        <f t="shared" si="54"/>
        <v>6.7363494513922779</v>
      </c>
      <c r="AR9" s="9">
        <f t="shared" si="55"/>
        <v>9.6558578591872504</v>
      </c>
      <c r="AS9" s="9">
        <f t="shared" si="56"/>
        <v>10.375791897843756</v>
      </c>
      <c r="AT9" s="9">
        <f t="shared" si="57"/>
        <v>8.9195391856087021</v>
      </c>
      <c r="AU9" s="9">
        <f t="shared" si="58"/>
        <v>7.0004705716476447</v>
      </c>
      <c r="AV9" s="9">
        <f t="shared" si="59"/>
        <v>6.4058116010397308</v>
      </c>
      <c r="AW9" s="73">
        <f t="shared" si="29"/>
        <v>0.22583579058178041</v>
      </c>
    </row>
    <row r="10" spans="1:51" x14ac:dyDescent="0.25">
      <c r="A10" s="3">
        <v>2016</v>
      </c>
      <c r="B10" s="66">
        <v>1681984.905</v>
      </c>
      <c r="C10" s="66">
        <v>1727004.1259999999</v>
      </c>
      <c r="D10" s="66">
        <v>1804729.5460000001</v>
      </c>
      <c r="E10" s="66">
        <v>1626385.2960000001</v>
      </c>
      <c r="F10" s="66">
        <v>1633628.692</v>
      </c>
      <c r="G10" s="66">
        <v>2100573.1159999999</v>
      </c>
      <c r="H10" s="66">
        <v>2061864.804</v>
      </c>
      <c r="I10" s="66">
        <v>2720239.3</v>
      </c>
      <c r="J10" s="66">
        <v>2902468.696</v>
      </c>
      <c r="K10" s="66">
        <v>2159303.173</v>
      </c>
      <c r="L10" s="66">
        <v>2100973.9169999999</v>
      </c>
      <c r="M10" s="124">
        <v>2024922</v>
      </c>
      <c r="N10" s="67">
        <f t="shared" ref="N10:N18" si="61">SUM(B10:G10)+SUM(H11:M11)</f>
        <v>25014994.131000001</v>
      </c>
      <c r="O10" s="115">
        <f t="shared" si="60"/>
        <v>24544077.570999999</v>
      </c>
      <c r="P10" s="136">
        <f t="shared" si="15"/>
        <v>132952665.14670999</v>
      </c>
      <c r="Q10" s="137">
        <f t="shared" ref="Q10:Q14" si="62">P10/5</f>
        <v>26590533.029341999</v>
      </c>
      <c r="R10" s="150"/>
      <c r="S10" s="3">
        <v>2016</v>
      </c>
      <c r="T10" s="6">
        <v>313743</v>
      </c>
      <c r="U10" s="6">
        <v>314014</v>
      </c>
      <c r="V10" s="6">
        <v>314331</v>
      </c>
      <c r="W10" s="6">
        <v>314344</v>
      </c>
      <c r="X10" s="6">
        <v>314521</v>
      </c>
      <c r="Y10" s="6">
        <v>314689</v>
      </c>
      <c r="Z10" s="6">
        <v>314536</v>
      </c>
      <c r="AA10" s="6">
        <v>314676</v>
      </c>
      <c r="AB10" s="6">
        <v>314789</v>
      </c>
      <c r="AC10" s="6">
        <v>314593</v>
      </c>
      <c r="AD10" s="6">
        <v>314774</v>
      </c>
      <c r="AE10" s="6">
        <v>314851</v>
      </c>
      <c r="AF10" s="8">
        <f t="shared" ref="AF10:AF18" si="63">(SUM(T10:Y10)+SUM(Z11:AE11))/12</f>
        <v>314051.83333333331</v>
      </c>
      <c r="AG10" s="6">
        <f t="shared" si="16"/>
        <v>314488.41666666669</v>
      </c>
      <c r="AH10" s="36">
        <f>SUM(AG10+AG33+AG56+AG79+AG102+AG125+AG148+AG171+AG194+AG217+AG237+AG257+AG277+AG297+AG317+AG335+AG351+AG366+AG398+AG411)</f>
        <v>425764.01082251081</v>
      </c>
      <c r="AJ10" s="3">
        <v>2016</v>
      </c>
      <c r="AK10" s="11">
        <f t="shared" si="3"/>
        <v>5.3610276723305379</v>
      </c>
      <c r="AL10" s="11">
        <f t="shared" si="42"/>
        <v>5.4997679275446316</v>
      </c>
      <c r="AM10" s="9">
        <f t="shared" si="43"/>
        <v>5.7414939856393419</v>
      </c>
      <c r="AN10" s="9">
        <f t="shared" si="44"/>
        <v>5.1739027816659462</v>
      </c>
      <c r="AO10" s="9">
        <f t="shared" si="45"/>
        <v>5.1940210415202799</v>
      </c>
      <c r="AP10" s="9">
        <f t="shared" si="46"/>
        <v>6.6750763960608728</v>
      </c>
      <c r="AQ10" s="9">
        <f t="shared" si="54"/>
        <v>6.5552585522801845</v>
      </c>
      <c r="AR10" s="9">
        <f t="shared" si="55"/>
        <v>8.6445718771053404</v>
      </c>
      <c r="AS10" s="9">
        <f t="shared" si="56"/>
        <v>9.2203625158439468</v>
      </c>
      <c r="AT10" s="9">
        <f t="shared" si="57"/>
        <v>6.8637991722638452</v>
      </c>
      <c r="AU10" s="9">
        <f t="shared" si="58"/>
        <v>6.6745471894120856</v>
      </c>
      <c r="AV10" s="9">
        <f t="shared" si="59"/>
        <v>6.4313659477022469</v>
      </c>
      <c r="AW10" s="73">
        <f t="shared" si="29"/>
        <v>0.21364872021730122</v>
      </c>
    </row>
    <row r="11" spans="1:51" x14ac:dyDescent="0.25">
      <c r="A11" s="3">
        <v>2015</v>
      </c>
      <c r="B11" s="66">
        <v>1752092.628</v>
      </c>
      <c r="C11" s="66">
        <v>1629096.9650000001</v>
      </c>
      <c r="D11" s="66">
        <v>1902243.63</v>
      </c>
      <c r="E11" s="66">
        <v>1628277.1839999999</v>
      </c>
      <c r="F11" s="66">
        <v>1610722.5330000001</v>
      </c>
      <c r="G11" s="66">
        <v>2069305.9550000001</v>
      </c>
      <c r="H11" s="66">
        <v>2060545.81</v>
      </c>
      <c r="I11" s="66">
        <v>2515227.33</v>
      </c>
      <c r="J11" s="66">
        <v>3187268.31</v>
      </c>
      <c r="K11" s="66">
        <v>2414208</v>
      </c>
      <c r="L11" s="66">
        <v>2034054</v>
      </c>
      <c r="M11" s="66">
        <v>2229385</v>
      </c>
      <c r="N11" s="67">
        <f t="shared" si="61"/>
        <v>25187275.802000001</v>
      </c>
      <c r="O11" s="115">
        <f t="shared" si="60"/>
        <v>25032427.344999999</v>
      </c>
      <c r="P11" s="136">
        <f t="shared" si="15"/>
        <v>136607449.57571</v>
      </c>
      <c r="Q11" s="137">
        <f t="shared" si="62"/>
        <v>27321489.915142</v>
      </c>
      <c r="R11" s="150"/>
      <c r="S11" s="3">
        <v>2015</v>
      </c>
      <c r="T11" s="6">
        <v>313341</v>
      </c>
      <c r="U11" s="6">
        <v>313353</v>
      </c>
      <c r="V11" s="6">
        <v>313580</v>
      </c>
      <c r="W11" s="6">
        <v>313534</v>
      </c>
      <c r="X11" s="6">
        <v>313491</v>
      </c>
      <c r="Y11" s="6">
        <v>313625</v>
      </c>
      <c r="Z11" s="6">
        <v>313565</v>
      </c>
      <c r="AA11" s="6">
        <v>313859</v>
      </c>
      <c r="AB11" s="6">
        <v>313932</v>
      </c>
      <c r="AC11" s="6">
        <v>313799</v>
      </c>
      <c r="AD11" s="6">
        <v>313899</v>
      </c>
      <c r="AE11" s="6">
        <v>313926</v>
      </c>
      <c r="AF11" s="8">
        <f t="shared" si="63"/>
        <v>313533.58333333331</v>
      </c>
      <c r="AG11" s="6">
        <f t="shared" si="16"/>
        <v>313658.66666666669</v>
      </c>
      <c r="AH11" s="36">
        <f t="shared" si="17"/>
        <v>432341.50000000006</v>
      </c>
      <c r="AJ11" s="3">
        <v>2015</v>
      </c>
      <c r="AK11" s="11">
        <f t="shared" si="3"/>
        <v>5.5916481660555117</v>
      </c>
      <c r="AL11" s="11">
        <f t="shared" si="42"/>
        <v>5.1989193178300512</v>
      </c>
      <c r="AM11" s="9">
        <f t="shared" si="43"/>
        <v>6.0662147777281712</v>
      </c>
      <c r="AN11" s="9">
        <f t="shared" si="44"/>
        <v>5.1933033865545681</v>
      </c>
      <c r="AO11" s="9">
        <f t="shared" si="45"/>
        <v>5.1380184215814806</v>
      </c>
      <c r="AP11" s="9">
        <f t="shared" si="46"/>
        <v>6.5980261618174572</v>
      </c>
      <c r="AQ11" s="9">
        <f t="shared" si="54"/>
        <v>6.5713514263390369</v>
      </c>
      <c r="AR11" s="9">
        <f t="shared" si="55"/>
        <v>8.0138767089680396</v>
      </c>
      <c r="AS11" s="9">
        <f t="shared" si="56"/>
        <v>10.15273470050839</v>
      </c>
      <c r="AT11" s="9">
        <f t="shared" si="57"/>
        <v>7.6934853202209057</v>
      </c>
      <c r="AU11" s="9">
        <f t="shared" si="58"/>
        <v>6.4799633002972294</v>
      </c>
      <c r="AV11" s="9">
        <f t="shared" si="59"/>
        <v>7.1016258608716702</v>
      </c>
      <c r="AW11" s="73">
        <f t="shared" si="29"/>
        <v>0.21847821368589326</v>
      </c>
    </row>
    <row r="12" spans="1:51" x14ac:dyDescent="0.25">
      <c r="A12" s="3">
        <v>2014</v>
      </c>
      <c r="B12" s="66">
        <v>1966084.675</v>
      </c>
      <c r="C12" s="66">
        <v>1853624.5160000001</v>
      </c>
      <c r="D12" s="66">
        <v>1868803.355</v>
      </c>
      <c r="E12" s="66">
        <v>1885872.5689999999</v>
      </c>
      <c r="F12" s="66">
        <v>1809078.5249999999</v>
      </c>
      <c r="G12" s="66">
        <v>2005122.432</v>
      </c>
      <c r="H12" s="66">
        <v>2233719.3089999999</v>
      </c>
      <c r="I12" s="66">
        <v>2770453.1680000001</v>
      </c>
      <c r="J12" s="66">
        <v>2936358.375</v>
      </c>
      <c r="K12" s="66">
        <v>2792948.7039999999</v>
      </c>
      <c r="L12" s="66">
        <v>1806725.7709999999</v>
      </c>
      <c r="M12" s="66">
        <v>2055331.58</v>
      </c>
      <c r="N12" s="67">
        <f t="shared" si="61"/>
        <v>27896167.785999998</v>
      </c>
      <c r="O12" s="115">
        <f t="shared" si="60"/>
        <v>25984122.979000002</v>
      </c>
      <c r="P12" s="136">
        <f t="shared" si="15"/>
        <v>139184141.23071</v>
      </c>
      <c r="Q12" s="137">
        <f t="shared" si="62"/>
        <v>27836828.246142</v>
      </c>
      <c r="R12" s="150"/>
      <c r="S12" s="3">
        <v>2014</v>
      </c>
      <c r="T12" s="6">
        <v>314167</v>
      </c>
      <c r="U12" s="6">
        <v>314148</v>
      </c>
      <c r="V12" s="6">
        <v>314225</v>
      </c>
      <c r="W12" s="6">
        <v>313710</v>
      </c>
      <c r="X12" s="6">
        <v>313658</v>
      </c>
      <c r="Y12" s="6">
        <v>313555</v>
      </c>
      <c r="Z12" s="6">
        <v>313505</v>
      </c>
      <c r="AA12" s="6">
        <v>313594</v>
      </c>
      <c r="AB12" s="6">
        <v>313819</v>
      </c>
      <c r="AC12" s="6">
        <v>313671</v>
      </c>
      <c r="AD12" s="6">
        <v>313472</v>
      </c>
      <c r="AE12" s="6">
        <v>313418</v>
      </c>
      <c r="AF12" s="8">
        <f t="shared" si="63"/>
        <v>314352.75</v>
      </c>
      <c r="AG12" s="6">
        <f t="shared" si="16"/>
        <v>313745.16666666669</v>
      </c>
      <c r="AH12" s="36">
        <f t="shared" si="17"/>
        <v>430555.6666666668</v>
      </c>
      <c r="AJ12" s="3">
        <v>2014</v>
      </c>
      <c r="AK12" s="11">
        <f t="shared" si="3"/>
        <v>6.2580878163524494</v>
      </c>
      <c r="AL12" s="11">
        <f t="shared" si="42"/>
        <v>5.9004816710595005</v>
      </c>
      <c r="AM12" s="9">
        <f t="shared" si="43"/>
        <v>5.9473414114090222</v>
      </c>
      <c r="AN12" s="9">
        <f t="shared" si="44"/>
        <v>6.011515632271843</v>
      </c>
      <c r="AO12" s="9">
        <f t="shared" si="45"/>
        <v>5.7676785702899336</v>
      </c>
      <c r="AP12" s="9">
        <f t="shared" si="46"/>
        <v>6.3948029277160305</v>
      </c>
      <c r="AQ12" s="9">
        <f t="shared" si="54"/>
        <v>7.1249878279453274</v>
      </c>
      <c r="AR12" s="9">
        <f t="shared" si="55"/>
        <v>8.8345222421347351</v>
      </c>
      <c r="AS12" s="9">
        <f t="shared" si="56"/>
        <v>9.3568533931979907</v>
      </c>
      <c r="AT12" s="9">
        <f t="shared" si="57"/>
        <v>8.904070519748398</v>
      </c>
      <c r="AU12" s="9">
        <f t="shared" si="58"/>
        <v>5.7635953801296447</v>
      </c>
      <c r="AV12" s="9">
        <f t="shared" si="59"/>
        <v>6.5577968719090798</v>
      </c>
      <c r="AW12" s="73">
        <f t="shared" si="29"/>
        <v>0.22675355034678699</v>
      </c>
    </row>
    <row r="13" spans="1:51" x14ac:dyDescent="0.25">
      <c r="A13" s="3">
        <v>2013</v>
      </c>
      <c r="B13" s="66">
        <v>1989688</v>
      </c>
      <c r="C13" s="66">
        <v>1756212</v>
      </c>
      <c r="D13" s="66">
        <v>1693731</v>
      </c>
      <c r="E13" s="66">
        <v>1877109</v>
      </c>
      <c r="F13" s="66">
        <v>1802311.0497099999</v>
      </c>
      <c r="G13" s="66">
        <v>1163028.4879999999</v>
      </c>
      <c r="H13" s="66">
        <v>3002132.0669999998</v>
      </c>
      <c r="I13" s="66">
        <v>2776575.233</v>
      </c>
      <c r="J13" s="66">
        <v>3287413.952</v>
      </c>
      <c r="K13" s="66">
        <v>3216450.26</v>
      </c>
      <c r="L13" s="66">
        <v>2123376.7799999998</v>
      </c>
      <c r="M13" s="66">
        <v>2101633.4219999998</v>
      </c>
      <c r="N13" s="67">
        <f t="shared" si="61"/>
        <v>29046886.53771</v>
      </c>
      <c r="O13" s="115">
        <f t="shared" si="60"/>
        <v>26789661.251709998</v>
      </c>
      <c r="P13" s="136">
        <f t="shared" si="15"/>
        <v>139803418.25171</v>
      </c>
      <c r="Q13" s="137">
        <f t="shared" si="62"/>
        <v>27960683.650341999</v>
      </c>
      <c r="R13" s="150"/>
      <c r="S13" s="3">
        <v>2013</v>
      </c>
      <c r="T13" s="6">
        <v>313410</v>
      </c>
      <c r="U13" s="6">
        <v>313578</v>
      </c>
      <c r="V13" s="6">
        <v>313588</v>
      </c>
      <c r="W13" s="6">
        <v>313565</v>
      </c>
      <c r="X13" s="6">
        <v>316697</v>
      </c>
      <c r="Y13" s="6">
        <v>314438</v>
      </c>
      <c r="Z13" s="6">
        <v>317746</v>
      </c>
      <c r="AA13" s="6">
        <v>314316</v>
      </c>
      <c r="AB13" s="6">
        <v>314230</v>
      </c>
      <c r="AC13" s="6">
        <v>314171</v>
      </c>
      <c r="AD13" s="6">
        <v>314150</v>
      </c>
      <c r="AE13" s="6">
        <v>314157</v>
      </c>
      <c r="AF13" s="8">
        <f t="shared" si="63"/>
        <v>313900.75</v>
      </c>
      <c r="AG13" s="6">
        <f t="shared" si="16"/>
        <v>314503.83333333331</v>
      </c>
      <c r="AH13" s="36">
        <f>SUM(AG13+AG36+AG59+AG82+AG105+AG128+AG151+AG174+AG197+AG220+AG240+AG260+AG280+AG300+AG458+AG491+AG499+AG507)</f>
        <v>429873.77777777775</v>
      </c>
      <c r="AJ13" s="3">
        <v>2013</v>
      </c>
      <c r="AK13" s="11">
        <f t="shared" si="3"/>
        <v>6.3485147251204497</v>
      </c>
      <c r="AL13" s="11">
        <f t="shared" si="42"/>
        <v>5.6005587126647915</v>
      </c>
      <c r="AM13" s="9">
        <f t="shared" si="43"/>
        <v>5.4011346097427193</v>
      </c>
      <c r="AN13" s="9">
        <f t="shared" si="44"/>
        <v>5.9863473283051363</v>
      </c>
      <c r="AO13" s="9">
        <f t="shared" si="45"/>
        <v>5.6909634436385561</v>
      </c>
      <c r="AP13" s="9">
        <f t="shared" si="46"/>
        <v>3.6987529751493136</v>
      </c>
      <c r="AQ13" s="9">
        <f t="shared" si="54"/>
        <v>9.4482135636640585</v>
      </c>
      <c r="AR13" s="9">
        <f t="shared" si="55"/>
        <v>8.833706311482711</v>
      </c>
      <c r="AS13" s="9">
        <f t="shared" si="56"/>
        <v>10.461808076886358</v>
      </c>
      <c r="AT13" s="9">
        <f t="shared" si="57"/>
        <v>10.237896750495748</v>
      </c>
      <c r="AU13" s="9">
        <f t="shared" si="58"/>
        <v>6.7591175553079736</v>
      </c>
      <c r="AV13" s="9">
        <f t="shared" si="59"/>
        <v>6.6897551924674596</v>
      </c>
      <c r="AW13" s="73">
        <f t="shared" si="29"/>
        <v>0.23314652770684538</v>
      </c>
    </row>
    <row r="14" spans="1:51" x14ac:dyDescent="0.25">
      <c r="A14" s="3">
        <v>2012</v>
      </c>
      <c r="B14" s="66">
        <v>1965402</v>
      </c>
      <c r="C14" s="66">
        <v>1900039</v>
      </c>
      <c r="D14" s="66">
        <v>1913499</v>
      </c>
      <c r="E14" s="66">
        <v>1637810</v>
      </c>
      <c r="F14" s="66">
        <v>1941595</v>
      </c>
      <c r="G14" s="66">
        <v>2479224</v>
      </c>
      <c r="H14" s="66">
        <v>3212479</v>
      </c>
      <c r="I14" s="66">
        <v>4542530</v>
      </c>
      <c r="J14" s="66">
        <v>3564200</v>
      </c>
      <c r="K14" s="66">
        <v>3475861</v>
      </c>
      <c r="L14" s="66">
        <v>1967649</v>
      </c>
      <c r="M14" s="66">
        <v>2002088</v>
      </c>
      <c r="N14" s="67">
        <f t="shared" si="61"/>
        <v>28299829</v>
      </c>
      <c r="O14" s="115">
        <f t="shared" si="60"/>
        <v>30602376</v>
      </c>
      <c r="P14" s="136">
        <f t="shared" si="15"/>
        <v>140306268</v>
      </c>
      <c r="Q14" s="137">
        <f t="shared" si="62"/>
        <v>28061253.600000001</v>
      </c>
      <c r="R14" s="150"/>
      <c r="S14" s="3">
        <v>2012</v>
      </c>
      <c r="T14" s="6">
        <v>313306</v>
      </c>
      <c r="U14" s="6">
        <v>313412</v>
      </c>
      <c r="V14" s="6">
        <v>313565</v>
      </c>
      <c r="W14" s="6">
        <v>313519</v>
      </c>
      <c r="X14" s="6">
        <v>313586</v>
      </c>
      <c r="Y14" s="6">
        <v>313624</v>
      </c>
      <c r="Z14" s="6">
        <v>313596</v>
      </c>
      <c r="AA14" s="6">
        <v>313627</v>
      </c>
      <c r="AB14" s="6">
        <v>313715</v>
      </c>
      <c r="AC14" s="6">
        <v>313446</v>
      </c>
      <c r="AD14" s="6">
        <v>313615</v>
      </c>
      <c r="AE14" s="6">
        <v>313534</v>
      </c>
      <c r="AF14" s="8">
        <f t="shared" si="63"/>
        <v>313582.91666666669</v>
      </c>
      <c r="AG14" s="6">
        <f t="shared" si="16"/>
        <v>313545.41666666669</v>
      </c>
      <c r="AH14" s="36">
        <f t="shared" si="17"/>
        <v>418853.50000000006</v>
      </c>
      <c r="AJ14" s="3">
        <v>2012</v>
      </c>
      <c r="AK14" s="11">
        <f t="shared" si="3"/>
        <v>6.2731068029338726</v>
      </c>
      <c r="AL14" s="11">
        <f t="shared" si="42"/>
        <v>6.0624321978737257</v>
      </c>
      <c r="AM14" s="9">
        <f t="shared" si="43"/>
        <v>6.102399821408639</v>
      </c>
      <c r="AN14" s="9">
        <f t="shared" si="44"/>
        <v>5.2239577186709578</v>
      </c>
      <c r="AO14" s="9">
        <f t="shared" si="45"/>
        <v>6.1915869968684829</v>
      </c>
      <c r="AP14" s="9">
        <f t="shared" si="46"/>
        <v>7.9050837946075552</v>
      </c>
      <c r="AQ14" s="9">
        <f t="shared" si="54"/>
        <v>10.244005025574305</v>
      </c>
      <c r="AR14" s="9">
        <f t="shared" si="55"/>
        <v>14.483861402238965</v>
      </c>
      <c r="AS14" s="9">
        <f t="shared" si="56"/>
        <v>11.361267392378434</v>
      </c>
      <c r="AT14" s="9">
        <f t="shared" si="57"/>
        <v>11.089186016092086</v>
      </c>
      <c r="AU14" s="9">
        <f t="shared" si="58"/>
        <v>6.2740908438690752</v>
      </c>
      <c r="AV14" s="9">
        <f t="shared" si="59"/>
        <v>6.3855530819624029</v>
      </c>
      <c r="AW14" s="73">
        <f t="shared" si="29"/>
        <v>0.26720473947838058</v>
      </c>
    </row>
    <row r="15" spans="1:51" x14ac:dyDescent="0.25">
      <c r="A15" s="3">
        <v>2011</v>
      </c>
      <c r="B15" s="66">
        <v>2045418</v>
      </c>
      <c r="C15" s="66">
        <v>1978503</v>
      </c>
      <c r="D15" s="66">
        <v>2096431</v>
      </c>
      <c r="E15" s="66">
        <v>1653695</v>
      </c>
      <c r="F15" s="66">
        <v>1893314</v>
      </c>
      <c r="G15" s="66">
        <v>2069241</v>
      </c>
      <c r="H15" s="66">
        <v>2236823</v>
      </c>
      <c r="I15" s="66">
        <v>3260122</v>
      </c>
      <c r="J15" s="66">
        <v>3100996</v>
      </c>
      <c r="K15" s="66">
        <v>3231278</v>
      </c>
      <c r="L15" s="66">
        <v>2535698</v>
      </c>
      <c r="M15" s="66">
        <v>2097343</v>
      </c>
      <c r="N15" s="67">
        <f t="shared" si="61"/>
        <v>27601552</v>
      </c>
      <c r="O15" s="115">
        <f t="shared" si="60"/>
        <v>28198862</v>
      </c>
      <c r="P15" s="141"/>
      <c r="Q15" s="138"/>
      <c r="R15" s="151"/>
      <c r="S15" s="3">
        <v>2011</v>
      </c>
      <c r="T15" s="6">
        <v>314102</v>
      </c>
      <c r="U15" s="6">
        <v>314071</v>
      </c>
      <c r="V15" s="6">
        <v>314121</v>
      </c>
      <c r="W15" s="6">
        <v>313874</v>
      </c>
      <c r="X15" s="6">
        <v>313881</v>
      </c>
      <c r="Y15" s="6">
        <v>313898</v>
      </c>
      <c r="Z15" s="6">
        <v>313885</v>
      </c>
      <c r="AA15" s="6">
        <v>313874</v>
      </c>
      <c r="AB15" s="6">
        <v>313860</v>
      </c>
      <c r="AC15" s="6">
        <v>313524</v>
      </c>
      <c r="AD15" s="6">
        <v>313465</v>
      </c>
      <c r="AE15" s="6">
        <v>313375</v>
      </c>
      <c r="AF15" s="8">
        <f t="shared" si="63"/>
        <v>314340.16666666669</v>
      </c>
      <c r="AG15" s="6">
        <f t="shared" si="16"/>
        <v>313827.5</v>
      </c>
      <c r="AH15" s="36">
        <f>SUM(AG15+AG38+AG61+AG84+AG107+AG130+AG153+AG176+AG199+AG222+AG242+AG262+AG449+AG460+AG468)</f>
        <v>418951.91666666669</v>
      </c>
      <c r="AJ15" s="3">
        <v>2011</v>
      </c>
      <c r="AK15" s="11">
        <f t="shared" si="3"/>
        <v>6.5119547153472439</v>
      </c>
      <c r="AL15" s="11">
        <f t="shared" si="42"/>
        <v>6.299540549748305</v>
      </c>
      <c r="AM15" s="9">
        <f t="shared" si="43"/>
        <v>6.6739600345089949</v>
      </c>
      <c r="AN15" s="9">
        <f t="shared" si="44"/>
        <v>5.2686587611589362</v>
      </c>
      <c r="AO15" s="9">
        <f t="shared" si="45"/>
        <v>6.0319484135707482</v>
      </c>
      <c r="AP15" s="9">
        <f t="shared" si="46"/>
        <v>6.59208086703324</v>
      </c>
      <c r="AQ15" s="9">
        <f t="shared" si="54"/>
        <v>7.1262500597352529</v>
      </c>
      <c r="AR15" s="9">
        <f t="shared" si="55"/>
        <v>10.386722060444637</v>
      </c>
      <c r="AS15" s="9">
        <f t="shared" si="56"/>
        <v>9.880188619129548</v>
      </c>
      <c r="AT15" s="9">
        <f t="shared" si="57"/>
        <v>10.306317857644071</v>
      </c>
      <c r="AU15" s="9">
        <f t="shared" si="58"/>
        <v>8.0892539836983399</v>
      </c>
      <c r="AV15" s="9">
        <f t="shared" si="59"/>
        <v>6.6927578779417631</v>
      </c>
      <c r="AW15" s="73">
        <f t="shared" si="29"/>
        <v>0.24602226913062583</v>
      </c>
    </row>
    <row r="16" spans="1:51" x14ac:dyDescent="0.25">
      <c r="A16" s="3">
        <v>2010</v>
      </c>
      <c r="B16" s="66">
        <v>1682742</v>
      </c>
      <c r="C16" s="66">
        <v>2002529</v>
      </c>
      <c r="D16" s="66">
        <v>2134509</v>
      </c>
      <c r="E16" s="66">
        <v>1805210</v>
      </c>
      <c r="F16" s="66">
        <v>1927805</v>
      </c>
      <c r="G16" s="66">
        <v>2191374</v>
      </c>
      <c r="H16" s="66">
        <v>2462917</v>
      </c>
      <c r="I16" s="66">
        <v>3046619</v>
      </c>
      <c r="J16" s="66">
        <v>3100005</v>
      </c>
      <c r="K16" s="66">
        <v>2808317</v>
      </c>
      <c r="L16" s="66">
        <v>2399896</v>
      </c>
      <c r="M16" s="66">
        <v>2047196</v>
      </c>
      <c r="N16" s="67">
        <f t="shared" si="61"/>
        <v>26552706</v>
      </c>
      <c r="O16" s="115">
        <f t="shared" si="60"/>
        <v>27609119</v>
      </c>
      <c r="P16" s="141"/>
      <c r="Q16" s="138"/>
      <c r="R16" s="151"/>
      <c r="S16" s="3">
        <v>2010</v>
      </c>
      <c r="T16" s="6">
        <v>314862</v>
      </c>
      <c r="U16" s="6">
        <v>314919</v>
      </c>
      <c r="V16" s="6">
        <v>315031</v>
      </c>
      <c r="W16" s="6">
        <v>315095</v>
      </c>
      <c r="X16" s="6">
        <v>315403</v>
      </c>
      <c r="Y16" s="6">
        <v>315393</v>
      </c>
      <c r="Z16" s="6">
        <v>314984</v>
      </c>
      <c r="AA16" s="6">
        <v>315029</v>
      </c>
      <c r="AB16" s="6">
        <v>314868</v>
      </c>
      <c r="AC16" s="6">
        <v>314528</v>
      </c>
      <c r="AD16" s="6">
        <v>314464</v>
      </c>
      <c r="AE16" s="6">
        <v>314262</v>
      </c>
      <c r="AF16" s="8">
        <f t="shared" si="63"/>
        <v>315087.5</v>
      </c>
      <c r="AG16" s="6">
        <f t="shared" si="16"/>
        <v>314903.16666666669</v>
      </c>
      <c r="AH16" s="36">
        <f>SUM(AG16+AG39+AG62+AG85+AG108+AG131+AG154+AG177+AG200+AG404+AG450+AG461+AG469)</f>
        <v>419064.33333333337</v>
      </c>
      <c r="AJ16" s="3">
        <v>2010</v>
      </c>
      <c r="AK16" s="11">
        <f t="shared" si="3"/>
        <v>5.3443794424223947</v>
      </c>
      <c r="AL16" s="11">
        <f t="shared" si="42"/>
        <v>6.3588700586500018</v>
      </c>
      <c r="AM16" s="9">
        <f t="shared" si="43"/>
        <v>6.7755522472391609</v>
      </c>
      <c r="AN16" s="9">
        <f t="shared" si="44"/>
        <v>5.7290975737476</v>
      </c>
      <c r="AO16" s="9">
        <f t="shared" si="45"/>
        <v>6.1121961427126568</v>
      </c>
      <c r="AP16" s="9">
        <f t="shared" si="46"/>
        <v>6.9480743072928064</v>
      </c>
      <c r="AQ16" s="9">
        <f t="shared" si="54"/>
        <v>7.8191812917481522</v>
      </c>
      <c r="AR16" s="9">
        <f t="shared" si="55"/>
        <v>9.6709160109069323</v>
      </c>
      <c r="AS16" s="9">
        <f t="shared" si="56"/>
        <v>9.8454114104958261</v>
      </c>
      <c r="AT16" s="9">
        <f t="shared" si="57"/>
        <v>8.9286708973445919</v>
      </c>
      <c r="AU16" s="9">
        <f t="shared" si="58"/>
        <v>7.631703470031546</v>
      </c>
      <c r="AV16" s="9">
        <f t="shared" si="59"/>
        <v>6.5142969878636299</v>
      </c>
      <c r="AW16" s="73">
        <f t="shared" si="29"/>
        <v>0.24005023912513429</v>
      </c>
    </row>
    <row r="17" spans="1:49" x14ac:dyDescent="0.25">
      <c r="A17" s="3">
        <v>2009</v>
      </c>
      <c r="B17" s="66">
        <v>1804994</v>
      </c>
      <c r="C17" s="66">
        <v>1958690</v>
      </c>
      <c r="D17" s="66">
        <v>2069646</v>
      </c>
      <c r="E17" s="66">
        <v>1649819</v>
      </c>
      <c r="F17" s="66">
        <v>2200924</v>
      </c>
      <c r="G17" s="66">
        <v>2110790</v>
      </c>
      <c r="H17" s="66">
        <v>2426266</v>
      </c>
      <c r="I17" s="66">
        <v>2781485</v>
      </c>
      <c r="J17" s="66">
        <v>2872047</v>
      </c>
      <c r="K17" s="66">
        <v>2766176</v>
      </c>
      <c r="L17" s="66">
        <v>1939249</v>
      </c>
      <c r="M17" s="66">
        <v>2023314</v>
      </c>
      <c r="N17" s="67">
        <f t="shared" si="61"/>
        <v>27037273</v>
      </c>
      <c r="O17" s="115">
        <f t="shared" si="60"/>
        <v>26603400</v>
      </c>
      <c r="P17" s="141"/>
      <c r="Q17" s="138"/>
      <c r="R17" s="151"/>
      <c r="S17" s="3">
        <v>2009</v>
      </c>
      <c r="T17" s="6">
        <v>314557</v>
      </c>
      <c r="U17" s="6">
        <v>314666</v>
      </c>
      <c r="V17" s="6">
        <v>314826</v>
      </c>
      <c r="W17" s="6">
        <v>314888</v>
      </c>
      <c r="X17" s="6">
        <v>314996</v>
      </c>
      <c r="Y17" s="6">
        <v>315040</v>
      </c>
      <c r="Z17" s="6">
        <v>315132</v>
      </c>
      <c r="AA17" s="6">
        <v>315067</v>
      </c>
      <c r="AB17" s="6">
        <v>315132</v>
      </c>
      <c r="AC17" s="6">
        <v>315044</v>
      </c>
      <c r="AD17" s="6">
        <v>315032</v>
      </c>
      <c r="AE17" s="6">
        <v>314940</v>
      </c>
      <c r="AF17" s="8">
        <f t="shared" si="63"/>
        <v>314835</v>
      </c>
      <c r="AG17" s="6">
        <f t="shared" si="16"/>
        <v>314943.33333333331</v>
      </c>
      <c r="AH17" s="36">
        <f>SUM(AG17+AG40+AG63+AG86+AG109+AG132+AG155+AG178+AG201+AG470)</f>
        <v>418480.83333333337</v>
      </c>
      <c r="AJ17" s="3">
        <v>2009</v>
      </c>
      <c r="AK17" s="11">
        <f t="shared" si="3"/>
        <v>5.7382096090692629</v>
      </c>
      <c r="AL17" s="11">
        <f t="shared" si="42"/>
        <v>6.2246636115754486</v>
      </c>
      <c r="AM17" s="9">
        <f t="shared" si="43"/>
        <v>6.573936078976959</v>
      </c>
      <c r="AN17" s="9">
        <f t="shared" si="44"/>
        <v>5.2393835268412898</v>
      </c>
      <c r="AO17" s="9">
        <f t="shared" si="45"/>
        <v>6.9871490431624528</v>
      </c>
      <c r="AP17" s="9">
        <f t="shared" si="46"/>
        <v>6.7000698324022343</v>
      </c>
      <c r="AQ17" s="9">
        <f t="shared" si="54"/>
        <v>7.6992054123351483</v>
      </c>
      <c r="AR17" s="9">
        <f t="shared" si="55"/>
        <v>8.8282333598885323</v>
      </c>
      <c r="AS17" s="9">
        <f t="shared" si="56"/>
        <v>9.1137904116370283</v>
      </c>
      <c r="AT17" s="9">
        <f t="shared" si="57"/>
        <v>8.7802846586508547</v>
      </c>
      <c r="AU17" s="9">
        <f t="shared" si="58"/>
        <v>6.1557206886919422</v>
      </c>
      <c r="AV17" s="9">
        <f t="shared" si="59"/>
        <v>6.4244427510001909</v>
      </c>
      <c r="AW17" s="73">
        <f t="shared" si="29"/>
        <v>0.23125281036066081</v>
      </c>
    </row>
    <row r="18" spans="1:49" x14ac:dyDescent="0.25">
      <c r="A18" s="3">
        <v>2008</v>
      </c>
      <c r="B18" s="66">
        <v>2221758</v>
      </c>
      <c r="C18" s="66">
        <v>2090695</v>
      </c>
      <c r="D18" s="66">
        <v>1931924</v>
      </c>
      <c r="E18" s="66">
        <v>1952933</v>
      </c>
      <c r="F18" s="66">
        <v>1851502</v>
      </c>
      <c r="G18" s="66">
        <v>2001289</v>
      </c>
      <c r="H18" s="66">
        <v>2399959</v>
      </c>
      <c r="I18" s="66">
        <v>2969478</v>
      </c>
      <c r="J18" s="66">
        <v>2758949</v>
      </c>
      <c r="K18" s="66">
        <v>2804832</v>
      </c>
      <c r="L18" s="66">
        <v>1720085</v>
      </c>
      <c r="M18" s="66">
        <v>2589107</v>
      </c>
      <c r="N18" s="67">
        <f t="shared" si="61"/>
        <v>31104105.490000002</v>
      </c>
      <c r="O18" s="115">
        <f t="shared" si="60"/>
        <v>27292511</v>
      </c>
      <c r="P18" s="141"/>
      <c r="Q18" s="138"/>
      <c r="R18" s="151"/>
      <c r="S18" s="3">
        <v>2008</v>
      </c>
      <c r="T18" s="6">
        <v>321504</v>
      </c>
      <c r="U18" s="6">
        <v>321436</v>
      </c>
      <c r="V18" s="6">
        <v>318119</v>
      </c>
      <c r="W18" s="6">
        <v>314353</v>
      </c>
      <c r="X18" s="6">
        <v>314402</v>
      </c>
      <c r="Y18" s="6">
        <v>314739</v>
      </c>
      <c r="Z18" s="6">
        <v>314734</v>
      </c>
      <c r="AA18" s="6">
        <v>314888</v>
      </c>
      <c r="AB18" s="6">
        <v>315017</v>
      </c>
      <c r="AC18" s="6">
        <v>314896</v>
      </c>
      <c r="AD18" s="6">
        <v>314817</v>
      </c>
      <c r="AE18" s="6">
        <v>314695</v>
      </c>
      <c r="AF18" s="8">
        <f t="shared" si="63"/>
        <v>319495.25</v>
      </c>
      <c r="AG18" s="6">
        <f t="shared" si="16"/>
        <v>316133.33333333331</v>
      </c>
      <c r="AH18" s="36">
        <f>SUM(AG18+AG41+AG64+AG87+AG110+AG133+AG156+AG179+AG202)</f>
        <v>418967</v>
      </c>
      <c r="AJ18" s="3">
        <v>2008</v>
      </c>
      <c r="AK18" s="11">
        <f t="shared" si="3"/>
        <v>6.9105143326366081</v>
      </c>
      <c r="AL18" s="11">
        <f t="shared" si="42"/>
        <v>6.5042341243669037</v>
      </c>
      <c r="AM18" s="9">
        <f t="shared" si="43"/>
        <v>6.0729601186977202</v>
      </c>
      <c r="AN18" s="9">
        <f t="shared" si="44"/>
        <v>6.2125476772927248</v>
      </c>
      <c r="AO18" s="9">
        <f t="shared" si="45"/>
        <v>5.8889638106627817</v>
      </c>
      <c r="AP18" s="9">
        <f t="shared" si="46"/>
        <v>6.358566939591217</v>
      </c>
      <c r="AQ18" s="9">
        <f t="shared" si="54"/>
        <v>7.6253566503777792</v>
      </c>
      <c r="AR18" s="9">
        <f t="shared" si="55"/>
        <v>9.4302672696323775</v>
      </c>
      <c r="AS18" s="9">
        <f t="shared" si="56"/>
        <v>8.7580955948409134</v>
      </c>
      <c r="AT18" s="9">
        <f t="shared" si="57"/>
        <v>8.9071693511508556</v>
      </c>
      <c r="AU18" s="9">
        <f t="shared" si="58"/>
        <v>5.4637614868320323</v>
      </c>
      <c r="AV18" s="9">
        <f t="shared" si="59"/>
        <v>8.2273534692321135</v>
      </c>
      <c r="AW18" s="73">
        <f t="shared" si="29"/>
        <v>0.23644022128764966</v>
      </c>
    </row>
    <row r="19" spans="1:49" x14ac:dyDescent="0.25">
      <c r="A19" s="3">
        <v>2007</v>
      </c>
      <c r="B19" s="66"/>
      <c r="C19" s="66"/>
      <c r="D19" s="66"/>
      <c r="E19" s="66"/>
      <c r="F19" s="66"/>
      <c r="G19" s="66"/>
      <c r="H19" s="66">
        <v>2937628.39</v>
      </c>
      <c r="I19" s="66">
        <v>3707777.3299999996</v>
      </c>
      <c r="J19" s="66">
        <v>3393560.1100000003</v>
      </c>
      <c r="K19" s="66">
        <v>3990236.25</v>
      </c>
      <c r="L19" s="66">
        <v>2745193.4</v>
      </c>
      <c r="M19" s="66">
        <v>2279609.0099999998</v>
      </c>
      <c r="O19" s="115">
        <f t="shared" si="60"/>
        <v>19054004.490000002</v>
      </c>
      <c r="P19" s="141"/>
      <c r="Q19" s="138"/>
      <c r="R19" s="151"/>
      <c r="S19" s="3">
        <v>2007</v>
      </c>
      <c r="T19" s="6">
        <v>321050</v>
      </c>
      <c r="U19" s="6">
        <v>321106</v>
      </c>
      <c r="V19" s="6">
        <v>321743</v>
      </c>
      <c r="W19" s="6">
        <v>321529</v>
      </c>
      <c r="X19" s="6">
        <v>321520</v>
      </c>
      <c r="Y19" s="6">
        <v>321518</v>
      </c>
      <c r="Z19" s="6">
        <v>321545</v>
      </c>
      <c r="AA19" s="6">
        <v>321582</v>
      </c>
      <c r="AB19" s="6">
        <v>321624</v>
      </c>
      <c r="AC19" s="6">
        <v>321549</v>
      </c>
      <c r="AD19" s="6">
        <v>321576</v>
      </c>
      <c r="AE19" s="6">
        <v>321514</v>
      </c>
      <c r="AF19" s="9"/>
      <c r="AG19" s="6">
        <f t="shared" si="16"/>
        <v>321488</v>
      </c>
      <c r="AH19" s="36">
        <f>SUM(AG19+AG42+AG65+AG88+AG111+AG134+AG157+AG180+AG203)</f>
        <v>423951.33333333331</v>
      </c>
      <c r="AJ19" s="3">
        <v>2007</v>
      </c>
      <c r="AK19" s="11">
        <f t="shared" si="3"/>
        <v>0</v>
      </c>
      <c r="AL19" s="11">
        <f t="shared" si="42"/>
        <v>0</v>
      </c>
      <c r="AM19" s="9">
        <f t="shared" si="43"/>
        <v>0</v>
      </c>
      <c r="AN19" s="9">
        <f t="shared" si="44"/>
        <v>0</v>
      </c>
      <c r="AO19" s="9">
        <f t="shared" si="45"/>
        <v>0</v>
      </c>
      <c r="AP19" s="9">
        <f t="shared" si="46"/>
        <v>0</v>
      </c>
      <c r="AQ19" s="9">
        <f t="shared" si="54"/>
        <v>9.1359790698036054</v>
      </c>
      <c r="AR19" s="9">
        <f t="shared" si="55"/>
        <v>11.529803689261213</v>
      </c>
      <c r="AS19" s="9">
        <f t="shared" si="56"/>
        <v>10.551327357411139</v>
      </c>
      <c r="AT19" s="9">
        <f t="shared" si="57"/>
        <v>12.409418937704674</v>
      </c>
      <c r="AU19" s="9">
        <f t="shared" si="58"/>
        <v>8.536686195487226</v>
      </c>
      <c r="AV19" s="9">
        <f t="shared" si="59"/>
        <v>7.090232493763879</v>
      </c>
      <c r="AW19" s="73">
        <f t="shared" si="29"/>
        <v>0.1622270985446454</v>
      </c>
    </row>
    <row r="20" spans="1:49" ht="15.75" thickBot="1" x14ac:dyDescent="0.3">
      <c r="N20" s="118"/>
      <c r="O20" s="118"/>
      <c r="P20" s="141"/>
      <c r="Q20" s="138"/>
      <c r="R20" s="151"/>
      <c r="AW20" s="73"/>
    </row>
    <row r="21" spans="1:49" ht="15.75" thickTop="1" x14ac:dyDescent="0.25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97">
        <f>SUM(N3:N7)/5</f>
        <v>24166992.590417266</v>
      </c>
      <c r="O21" s="97">
        <f>SUM(O3:O7)/5</f>
        <v>23835594.69781727</v>
      </c>
      <c r="P21" s="142"/>
      <c r="Q21" s="143"/>
      <c r="R21" s="152"/>
      <c r="AV21" s="3" t="s">
        <v>47</v>
      </c>
      <c r="AW21" s="159">
        <f>SUM(AW3:AW7)/5</f>
        <v>0.20460160710389994</v>
      </c>
    </row>
    <row r="22" spans="1:49" x14ac:dyDescent="0.25">
      <c r="A22" s="64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97"/>
      <c r="O22" s="97"/>
      <c r="P22" s="142"/>
      <c r="Q22" s="143"/>
      <c r="R22" s="152"/>
      <c r="AV22" s="63" t="s">
        <v>89</v>
      </c>
      <c r="AW22" s="74">
        <f>SUM(AW4:AW8)/5</f>
        <v>0.20843796890488892</v>
      </c>
    </row>
    <row r="23" spans="1:49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97"/>
      <c r="O23" s="97"/>
      <c r="P23" s="141"/>
      <c r="Q23" s="138"/>
      <c r="R23" s="151"/>
      <c r="S23" s="10"/>
      <c r="AV23" s="3" t="s">
        <v>48</v>
      </c>
      <c r="AW23" s="159">
        <f>SUM(AW3:AW12)/10</f>
        <v>0.21339651006034549</v>
      </c>
    </row>
    <row r="24" spans="1:49" x14ac:dyDescent="0.25">
      <c r="P24" s="144"/>
      <c r="Q24" s="145"/>
    </row>
    <row r="25" spans="1:49" ht="78.75" customHeight="1" x14ac:dyDescent="0.25">
      <c r="A25" s="165" t="s">
        <v>15</v>
      </c>
      <c r="B25" s="111" t="s">
        <v>0</v>
      </c>
      <c r="C25" s="111" t="s">
        <v>1</v>
      </c>
      <c r="D25" s="111" t="s">
        <v>2</v>
      </c>
      <c r="E25" s="111" t="s">
        <v>3</v>
      </c>
      <c r="F25" s="111" t="s">
        <v>4</v>
      </c>
      <c r="G25" s="111" t="s">
        <v>5</v>
      </c>
      <c r="H25" s="111" t="s">
        <v>6</v>
      </c>
      <c r="I25" s="111" t="s">
        <v>7</v>
      </c>
      <c r="J25" s="111" t="s">
        <v>8</v>
      </c>
      <c r="K25" s="111" t="s">
        <v>9</v>
      </c>
      <c r="L25" s="111" t="s">
        <v>10</v>
      </c>
      <c r="M25" s="111" t="s">
        <v>11</v>
      </c>
      <c r="N25" s="112" t="s">
        <v>78</v>
      </c>
      <c r="O25" s="112" t="s">
        <v>77</v>
      </c>
      <c r="P25" s="139" t="s">
        <v>162</v>
      </c>
      <c r="Q25" s="140" t="s">
        <v>72</v>
      </c>
      <c r="R25" s="148"/>
      <c r="S25" s="165" t="s">
        <v>16</v>
      </c>
      <c r="T25" s="5" t="s">
        <v>0</v>
      </c>
      <c r="U25" s="5" t="s">
        <v>1</v>
      </c>
      <c r="V25" s="5" t="s">
        <v>2</v>
      </c>
      <c r="W25" s="5" t="s">
        <v>3</v>
      </c>
      <c r="X25" s="5" t="s">
        <v>4</v>
      </c>
      <c r="Y25" s="5" t="s">
        <v>5</v>
      </c>
      <c r="Z25" s="5" t="s">
        <v>6</v>
      </c>
      <c r="AA25" s="5" t="s">
        <v>7</v>
      </c>
      <c r="AB25" s="5" t="s">
        <v>8</v>
      </c>
      <c r="AC25" s="5" t="s">
        <v>9</v>
      </c>
      <c r="AD25" s="5" t="s">
        <v>10</v>
      </c>
      <c r="AE25" s="5" t="s">
        <v>11</v>
      </c>
      <c r="AF25" s="30" t="s">
        <v>164</v>
      </c>
      <c r="AG25" s="30" t="s">
        <v>167</v>
      </c>
      <c r="AJ25" s="165" t="s">
        <v>51</v>
      </c>
      <c r="AK25" s="76" t="s">
        <v>0</v>
      </c>
      <c r="AL25" s="76" t="s">
        <v>1</v>
      </c>
      <c r="AM25" s="76" t="s">
        <v>2</v>
      </c>
      <c r="AN25" s="76" t="s">
        <v>3</v>
      </c>
      <c r="AO25" s="76" t="s">
        <v>4</v>
      </c>
      <c r="AP25" s="76" t="s">
        <v>5</v>
      </c>
      <c r="AQ25" s="76" t="s">
        <v>6</v>
      </c>
      <c r="AR25" s="76" t="s">
        <v>7</v>
      </c>
      <c r="AS25" s="76" t="s">
        <v>8</v>
      </c>
      <c r="AT25" s="76" t="s">
        <v>9</v>
      </c>
      <c r="AU25" s="76" t="s">
        <v>10</v>
      </c>
      <c r="AV25" s="76" t="s">
        <v>11</v>
      </c>
      <c r="AW25" s="76" t="s">
        <v>49</v>
      </c>
    </row>
    <row r="26" spans="1:49" ht="19.5" customHeight="1" x14ac:dyDescent="0.25">
      <c r="A26" s="77">
        <v>2023</v>
      </c>
      <c r="B26" s="189">
        <v>125291.606</v>
      </c>
      <c r="C26" s="189">
        <v>100225.269</v>
      </c>
      <c r="D26" s="189">
        <v>91278.593999999997</v>
      </c>
      <c r="E26" s="189">
        <v>107829.705</v>
      </c>
      <c r="F26" s="189">
        <v>109374.927</v>
      </c>
      <c r="G26" s="189">
        <v>134599.15900000001</v>
      </c>
      <c r="H26" s="189">
        <v>145292.12299999999</v>
      </c>
      <c r="I26" s="189">
        <v>113532.01599999999</v>
      </c>
      <c r="J26" s="189">
        <v>143453.533</v>
      </c>
      <c r="K26" s="189">
        <v>111283.16699999999</v>
      </c>
      <c r="L26" s="189">
        <v>110119.16200000001</v>
      </c>
      <c r="M26" s="189">
        <v>99473.766000000003</v>
      </c>
      <c r="N26" s="97">
        <f>SUM(B26:G26)+SUM(H27:M27)</f>
        <v>1402826.4139999999</v>
      </c>
      <c r="O26" s="97">
        <f t="shared" ref="O26:O29" si="64">SUM(B26:M26)</f>
        <v>1391753.027</v>
      </c>
      <c r="P26" s="136">
        <f>SUM(O26:O30)</f>
        <v>6958523.6509999996</v>
      </c>
      <c r="Q26" s="138">
        <f t="shared" ref="Q26:Q31" si="65">P26/5</f>
        <v>1391704.7301999999</v>
      </c>
      <c r="R26" s="148"/>
      <c r="S26" s="77">
        <v>2023</v>
      </c>
      <c r="T26" s="189">
        <v>28614</v>
      </c>
      <c r="U26" s="189">
        <v>28613</v>
      </c>
      <c r="V26" s="189">
        <v>28645</v>
      </c>
      <c r="W26" s="189">
        <v>28641</v>
      </c>
      <c r="X26" s="189">
        <v>28704</v>
      </c>
      <c r="Y26" s="189">
        <v>28725</v>
      </c>
      <c r="Z26" s="189">
        <v>28711</v>
      </c>
      <c r="AA26" s="189">
        <v>28714</v>
      </c>
      <c r="AB26" s="189">
        <v>28694</v>
      </c>
      <c r="AC26" s="189">
        <v>28700</v>
      </c>
      <c r="AD26" s="189">
        <v>28687</v>
      </c>
      <c r="AE26" s="189">
        <v>28692</v>
      </c>
      <c r="AF26" s="88">
        <f t="shared" ref="AF26:AF31" si="66">(SUM(T26:Y26)+SUM(Z27:AE27))/12</f>
        <v>28620.75</v>
      </c>
      <c r="AG26" s="6">
        <f>SUM(T26:AE26)/12</f>
        <v>28678.333333333332</v>
      </c>
      <c r="AJ26" s="77">
        <v>2023</v>
      </c>
      <c r="AK26" s="79">
        <f t="shared" ref="AK26:AK42" si="67">B26/T26</f>
        <v>4.3786819738589502</v>
      </c>
      <c r="AL26" s="79">
        <f t="shared" ref="AL26" si="68">C26/U26</f>
        <v>3.5027878586656414</v>
      </c>
      <c r="AM26" s="79">
        <f t="shared" ref="AM26" si="69">D26/V26</f>
        <v>3.1865454355035783</v>
      </c>
      <c r="AN26" s="79">
        <f t="shared" ref="AN26" si="70">E26/W26</f>
        <v>3.7648722111658115</v>
      </c>
      <c r="AO26" s="79">
        <f t="shared" ref="AO26" si="71">F26/X26</f>
        <v>3.810441994147157</v>
      </c>
      <c r="AP26" s="79">
        <f t="shared" ref="AP26" si="72">G26/Y26</f>
        <v>4.685784473455179</v>
      </c>
      <c r="AQ26" s="79">
        <f t="shared" ref="AQ26" si="73">H26/Z26</f>
        <v>5.0605037442095364</v>
      </c>
      <c r="AR26" s="79">
        <f t="shared" ref="AR26" si="74">I26/AA26</f>
        <v>3.953890645678066</v>
      </c>
      <c r="AS26" s="79">
        <f t="shared" ref="AS26" si="75">J26/AB26</f>
        <v>4.999426116958249</v>
      </c>
      <c r="AT26" s="79">
        <f t="shared" ref="AT26" si="76">K26/AC26</f>
        <v>3.8774622648083619</v>
      </c>
      <c r="AU26" s="79">
        <f t="shared" ref="AU26" si="77">L26/AD26</f>
        <v>3.8386433576184338</v>
      </c>
      <c r="AV26" s="79">
        <f t="shared" ref="AV26" si="78">M26/AE26</f>
        <v>3.4669512756168968</v>
      </c>
      <c r="AW26" s="73">
        <f>(SUM(AK26:AP26)+SUM(AQ26:AV26))/365.25</f>
        <v>0.13285692361857868</v>
      </c>
    </row>
    <row r="27" spans="1:49" ht="16.5" customHeight="1" x14ac:dyDescent="0.25">
      <c r="A27" s="61">
        <v>2022</v>
      </c>
      <c r="B27" s="190">
        <v>118249.932</v>
      </c>
      <c r="C27" s="190">
        <v>100638.183</v>
      </c>
      <c r="D27" s="190">
        <v>98717.096999999994</v>
      </c>
      <c r="E27" s="190">
        <v>104005.726</v>
      </c>
      <c r="F27" s="190">
        <v>102836.989</v>
      </c>
      <c r="G27" s="190">
        <v>132070.82300000003</v>
      </c>
      <c r="H27" s="190">
        <v>138604.77600000001</v>
      </c>
      <c r="I27" s="190">
        <v>135054.90499999997</v>
      </c>
      <c r="J27" s="190">
        <v>140091.20199999999</v>
      </c>
      <c r="K27" s="190">
        <v>119245.745</v>
      </c>
      <c r="L27" s="190">
        <v>98901.258999999991</v>
      </c>
      <c r="M27" s="190">
        <v>102329.26700000001</v>
      </c>
      <c r="N27" s="97">
        <f>SUM(B27:G27)+SUM(H28:M28)</f>
        <v>1393690.6609999998</v>
      </c>
      <c r="O27" s="97">
        <f t="shared" si="64"/>
        <v>1390745.9040000001</v>
      </c>
      <c r="P27" s="136">
        <f t="shared" ref="P27:P37" si="79">SUM(O27:O31)</f>
        <v>7044392.9239999996</v>
      </c>
      <c r="Q27" s="138">
        <f t="shared" si="65"/>
        <v>1408878.5847999998</v>
      </c>
      <c r="R27" s="148"/>
      <c r="S27" s="61">
        <v>2022</v>
      </c>
      <c r="T27" s="190">
        <v>28498</v>
      </c>
      <c r="U27" s="190">
        <v>28470</v>
      </c>
      <c r="V27" s="190">
        <v>28551</v>
      </c>
      <c r="W27" s="190">
        <v>28552</v>
      </c>
      <c r="X27" s="190">
        <v>28550</v>
      </c>
      <c r="Y27" s="190">
        <v>28544</v>
      </c>
      <c r="Z27" s="190">
        <v>28570</v>
      </c>
      <c r="AA27" s="190">
        <v>28584</v>
      </c>
      <c r="AB27" s="190">
        <v>28606</v>
      </c>
      <c r="AC27" s="190">
        <v>28568</v>
      </c>
      <c r="AD27" s="190">
        <v>28564</v>
      </c>
      <c r="AE27" s="190">
        <v>28615</v>
      </c>
      <c r="AF27" s="88">
        <f t="shared" si="66"/>
        <v>28524.416666666668</v>
      </c>
      <c r="AG27" s="6">
        <f t="shared" ref="AG27:AG42" si="80">SUM(T27:AE27)/12</f>
        <v>28556</v>
      </c>
      <c r="AJ27" s="61">
        <v>2022</v>
      </c>
      <c r="AK27" s="79">
        <f t="shared" si="67"/>
        <v>4.1494116078321284</v>
      </c>
      <c r="AL27" s="79">
        <f t="shared" ref="AL27" si="81">C27/U27</f>
        <v>3.5348852476290835</v>
      </c>
      <c r="AM27" s="79">
        <f t="shared" ref="AM27" si="82">D27/V27</f>
        <v>3.4575705579489333</v>
      </c>
      <c r="AN27" s="79">
        <f t="shared" ref="AN27" si="83">E27/W27</f>
        <v>3.6426774306528436</v>
      </c>
      <c r="AO27" s="79">
        <f t="shared" ref="AO27" si="84">F27/X27</f>
        <v>3.6019961120840631</v>
      </c>
      <c r="AP27" s="79">
        <f t="shared" ref="AP27" si="85">G27/Y27</f>
        <v>4.6269206488228711</v>
      </c>
      <c r="AQ27" s="79">
        <f t="shared" ref="AQ27" si="86">H27/Z27</f>
        <v>4.8514097304865249</v>
      </c>
      <c r="AR27" s="79">
        <f t="shared" ref="AR27" si="87">I27/AA27</f>
        <v>4.7248427441925545</v>
      </c>
      <c r="AS27" s="79">
        <f t="shared" ref="AS27" si="88">J27/AB27</f>
        <v>4.8972663776830032</v>
      </c>
      <c r="AT27" s="79">
        <f t="shared" ref="AT27" si="89">K27/AC27</f>
        <v>4.1741019672360684</v>
      </c>
      <c r="AU27" s="79">
        <f t="shared" ref="AU27" si="90">L27/AD27</f>
        <v>3.4624443005181345</v>
      </c>
      <c r="AV27" s="79">
        <f t="shared" ref="AV27" si="91">M27/AE27</f>
        <v>3.5760708369736154</v>
      </c>
      <c r="AW27" s="73">
        <f t="shared" ref="AW27:AW42" si="92">(SUM(AK27:AP27)+SUM(AQ27:AV27))/365.25</f>
        <v>0.13333223151830204</v>
      </c>
    </row>
    <row r="28" spans="1:49" ht="18" customHeight="1" x14ac:dyDescent="0.25">
      <c r="A28" s="61">
        <v>2021</v>
      </c>
      <c r="B28" s="190">
        <v>117398.298</v>
      </c>
      <c r="C28" s="190">
        <v>97406.549999999988</v>
      </c>
      <c r="D28" s="190">
        <v>113532.85800000001</v>
      </c>
      <c r="E28" s="190">
        <v>109376.09699999999</v>
      </c>
      <c r="F28" s="190">
        <v>102927.984</v>
      </c>
      <c r="G28" s="190">
        <v>126944.66299999999</v>
      </c>
      <c r="H28" s="190">
        <v>138601.57199999999</v>
      </c>
      <c r="I28" s="190">
        <v>143310.34599999999</v>
      </c>
      <c r="J28" s="190">
        <v>132376.878</v>
      </c>
      <c r="K28" s="190">
        <v>122089.26700000002</v>
      </c>
      <c r="L28" s="190">
        <v>98230.755999999994</v>
      </c>
      <c r="M28" s="190">
        <v>102563.092</v>
      </c>
      <c r="N28" s="97">
        <f t="shared" ref="N28:N32" si="93">SUM(B28:G28)+SUM(H29:M29)</f>
        <v>1412301.818</v>
      </c>
      <c r="O28" s="97">
        <f t="shared" si="64"/>
        <v>1404758.3609999998</v>
      </c>
      <c r="P28" s="136">
        <f t="shared" si="79"/>
        <v>7101228.0289999992</v>
      </c>
      <c r="Q28" s="138">
        <f t="shared" si="65"/>
        <v>1420245.6057999998</v>
      </c>
      <c r="R28" s="148"/>
      <c r="S28" s="61">
        <v>2021</v>
      </c>
      <c r="T28" s="190">
        <v>28447</v>
      </c>
      <c r="U28" s="190">
        <v>28465</v>
      </c>
      <c r="V28" s="190">
        <v>28479</v>
      </c>
      <c r="W28" s="190">
        <v>28544</v>
      </c>
      <c r="X28" s="190">
        <v>28507</v>
      </c>
      <c r="Y28" s="190">
        <v>28548</v>
      </c>
      <c r="Z28" s="190">
        <v>28511</v>
      </c>
      <c r="AA28" s="190">
        <v>28514</v>
      </c>
      <c r="AB28" s="190">
        <v>28537</v>
      </c>
      <c r="AC28" s="190">
        <v>28493</v>
      </c>
      <c r="AD28" s="190">
        <v>28545</v>
      </c>
      <c r="AE28" s="190">
        <v>28528</v>
      </c>
      <c r="AF28" s="88">
        <f t="shared" si="66"/>
        <v>28491.416666666668</v>
      </c>
      <c r="AG28" s="6">
        <f t="shared" si="80"/>
        <v>28509.833333333332</v>
      </c>
      <c r="AJ28" s="61">
        <v>2021</v>
      </c>
      <c r="AK28" s="79">
        <f t="shared" si="67"/>
        <v>4.1269131367103737</v>
      </c>
      <c r="AL28" s="79">
        <f t="shared" ref="AL28" si="94">C28/U28</f>
        <v>3.4219761110135249</v>
      </c>
      <c r="AM28" s="79">
        <f t="shared" ref="AM28" si="95">D28/V28</f>
        <v>3.986546507953229</v>
      </c>
      <c r="AN28" s="79">
        <f t="shared" ref="AN28" si="96">E28/W28</f>
        <v>3.8318419632847531</v>
      </c>
      <c r="AO28" s="79">
        <f t="shared" ref="AO28" si="97">F28/X28</f>
        <v>3.61062139123724</v>
      </c>
      <c r="AP28" s="79">
        <f t="shared" ref="AP28" si="98">G28/Y28</f>
        <v>4.446709506795572</v>
      </c>
      <c r="AQ28" s="79">
        <f t="shared" ref="AQ28" si="99">H28/Z28</f>
        <v>4.8613367472203706</v>
      </c>
      <c r="AR28" s="79">
        <f t="shared" ref="AR28" si="100">I28/AA28</f>
        <v>5.0259642982394608</v>
      </c>
      <c r="AS28" s="79">
        <f t="shared" ref="AS28" si="101">J28/AB28</f>
        <v>4.6387804604548482</v>
      </c>
      <c r="AT28" s="79">
        <f t="shared" ref="AT28" si="102">K28/AC28</f>
        <v>4.284886358052856</v>
      </c>
      <c r="AU28" s="79">
        <f t="shared" ref="AU28" si="103">L28/AD28</f>
        <v>3.4412596251532666</v>
      </c>
      <c r="AV28" s="79">
        <f t="shared" ref="AV28" si="104">M28/AE28</f>
        <v>3.5951728827818283</v>
      </c>
      <c r="AW28" s="73">
        <f t="shared" si="92"/>
        <v>0.13489940859383251</v>
      </c>
    </row>
    <row r="29" spans="1:49" ht="16.5" customHeight="1" x14ac:dyDescent="0.25">
      <c r="A29" s="61">
        <v>2020</v>
      </c>
      <c r="B29" s="190">
        <v>113654.3</v>
      </c>
      <c r="C29" s="190">
        <v>102674.007</v>
      </c>
      <c r="D29" s="190">
        <v>94480.002000000008</v>
      </c>
      <c r="E29" s="190">
        <v>115402.79700000001</v>
      </c>
      <c r="F29" s="190">
        <v>111764.63800000001</v>
      </c>
      <c r="G29" s="190">
        <v>125039.427</v>
      </c>
      <c r="H29" s="190">
        <v>153486.98699999999</v>
      </c>
      <c r="I29" s="190">
        <v>127330.478</v>
      </c>
      <c r="J29" s="190">
        <v>134509.18299999999</v>
      </c>
      <c r="K29" s="190">
        <v>122666.792</v>
      </c>
      <c r="L29" s="190">
        <v>108406.428</v>
      </c>
      <c r="M29" s="190">
        <v>98315.5</v>
      </c>
      <c r="N29" s="97">
        <f t="shared" si="93"/>
        <v>1371742.571</v>
      </c>
      <c r="O29" s="97">
        <f t="shared" si="64"/>
        <v>1407730.5390000001</v>
      </c>
      <c r="P29" s="136">
        <f t="shared" si="79"/>
        <v>7134778.2489999998</v>
      </c>
      <c r="Q29" s="138">
        <f t="shared" si="65"/>
        <v>1426955.6498</v>
      </c>
      <c r="R29" s="148"/>
      <c r="S29" s="61">
        <v>2020</v>
      </c>
      <c r="T29" s="190">
        <v>28201</v>
      </c>
      <c r="U29" s="190">
        <v>28208</v>
      </c>
      <c r="V29" s="190">
        <v>28309</v>
      </c>
      <c r="W29" s="190">
        <v>28422</v>
      </c>
      <c r="X29" s="190">
        <v>28484</v>
      </c>
      <c r="Y29" s="190">
        <v>28522</v>
      </c>
      <c r="Z29" s="190">
        <v>28558</v>
      </c>
      <c r="AA29" s="190">
        <v>28584</v>
      </c>
      <c r="AB29" s="190">
        <v>28536</v>
      </c>
      <c r="AC29" s="190">
        <v>28405</v>
      </c>
      <c r="AD29" s="190">
        <v>28382</v>
      </c>
      <c r="AE29" s="190">
        <v>28442</v>
      </c>
      <c r="AF29" s="88">
        <f t="shared" si="66"/>
        <v>28318.083333333332</v>
      </c>
      <c r="AG29" s="6">
        <f t="shared" si="80"/>
        <v>28421.083333333332</v>
      </c>
      <c r="AJ29" s="77">
        <v>2020</v>
      </c>
      <c r="AK29" s="79">
        <f t="shared" si="67"/>
        <v>4.0301514130704588</v>
      </c>
      <c r="AL29" s="79">
        <f t="shared" ref="AL29:AL42" si="105">C29/U29</f>
        <v>3.6398896412365285</v>
      </c>
      <c r="AM29" s="79">
        <f t="shared" ref="AM29:AM42" si="106">D29/V29</f>
        <v>3.3374545904129431</v>
      </c>
      <c r="AN29" s="79">
        <f t="shared" ref="AN29:AN42" si="107">E29/W29</f>
        <v>4.0603334388853707</v>
      </c>
      <c r="AO29" s="79">
        <f t="shared" ref="AO29:AO42" si="108">F29/X29</f>
        <v>3.9237690633338018</v>
      </c>
      <c r="AP29" s="79">
        <f t="shared" ref="AP29:AP42" si="109">G29/Y29</f>
        <v>4.3839642030713133</v>
      </c>
      <c r="AQ29" s="79">
        <f t="shared" ref="AQ29" si="110">H29/Z29</f>
        <v>5.3745705931787935</v>
      </c>
      <c r="AR29" s="79">
        <f t="shared" ref="AR29" si="111">I29/AA29</f>
        <v>4.4546067030506578</v>
      </c>
      <c r="AS29" s="79">
        <f t="shared" ref="AS29" si="112">J29/AB29</f>
        <v>4.713666351275581</v>
      </c>
      <c r="AT29" s="79">
        <f t="shared" ref="AT29" si="113">K29/AC29</f>
        <v>4.3184929413835595</v>
      </c>
      <c r="AU29" s="79">
        <f t="shared" ref="AU29" si="114">L29/AD29</f>
        <v>3.8195485871326897</v>
      </c>
      <c r="AV29" s="79">
        <f t="shared" ref="AV29" si="115">M29/AE29</f>
        <v>3.45670135714788</v>
      </c>
      <c r="AW29" s="73">
        <f t="shared" si="92"/>
        <v>0.13555961364320213</v>
      </c>
    </row>
    <row r="30" spans="1:49" ht="18" customHeight="1" x14ac:dyDescent="0.25">
      <c r="A30" s="61">
        <v>2019</v>
      </c>
      <c r="B30" s="125">
        <v>109074.09999999999</v>
      </c>
      <c r="C30" s="125">
        <v>111037.6</v>
      </c>
      <c r="D30" s="125">
        <v>98357.82</v>
      </c>
      <c r="E30" s="125">
        <v>100558.3</v>
      </c>
      <c r="F30" s="125">
        <v>110793.60000000001</v>
      </c>
      <c r="G30" s="125">
        <v>124987</v>
      </c>
      <c r="H30" s="190">
        <v>132756.1</v>
      </c>
      <c r="I30" s="190">
        <v>141204.19999999998</v>
      </c>
      <c r="J30" s="190">
        <v>122997.8</v>
      </c>
      <c r="K30" s="190">
        <v>100461.8</v>
      </c>
      <c r="L30" s="190">
        <v>112897.2</v>
      </c>
      <c r="M30" s="190">
        <v>98410.3</v>
      </c>
      <c r="N30" s="97">
        <f t="shared" si="93"/>
        <v>1411466.42</v>
      </c>
      <c r="O30" s="97">
        <f>SUM(B30:M30)</f>
        <v>1363535.82</v>
      </c>
      <c r="P30" s="136">
        <f t="shared" si="79"/>
        <v>7156957.3590000002</v>
      </c>
      <c r="Q30" s="138">
        <f t="shared" si="65"/>
        <v>1431391.4717999999</v>
      </c>
      <c r="R30" s="108"/>
      <c r="S30" s="61">
        <v>2019</v>
      </c>
      <c r="T30" s="35">
        <v>28314</v>
      </c>
      <c r="U30" s="35">
        <v>28311</v>
      </c>
      <c r="V30" s="35">
        <v>28345</v>
      </c>
      <c r="W30" s="35">
        <v>28414</v>
      </c>
      <c r="X30" s="35">
        <v>28347</v>
      </c>
      <c r="Y30" s="35">
        <v>28323</v>
      </c>
      <c r="Z30" s="190">
        <v>28352</v>
      </c>
      <c r="AA30" s="190">
        <v>28328</v>
      </c>
      <c r="AB30" s="190">
        <v>28316</v>
      </c>
      <c r="AC30" s="190">
        <v>28274</v>
      </c>
      <c r="AD30" s="190">
        <v>28216</v>
      </c>
      <c r="AE30" s="190">
        <v>28185</v>
      </c>
      <c r="AF30" s="8">
        <f t="shared" si="66"/>
        <v>28356.583333333332</v>
      </c>
      <c r="AG30" s="6">
        <f t="shared" si="80"/>
        <v>28310.416666666668</v>
      </c>
      <c r="AJ30" s="77">
        <v>2019</v>
      </c>
      <c r="AK30" s="79">
        <f t="shared" si="67"/>
        <v>3.8523027477572929</v>
      </c>
      <c r="AL30" s="79">
        <f t="shared" si="105"/>
        <v>3.9220656282010529</v>
      </c>
      <c r="AM30" s="79">
        <f t="shared" si="106"/>
        <v>3.4700236373258071</v>
      </c>
      <c r="AN30" s="79">
        <f t="shared" si="107"/>
        <v>3.5390406137819386</v>
      </c>
      <c r="AO30" s="79">
        <f t="shared" si="108"/>
        <v>3.9084770875224892</v>
      </c>
      <c r="AP30" s="79">
        <f t="shared" si="109"/>
        <v>4.4129152985206366</v>
      </c>
      <c r="AQ30" s="79">
        <f t="shared" ref="AQ30:AQ42" si="116">H30/Z30</f>
        <v>4.6824245203160269</v>
      </c>
      <c r="AR30" s="79">
        <f t="shared" ref="AR30:AR42" si="117">I30/AA30</f>
        <v>4.9846159277040378</v>
      </c>
      <c r="AS30" s="79">
        <f t="shared" ref="AS30:AS42" si="118">J30/AB30</f>
        <v>4.3437561802514484</v>
      </c>
      <c r="AT30" s="79">
        <f t="shared" ref="AT30:AT42" si="119">K30/AC30</f>
        <v>3.5531513050859447</v>
      </c>
      <c r="AU30" s="79">
        <f t="shared" ref="AU30:AU42" si="120">L30/AD30</f>
        <v>4.0011766373688689</v>
      </c>
      <c r="AV30" s="79">
        <f t="shared" ref="AV30:AV42" si="121">M30/AE30</f>
        <v>3.4915841759801314</v>
      </c>
      <c r="AW30" s="73">
        <f t="shared" si="92"/>
        <v>0.13185909311380062</v>
      </c>
    </row>
    <row r="31" spans="1:49" ht="17.25" customHeight="1" x14ac:dyDescent="0.25">
      <c r="A31" s="61">
        <v>2018</v>
      </c>
      <c r="B31" s="116">
        <v>121642.2</v>
      </c>
      <c r="C31" s="116">
        <v>107450</v>
      </c>
      <c r="D31" s="116">
        <v>103813.7</v>
      </c>
      <c r="E31" s="116">
        <v>106009.4</v>
      </c>
      <c r="F31" s="116">
        <v>121928.3</v>
      </c>
      <c r="G31" s="116">
        <v>160120.70000000001</v>
      </c>
      <c r="H31" s="116">
        <v>156674.6</v>
      </c>
      <c r="I31" s="116">
        <v>145937</v>
      </c>
      <c r="J31" s="116">
        <v>127020.1</v>
      </c>
      <c r="K31" s="116">
        <v>115567.4</v>
      </c>
      <c r="L31" s="116">
        <v>105769.60000000001</v>
      </c>
      <c r="M31" s="116">
        <v>105689.3</v>
      </c>
      <c r="N31" s="97">
        <f t="shared" si="93"/>
        <v>1481536.3540000001</v>
      </c>
      <c r="O31" s="97">
        <f t="shared" ref="O31:O42" si="122">SUM(B31:M31)</f>
        <v>1477622.3</v>
      </c>
      <c r="P31" s="136">
        <f t="shared" si="79"/>
        <v>7266243.2630000003</v>
      </c>
      <c r="Q31" s="138">
        <f t="shared" si="65"/>
        <v>1453248.6526000001</v>
      </c>
      <c r="R31" s="108"/>
      <c r="S31" s="61">
        <v>2018</v>
      </c>
      <c r="T31" s="35">
        <v>28339</v>
      </c>
      <c r="U31" s="35">
        <v>28321</v>
      </c>
      <c r="V31" s="35">
        <v>28342</v>
      </c>
      <c r="W31" s="35">
        <v>28369</v>
      </c>
      <c r="X31" s="35">
        <v>28403</v>
      </c>
      <c r="Y31" s="35">
        <v>28408</v>
      </c>
      <c r="Z31" s="35">
        <v>28421</v>
      </c>
      <c r="AA31" s="35">
        <v>28440</v>
      </c>
      <c r="AB31" s="35">
        <v>28403</v>
      </c>
      <c r="AC31" s="35">
        <v>28342</v>
      </c>
      <c r="AD31" s="35">
        <v>28335</v>
      </c>
      <c r="AE31" s="35">
        <v>28284</v>
      </c>
      <c r="AF31" s="8">
        <f t="shared" si="66"/>
        <v>28382.333333333332</v>
      </c>
      <c r="AG31" s="6">
        <f t="shared" si="80"/>
        <v>28367.25</v>
      </c>
      <c r="AJ31" s="77">
        <v>2018</v>
      </c>
      <c r="AK31" s="79">
        <f t="shared" si="67"/>
        <v>4.2923956385193547</v>
      </c>
      <c r="AL31" s="79">
        <f t="shared" si="105"/>
        <v>3.794004448995445</v>
      </c>
      <c r="AM31" s="79">
        <f t="shared" si="106"/>
        <v>3.6628925269917434</v>
      </c>
      <c r="AN31" s="79">
        <f t="shared" si="107"/>
        <v>3.7368042581691281</v>
      </c>
      <c r="AO31" s="79">
        <f t="shared" si="108"/>
        <v>4.292796535577228</v>
      </c>
      <c r="AP31" s="79">
        <f t="shared" si="109"/>
        <v>5.6364650802590823</v>
      </c>
      <c r="AQ31" s="79">
        <f t="shared" si="116"/>
        <v>5.5126350233981913</v>
      </c>
      <c r="AR31" s="79">
        <f t="shared" si="117"/>
        <v>5.1313994374120959</v>
      </c>
      <c r="AS31" s="79">
        <f t="shared" si="118"/>
        <v>4.4720663310213711</v>
      </c>
      <c r="AT31" s="79">
        <f t="shared" si="119"/>
        <v>4.0776021452261659</v>
      </c>
      <c r="AU31" s="79">
        <f t="shared" si="120"/>
        <v>3.7328251279336513</v>
      </c>
      <c r="AV31" s="79">
        <f t="shared" si="121"/>
        <v>3.7367168717296</v>
      </c>
      <c r="AW31" s="73">
        <f t="shared" si="92"/>
        <v>0.14258344538051487</v>
      </c>
    </row>
    <row r="32" spans="1:49" x14ac:dyDescent="0.25">
      <c r="A32" s="3">
        <v>2017</v>
      </c>
      <c r="B32" s="66">
        <v>117760.92</v>
      </c>
      <c r="C32" s="66">
        <v>104631.817</v>
      </c>
      <c r="D32" s="66">
        <v>103754.558</v>
      </c>
      <c r="E32" s="66">
        <v>104039.39599999999</v>
      </c>
      <c r="F32" s="66">
        <v>114154.264</v>
      </c>
      <c r="G32" s="66">
        <v>142668</v>
      </c>
      <c r="H32" s="116">
        <v>154594.424</v>
      </c>
      <c r="I32" s="116">
        <v>148556.63200000001</v>
      </c>
      <c r="J32" s="116">
        <v>134613.272</v>
      </c>
      <c r="K32" s="116">
        <v>111232.75</v>
      </c>
      <c r="L32" s="116">
        <v>107100.542</v>
      </c>
      <c r="M32" s="116">
        <v>104474.43399999999</v>
      </c>
      <c r="N32" s="67">
        <f t="shared" si="93"/>
        <v>1428030.0189999999</v>
      </c>
      <c r="O32" s="97">
        <f t="shared" si="122"/>
        <v>1447581.0089999996</v>
      </c>
      <c r="P32" s="136">
        <f t="shared" si="79"/>
        <v>7359421.0850000009</v>
      </c>
      <c r="Q32" s="138">
        <f>P32/5</f>
        <v>1471884.2170000002</v>
      </c>
      <c r="R32" s="151"/>
      <c r="S32" s="3">
        <v>2017</v>
      </c>
      <c r="T32" s="6">
        <v>28361</v>
      </c>
      <c r="U32" s="6">
        <v>28369</v>
      </c>
      <c r="V32" s="6">
        <v>28464</v>
      </c>
      <c r="W32" s="6">
        <v>28467</v>
      </c>
      <c r="X32" s="6">
        <v>28444</v>
      </c>
      <c r="Y32" s="6">
        <v>28443</v>
      </c>
      <c r="Z32" s="1">
        <v>28406</v>
      </c>
      <c r="AA32" s="1">
        <v>28430</v>
      </c>
      <c r="AB32" s="1">
        <v>28424</v>
      </c>
      <c r="AC32" s="1">
        <v>28416</v>
      </c>
      <c r="AD32" s="1">
        <v>28397</v>
      </c>
      <c r="AE32" s="1">
        <v>28333</v>
      </c>
      <c r="AF32" s="8">
        <f>(SUM(T32:Y32)+SUM(Z33:AE33))/12</f>
        <v>28417</v>
      </c>
      <c r="AG32" s="6">
        <f t="shared" si="80"/>
        <v>28412.833333333332</v>
      </c>
      <c r="AJ32" s="78">
        <v>2017</v>
      </c>
      <c r="AK32" s="79">
        <f t="shared" si="67"/>
        <v>4.1522132505905995</v>
      </c>
      <c r="AL32" s="79">
        <f t="shared" si="105"/>
        <v>3.688244809475131</v>
      </c>
      <c r="AM32" s="79">
        <f t="shared" si="106"/>
        <v>3.6451151630129286</v>
      </c>
      <c r="AN32" s="79">
        <f t="shared" si="107"/>
        <v>3.6547369234552285</v>
      </c>
      <c r="AO32" s="79">
        <f t="shared" si="108"/>
        <v>4.0132985515398678</v>
      </c>
      <c r="AP32" s="79">
        <f t="shared" si="109"/>
        <v>5.0159265900221497</v>
      </c>
      <c r="AQ32" s="79">
        <f t="shared" si="116"/>
        <v>5.4423158487643457</v>
      </c>
      <c r="AR32" s="79">
        <f t="shared" si="117"/>
        <v>5.2253475905733389</v>
      </c>
      <c r="AS32" s="79">
        <f t="shared" si="118"/>
        <v>4.7359017731494513</v>
      </c>
      <c r="AT32" s="79">
        <f t="shared" si="119"/>
        <v>3.9144408079954953</v>
      </c>
      <c r="AU32" s="79">
        <f t="shared" si="120"/>
        <v>3.771544247631792</v>
      </c>
      <c r="AV32" s="79">
        <f t="shared" si="121"/>
        <v>3.6873763456040658</v>
      </c>
      <c r="AW32" s="73">
        <f t="shared" si="92"/>
        <v>0.13948381081947814</v>
      </c>
    </row>
    <row r="33" spans="1:49" x14ac:dyDescent="0.25">
      <c r="A33" s="3">
        <v>2016</v>
      </c>
      <c r="B33" s="66">
        <v>120734.664</v>
      </c>
      <c r="C33" s="66">
        <v>102373.524</v>
      </c>
      <c r="D33" s="66">
        <v>111771.817</v>
      </c>
      <c r="E33" s="66">
        <v>115168.82799999999</v>
      </c>
      <c r="F33" s="66">
        <v>111591.128</v>
      </c>
      <c r="G33" s="66">
        <v>135647.55600000001</v>
      </c>
      <c r="H33" s="66">
        <v>144153.06400000001</v>
      </c>
      <c r="I33" s="66">
        <v>140810.25200000001</v>
      </c>
      <c r="J33" s="66">
        <v>129407.42</v>
      </c>
      <c r="K33" s="66">
        <v>112847.368</v>
      </c>
      <c r="L33" s="66">
        <v>102774.592</v>
      </c>
      <c r="M33" s="66">
        <v>111028.368</v>
      </c>
      <c r="N33" s="67">
        <f t="shared" ref="N33:N42" si="123">SUM(B33:G33)+SUM(H34:M34)</f>
        <v>1440745.334</v>
      </c>
      <c r="O33" s="115">
        <f t="shared" si="122"/>
        <v>1438308.581</v>
      </c>
      <c r="P33" s="136">
        <f t="shared" si="79"/>
        <v>7562400.0760000004</v>
      </c>
      <c r="Q33" s="138">
        <f t="shared" ref="Q33:Q37" si="124">P33/5</f>
        <v>1512480.0152</v>
      </c>
      <c r="R33" s="151"/>
      <c r="S33" s="3">
        <v>2016</v>
      </c>
      <c r="T33" s="6">
        <v>28334</v>
      </c>
      <c r="U33" s="6">
        <v>28408</v>
      </c>
      <c r="V33" s="6">
        <v>28473</v>
      </c>
      <c r="W33" s="6">
        <v>28433</v>
      </c>
      <c r="X33" s="6">
        <v>28406</v>
      </c>
      <c r="Y33" s="6">
        <v>28422</v>
      </c>
      <c r="Z33" s="6">
        <v>28461</v>
      </c>
      <c r="AA33" s="6">
        <v>28470</v>
      </c>
      <c r="AB33" s="6">
        <v>28443</v>
      </c>
      <c r="AC33" s="6">
        <v>28388</v>
      </c>
      <c r="AD33" s="6">
        <v>28338</v>
      </c>
      <c r="AE33" s="6">
        <v>28356</v>
      </c>
      <c r="AF33" s="8">
        <f t="shared" ref="AF33:AF41" si="125">(SUM(T33:Y33)+SUM(Z34:AE34))/12</f>
        <v>28394.5</v>
      </c>
      <c r="AG33" s="6">
        <f t="shared" si="80"/>
        <v>28411</v>
      </c>
      <c r="AJ33" s="78">
        <v>2016</v>
      </c>
      <c r="AK33" s="79">
        <f t="shared" si="67"/>
        <v>4.2611231735723871</v>
      </c>
      <c r="AL33" s="79">
        <f t="shared" si="105"/>
        <v>3.6036864263587725</v>
      </c>
      <c r="AM33" s="79">
        <f t="shared" si="106"/>
        <v>3.9255370702068624</v>
      </c>
      <c r="AN33" s="79">
        <f t="shared" si="107"/>
        <v>4.0505338163401676</v>
      </c>
      <c r="AO33" s="79">
        <f t="shared" si="108"/>
        <v>3.9284351193409841</v>
      </c>
      <c r="AP33" s="79">
        <f t="shared" si="109"/>
        <v>4.7726252902681026</v>
      </c>
      <c r="AQ33" s="79">
        <f t="shared" si="116"/>
        <v>5.0649332068444544</v>
      </c>
      <c r="AR33" s="79">
        <f t="shared" si="117"/>
        <v>4.9459168247277843</v>
      </c>
      <c r="AS33" s="79">
        <f t="shared" si="118"/>
        <v>4.5497106493689135</v>
      </c>
      <c r="AT33" s="79">
        <f t="shared" si="119"/>
        <v>3.975178526137805</v>
      </c>
      <c r="AU33" s="79">
        <f t="shared" si="120"/>
        <v>3.6267411955677891</v>
      </c>
      <c r="AV33" s="79">
        <f t="shared" si="121"/>
        <v>3.9155158696572157</v>
      </c>
      <c r="AW33" s="73">
        <f t="shared" si="92"/>
        <v>0.13858983482105749</v>
      </c>
    </row>
    <row r="34" spans="1:49" x14ac:dyDescent="0.25">
      <c r="A34" s="3">
        <v>2015</v>
      </c>
      <c r="B34" s="66">
        <v>125606.40399999999</v>
      </c>
      <c r="C34" s="66">
        <v>112404.204</v>
      </c>
      <c r="D34" s="66">
        <v>106585.13800000001</v>
      </c>
      <c r="E34" s="66">
        <v>113133.504</v>
      </c>
      <c r="F34" s="66">
        <v>109141.747</v>
      </c>
      <c r="G34" s="66">
        <v>119580.83500000001</v>
      </c>
      <c r="H34" s="66">
        <v>128283.024</v>
      </c>
      <c r="I34" s="66">
        <v>135782</v>
      </c>
      <c r="J34" s="66">
        <v>135268.201</v>
      </c>
      <c r="K34" s="66">
        <v>125172.564</v>
      </c>
      <c r="L34" s="66">
        <v>106486.02800000001</v>
      </c>
      <c r="M34" s="66">
        <v>112466</v>
      </c>
      <c r="N34" s="67">
        <f t="shared" si="123"/>
        <v>1413736.7120000001</v>
      </c>
      <c r="O34" s="115">
        <f t="shared" si="122"/>
        <v>1429909.649</v>
      </c>
      <c r="P34" s="136">
        <f t="shared" si="79"/>
        <v>7681715.495000001</v>
      </c>
      <c r="Q34" s="138">
        <f t="shared" si="124"/>
        <v>1536343.0990000002</v>
      </c>
      <c r="R34" s="151"/>
      <c r="S34" s="3">
        <v>2015</v>
      </c>
      <c r="T34" s="6">
        <v>28386</v>
      </c>
      <c r="U34" s="6">
        <v>28383</v>
      </c>
      <c r="V34" s="6">
        <v>28418</v>
      </c>
      <c r="W34" s="6">
        <v>28493</v>
      </c>
      <c r="X34" s="6">
        <v>28476</v>
      </c>
      <c r="Y34" s="6">
        <v>28503</v>
      </c>
      <c r="Z34" s="6">
        <v>28483</v>
      </c>
      <c r="AA34" s="6">
        <v>28416</v>
      </c>
      <c r="AB34" s="6">
        <v>28389</v>
      </c>
      <c r="AC34" s="6">
        <v>28346</v>
      </c>
      <c r="AD34" s="6">
        <v>28306</v>
      </c>
      <c r="AE34" s="6">
        <v>28318</v>
      </c>
      <c r="AF34" s="8">
        <f t="shared" si="125"/>
        <v>28452.583333333332</v>
      </c>
      <c r="AG34" s="6">
        <f t="shared" si="80"/>
        <v>28409.75</v>
      </c>
      <c r="AJ34" s="78">
        <v>2015</v>
      </c>
      <c r="AK34" s="79">
        <f t="shared" si="67"/>
        <v>4.4249420136687094</v>
      </c>
      <c r="AL34" s="79">
        <f t="shared" si="105"/>
        <v>3.9602650882570551</v>
      </c>
      <c r="AM34" s="79">
        <f t="shared" si="106"/>
        <v>3.7506206629600958</v>
      </c>
      <c r="AN34" s="79">
        <f t="shared" si="107"/>
        <v>3.9705718597550277</v>
      </c>
      <c r="AO34" s="79">
        <f t="shared" si="108"/>
        <v>3.8327625719904481</v>
      </c>
      <c r="AP34" s="79">
        <f t="shared" si="109"/>
        <v>4.1953771532821111</v>
      </c>
      <c r="AQ34" s="79">
        <f t="shared" si="116"/>
        <v>4.5038452410209597</v>
      </c>
      <c r="AR34" s="79">
        <f t="shared" si="117"/>
        <v>4.778364301801802</v>
      </c>
      <c r="AS34" s="79">
        <f t="shared" si="118"/>
        <v>4.7648103490788687</v>
      </c>
      <c r="AT34" s="79">
        <f t="shared" si="119"/>
        <v>4.4158810414167782</v>
      </c>
      <c r="AU34" s="79">
        <f t="shared" si="120"/>
        <v>3.7619595845403802</v>
      </c>
      <c r="AV34" s="79">
        <f t="shared" si="121"/>
        <v>3.9715375379617206</v>
      </c>
      <c r="AW34" s="73">
        <f t="shared" si="92"/>
        <v>0.13779859659338523</v>
      </c>
    </row>
    <row r="35" spans="1:49" x14ac:dyDescent="0.25">
      <c r="A35" s="3">
        <v>2014</v>
      </c>
      <c r="B35" s="66">
        <v>135592.204</v>
      </c>
      <c r="C35" s="66">
        <v>124644.728</v>
      </c>
      <c r="D35" s="66">
        <v>116575.304</v>
      </c>
      <c r="E35" s="66">
        <v>123653.628</v>
      </c>
      <c r="F35" s="66">
        <v>119229.452</v>
      </c>
      <c r="G35" s="66">
        <v>125841.52800000001</v>
      </c>
      <c r="H35" s="66">
        <v>134049.82</v>
      </c>
      <c r="I35" s="66">
        <v>136127.772</v>
      </c>
      <c r="J35" s="66">
        <v>127943.156</v>
      </c>
      <c r="K35" s="66">
        <v>118142.86</v>
      </c>
      <c r="L35" s="66">
        <v>97433.732000000004</v>
      </c>
      <c r="M35" s="66">
        <v>113587.54</v>
      </c>
      <c r="N35" s="67">
        <f t="shared" si="123"/>
        <v>1581007.966</v>
      </c>
      <c r="O35" s="115">
        <f t="shared" si="122"/>
        <v>1472821.7240000004</v>
      </c>
      <c r="P35" s="136">
        <f t="shared" si="79"/>
        <v>7813127.8460000008</v>
      </c>
      <c r="Q35" s="138">
        <f t="shared" si="124"/>
        <v>1562625.5692000003</v>
      </c>
      <c r="R35" s="153"/>
      <c r="S35" s="3">
        <v>2014</v>
      </c>
      <c r="T35" s="6">
        <v>28727</v>
      </c>
      <c r="U35" s="6">
        <v>28747</v>
      </c>
      <c r="V35" s="6">
        <v>28684</v>
      </c>
      <c r="W35" s="6">
        <v>28638</v>
      </c>
      <c r="X35" s="6">
        <v>28581</v>
      </c>
      <c r="Y35" s="6">
        <v>28574</v>
      </c>
      <c r="Z35" s="6">
        <v>28556</v>
      </c>
      <c r="AA35" s="6">
        <v>28510</v>
      </c>
      <c r="AB35" s="6">
        <v>28466</v>
      </c>
      <c r="AC35" s="6">
        <v>28464</v>
      </c>
      <c r="AD35" s="6">
        <v>28381</v>
      </c>
      <c r="AE35" s="6">
        <v>28395</v>
      </c>
      <c r="AF35" s="8">
        <f t="shared" si="125"/>
        <v>28767.75</v>
      </c>
      <c r="AG35" s="6">
        <f t="shared" si="80"/>
        <v>28560.25</v>
      </c>
      <c r="AJ35" s="78">
        <v>2014</v>
      </c>
      <c r="AK35" s="79">
        <f t="shared" si="67"/>
        <v>4.7200265951891947</v>
      </c>
      <c r="AL35" s="79">
        <f t="shared" si="105"/>
        <v>4.335921243955891</v>
      </c>
      <c r="AM35" s="79">
        <f t="shared" si="106"/>
        <v>4.0641229953981313</v>
      </c>
      <c r="AN35" s="79">
        <f t="shared" si="107"/>
        <v>4.3178164676304212</v>
      </c>
      <c r="AO35" s="79">
        <f t="shared" si="108"/>
        <v>4.1716333228368496</v>
      </c>
      <c r="AP35" s="79">
        <f t="shared" si="109"/>
        <v>4.404057114859663</v>
      </c>
      <c r="AQ35" s="79">
        <f t="shared" si="116"/>
        <v>4.6942786104496435</v>
      </c>
      <c r="AR35" s="79">
        <f t="shared" si="117"/>
        <v>4.7747377060680458</v>
      </c>
      <c r="AS35" s="79">
        <f t="shared" si="118"/>
        <v>4.494595517459425</v>
      </c>
      <c r="AT35" s="79">
        <f t="shared" si="119"/>
        <v>4.1506063799887576</v>
      </c>
      <c r="AU35" s="79">
        <f t="shared" si="120"/>
        <v>3.4330619780839293</v>
      </c>
      <c r="AV35" s="79">
        <f t="shared" si="121"/>
        <v>4.0002655397076952</v>
      </c>
      <c r="AW35" s="73">
        <f t="shared" si="92"/>
        <v>0.14116666248221121</v>
      </c>
    </row>
    <row r="36" spans="1:49" x14ac:dyDescent="0.25">
      <c r="A36" s="3">
        <v>2013</v>
      </c>
      <c r="B36" s="66">
        <v>124699</v>
      </c>
      <c r="C36" s="66">
        <v>118255</v>
      </c>
      <c r="D36" s="66">
        <v>107452</v>
      </c>
      <c r="E36" s="66">
        <v>109549</v>
      </c>
      <c r="F36" s="66">
        <v>137687</v>
      </c>
      <c r="G36" s="66">
        <v>137687</v>
      </c>
      <c r="H36" s="66">
        <v>172450.652</v>
      </c>
      <c r="I36" s="66">
        <v>160724.25599999999</v>
      </c>
      <c r="J36" s="66">
        <v>157528.79999999999</v>
      </c>
      <c r="K36" s="66">
        <v>118798.86</v>
      </c>
      <c r="L36" s="66">
        <v>118841.49</v>
      </c>
      <c r="M36" s="66">
        <v>107127.064</v>
      </c>
      <c r="N36" s="67">
        <f t="shared" si="123"/>
        <v>1621807</v>
      </c>
      <c r="O36" s="115">
        <f t="shared" si="122"/>
        <v>1570800.1220000002</v>
      </c>
      <c r="P36" s="136">
        <f t="shared" si="79"/>
        <v>7913408.1220000004</v>
      </c>
      <c r="Q36" s="138">
        <f t="shared" si="124"/>
        <v>1582681.6244000001</v>
      </c>
      <c r="R36" s="151"/>
      <c r="S36" s="3">
        <v>2013</v>
      </c>
      <c r="T36" s="6">
        <v>28466</v>
      </c>
      <c r="U36" s="6">
        <v>28499</v>
      </c>
      <c r="V36" s="6">
        <v>28556</v>
      </c>
      <c r="W36" s="6">
        <v>28594</v>
      </c>
      <c r="X36" s="6">
        <v>28629</v>
      </c>
      <c r="Y36" s="6">
        <v>28836</v>
      </c>
      <c r="Z36" s="6">
        <v>29376</v>
      </c>
      <c r="AA36" s="6">
        <v>28797</v>
      </c>
      <c r="AB36" s="6">
        <v>28829</v>
      </c>
      <c r="AC36" s="6">
        <v>28800</v>
      </c>
      <c r="AD36" s="6">
        <v>28737</v>
      </c>
      <c r="AE36" s="6">
        <v>28723</v>
      </c>
      <c r="AF36" s="8">
        <f t="shared" si="125"/>
        <v>28573</v>
      </c>
      <c r="AG36" s="6">
        <f t="shared" si="80"/>
        <v>28736.833333333332</v>
      </c>
      <c r="AJ36" s="78">
        <v>2013</v>
      </c>
      <c r="AK36" s="79">
        <f t="shared" si="67"/>
        <v>4.380629522939647</v>
      </c>
      <c r="AL36" s="79">
        <f t="shared" si="105"/>
        <v>4.149443840134742</v>
      </c>
      <c r="AM36" s="79">
        <f t="shared" si="106"/>
        <v>3.7628519400476259</v>
      </c>
      <c r="AN36" s="79">
        <f t="shared" si="107"/>
        <v>3.831188361194656</v>
      </c>
      <c r="AO36" s="79">
        <f t="shared" si="108"/>
        <v>4.8093541513849596</v>
      </c>
      <c r="AP36" s="79">
        <f t="shared" si="109"/>
        <v>4.7748300735192117</v>
      </c>
      <c r="AQ36" s="79">
        <f t="shared" si="116"/>
        <v>5.8704606481481481</v>
      </c>
      <c r="AR36" s="79">
        <f t="shared" si="117"/>
        <v>5.5812847171580371</v>
      </c>
      <c r="AS36" s="79">
        <f t="shared" si="118"/>
        <v>5.4642478060286512</v>
      </c>
      <c r="AT36" s="79">
        <f t="shared" si="119"/>
        <v>4.1249604166666671</v>
      </c>
      <c r="AU36" s="79">
        <f t="shared" si="120"/>
        <v>4.1354870028186657</v>
      </c>
      <c r="AV36" s="79">
        <f t="shared" si="121"/>
        <v>3.7296613863454375</v>
      </c>
      <c r="AW36" s="73">
        <f t="shared" si="92"/>
        <v>0.14952607766293347</v>
      </c>
    </row>
    <row r="37" spans="1:49" x14ac:dyDescent="0.25">
      <c r="A37" s="3">
        <v>2012</v>
      </c>
      <c r="B37" s="66">
        <v>124841</v>
      </c>
      <c r="C37" s="66">
        <v>114767</v>
      </c>
      <c r="D37" s="66">
        <v>111903</v>
      </c>
      <c r="E37" s="66">
        <v>123974</v>
      </c>
      <c r="F37" s="66">
        <v>123634</v>
      </c>
      <c r="G37" s="66">
        <v>164963</v>
      </c>
      <c r="H37" s="66">
        <v>175686</v>
      </c>
      <c r="I37" s="66">
        <v>179799</v>
      </c>
      <c r="J37" s="66">
        <v>152968</v>
      </c>
      <c r="K37" s="66">
        <v>138100</v>
      </c>
      <c r="L37" s="66">
        <v>119854</v>
      </c>
      <c r="M37" s="66">
        <v>120071</v>
      </c>
      <c r="N37" s="67">
        <f t="shared" si="123"/>
        <v>1570034</v>
      </c>
      <c r="O37" s="115">
        <f t="shared" si="122"/>
        <v>1650560</v>
      </c>
      <c r="P37" s="136">
        <f t="shared" si="79"/>
        <v>7961391</v>
      </c>
      <c r="Q37" s="138">
        <f t="shared" si="124"/>
        <v>1592278.2</v>
      </c>
      <c r="R37" s="151"/>
      <c r="S37" s="3">
        <v>2012</v>
      </c>
      <c r="T37" s="6">
        <v>28450</v>
      </c>
      <c r="U37" s="6">
        <v>28477</v>
      </c>
      <c r="V37" s="6">
        <v>28510</v>
      </c>
      <c r="W37" s="6">
        <v>28592</v>
      </c>
      <c r="X37" s="6">
        <v>28618</v>
      </c>
      <c r="Y37" s="6">
        <v>28644</v>
      </c>
      <c r="Z37" s="6">
        <v>28590</v>
      </c>
      <c r="AA37" s="6">
        <v>28665</v>
      </c>
      <c r="AB37" s="6">
        <v>28594</v>
      </c>
      <c r="AC37" s="6">
        <v>28540</v>
      </c>
      <c r="AD37" s="6">
        <v>28437</v>
      </c>
      <c r="AE37" s="6">
        <v>28470</v>
      </c>
      <c r="AF37" s="8">
        <f t="shared" si="125"/>
        <v>28534.5</v>
      </c>
      <c r="AG37" s="6">
        <f t="shared" si="80"/>
        <v>28548.916666666668</v>
      </c>
      <c r="AJ37" s="78">
        <v>2012</v>
      </c>
      <c r="AK37" s="79">
        <f t="shared" si="67"/>
        <v>4.3880843585237255</v>
      </c>
      <c r="AL37" s="79">
        <f t="shared" si="105"/>
        <v>4.0301646943147098</v>
      </c>
      <c r="AM37" s="79">
        <f t="shared" si="106"/>
        <v>3.9250438442651703</v>
      </c>
      <c r="AN37" s="79">
        <f t="shared" si="107"/>
        <v>4.3359681029658645</v>
      </c>
      <c r="AO37" s="79">
        <f t="shared" si="108"/>
        <v>4.3201481585016426</v>
      </c>
      <c r="AP37" s="79">
        <f t="shared" si="109"/>
        <v>5.7590769445608156</v>
      </c>
      <c r="AQ37" s="79">
        <f t="shared" si="116"/>
        <v>6.1450157397691498</v>
      </c>
      <c r="AR37" s="79">
        <f t="shared" si="117"/>
        <v>6.2724228152799579</v>
      </c>
      <c r="AS37" s="79">
        <f t="shared" si="118"/>
        <v>5.34965377351892</v>
      </c>
      <c r="AT37" s="79">
        <f t="shared" si="119"/>
        <v>4.8388227049754731</v>
      </c>
      <c r="AU37" s="79">
        <f t="shared" si="120"/>
        <v>4.2147202588177377</v>
      </c>
      <c r="AV37" s="79">
        <f t="shared" si="121"/>
        <v>4.217456972251493</v>
      </c>
      <c r="AW37" s="73">
        <f t="shared" si="92"/>
        <v>0.15823840757767188</v>
      </c>
    </row>
    <row r="38" spans="1:49" x14ac:dyDescent="0.25">
      <c r="A38" s="3">
        <v>2011</v>
      </c>
      <c r="B38" s="66">
        <v>145038</v>
      </c>
      <c r="C38" s="66">
        <v>115566</v>
      </c>
      <c r="D38" s="66">
        <v>104954</v>
      </c>
      <c r="E38" s="66">
        <v>114886</v>
      </c>
      <c r="F38" s="66">
        <v>124657</v>
      </c>
      <c r="G38" s="66">
        <v>146571</v>
      </c>
      <c r="H38" s="66">
        <v>146007</v>
      </c>
      <c r="I38" s="66">
        <v>154486</v>
      </c>
      <c r="J38" s="66">
        <v>140014</v>
      </c>
      <c r="K38" s="66">
        <v>135862</v>
      </c>
      <c r="L38" s="66">
        <v>117133</v>
      </c>
      <c r="M38" s="66">
        <v>112450</v>
      </c>
      <c r="N38" s="67">
        <f t="shared" si="123"/>
        <v>1558947</v>
      </c>
      <c r="O38" s="115">
        <f t="shared" si="122"/>
        <v>1557624</v>
      </c>
      <c r="P38" s="47"/>
      <c r="Q38" s="117"/>
      <c r="R38" s="151"/>
      <c r="S38" s="3">
        <v>2011</v>
      </c>
      <c r="T38" s="6">
        <v>28419</v>
      </c>
      <c r="U38" s="6">
        <v>28461</v>
      </c>
      <c r="V38" s="6">
        <v>28508</v>
      </c>
      <c r="W38" s="6">
        <v>28501</v>
      </c>
      <c r="X38" s="6">
        <v>28533</v>
      </c>
      <c r="Y38" s="6">
        <v>28585</v>
      </c>
      <c r="Z38" s="6">
        <v>28548</v>
      </c>
      <c r="AA38" s="6">
        <v>28512</v>
      </c>
      <c r="AB38" s="6">
        <v>28586</v>
      </c>
      <c r="AC38" s="6">
        <v>28512</v>
      </c>
      <c r="AD38" s="6">
        <v>28495</v>
      </c>
      <c r="AE38" s="6">
        <v>28470</v>
      </c>
      <c r="AF38" s="8">
        <f t="shared" si="125"/>
        <v>28475.75</v>
      </c>
      <c r="AG38" s="6">
        <f t="shared" si="80"/>
        <v>28510.833333333332</v>
      </c>
      <c r="AJ38" s="78">
        <v>2011</v>
      </c>
      <c r="AK38" s="79">
        <f t="shared" si="67"/>
        <v>5.1035574791512719</v>
      </c>
      <c r="AL38" s="79">
        <f t="shared" si="105"/>
        <v>4.060503847370085</v>
      </c>
      <c r="AM38" s="79">
        <f t="shared" si="106"/>
        <v>3.6815630700154345</v>
      </c>
      <c r="AN38" s="79">
        <f t="shared" si="107"/>
        <v>4.0309462825865756</v>
      </c>
      <c r="AO38" s="79">
        <f t="shared" si="108"/>
        <v>4.3688711316720994</v>
      </c>
      <c r="AP38" s="79">
        <f t="shared" si="109"/>
        <v>5.1275494140283362</v>
      </c>
      <c r="AQ38" s="79">
        <f t="shared" si="116"/>
        <v>5.1144388398486758</v>
      </c>
      <c r="AR38" s="79">
        <f t="shared" si="117"/>
        <v>5.4182800224466892</v>
      </c>
      <c r="AS38" s="79">
        <f t="shared" si="118"/>
        <v>4.897992024067725</v>
      </c>
      <c r="AT38" s="79">
        <f t="shared" si="119"/>
        <v>4.765081369248036</v>
      </c>
      <c r="AU38" s="79">
        <f t="shared" si="120"/>
        <v>4.1106509914020002</v>
      </c>
      <c r="AV38" s="79">
        <f t="shared" si="121"/>
        <v>3.9497716894977168</v>
      </c>
      <c r="AW38" s="73">
        <f t="shared" si="92"/>
        <v>0.1495666150892119</v>
      </c>
    </row>
    <row r="39" spans="1:49" x14ac:dyDescent="0.25">
      <c r="A39" s="3">
        <v>2010</v>
      </c>
      <c r="B39" s="66">
        <v>146319</v>
      </c>
      <c r="C39" s="66">
        <v>110582</v>
      </c>
      <c r="D39" s="66">
        <v>116139</v>
      </c>
      <c r="E39" s="66">
        <v>127013</v>
      </c>
      <c r="F39" s="66">
        <v>114269</v>
      </c>
      <c r="G39" s="66">
        <v>139725</v>
      </c>
      <c r="H39" s="66">
        <v>144601</v>
      </c>
      <c r="I39" s="66">
        <v>154368</v>
      </c>
      <c r="J39" s="66">
        <v>144572</v>
      </c>
      <c r="K39" s="66">
        <v>128955</v>
      </c>
      <c r="L39" s="66">
        <v>117723</v>
      </c>
      <c r="M39" s="66">
        <v>117056</v>
      </c>
      <c r="N39" s="67">
        <f t="shared" si="123"/>
        <v>1555786</v>
      </c>
      <c r="O39" s="115">
        <f t="shared" si="122"/>
        <v>1561322</v>
      </c>
      <c r="P39" s="47"/>
      <c r="Q39" s="117"/>
      <c r="R39" s="151"/>
      <c r="S39" s="3">
        <v>2010</v>
      </c>
      <c r="T39" s="6">
        <v>28467</v>
      </c>
      <c r="U39" s="6">
        <v>28433</v>
      </c>
      <c r="V39" s="6">
        <v>28420</v>
      </c>
      <c r="W39" s="6">
        <v>28460</v>
      </c>
      <c r="X39" s="6">
        <v>28481</v>
      </c>
      <c r="Y39" s="6">
        <v>28468</v>
      </c>
      <c r="Z39" s="6">
        <v>28482</v>
      </c>
      <c r="AA39" s="6">
        <v>28477</v>
      </c>
      <c r="AB39" s="6">
        <v>28495</v>
      </c>
      <c r="AC39" s="6">
        <v>28449</v>
      </c>
      <c r="AD39" s="6">
        <v>28410</v>
      </c>
      <c r="AE39" s="6">
        <v>28389</v>
      </c>
      <c r="AF39" s="8">
        <f t="shared" si="125"/>
        <v>28509.083333333332</v>
      </c>
      <c r="AG39" s="6">
        <f t="shared" si="80"/>
        <v>28452.583333333332</v>
      </c>
      <c r="AJ39" s="78">
        <v>2010</v>
      </c>
      <c r="AK39" s="79">
        <f t="shared" si="67"/>
        <v>5.1399515228158918</v>
      </c>
      <c r="AL39" s="79">
        <f t="shared" si="105"/>
        <v>3.8892132381387823</v>
      </c>
      <c r="AM39" s="79">
        <f t="shared" si="106"/>
        <v>4.0865235749472202</v>
      </c>
      <c r="AN39" s="79">
        <f t="shared" si="107"/>
        <v>4.4628601546029518</v>
      </c>
      <c r="AO39" s="79">
        <f t="shared" si="108"/>
        <v>4.0121133387170396</v>
      </c>
      <c r="AP39" s="79">
        <f t="shared" si="109"/>
        <v>4.9081424757622596</v>
      </c>
      <c r="AQ39" s="79">
        <f t="shared" si="116"/>
        <v>5.076925777684151</v>
      </c>
      <c r="AR39" s="79">
        <f t="shared" si="117"/>
        <v>5.4207957298872778</v>
      </c>
      <c r="AS39" s="79">
        <f t="shared" si="118"/>
        <v>5.0735918582207402</v>
      </c>
      <c r="AT39" s="79">
        <f t="shared" si="119"/>
        <v>4.5328482547716966</v>
      </c>
      <c r="AU39" s="79">
        <f t="shared" si="120"/>
        <v>4.1437170010559665</v>
      </c>
      <c r="AV39" s="79">
        <f t="shared" si="121"/>
        <v>4.1232871886998481</v>
      </c>
      <c r="AW39" s="73">
        <f t="shared" si="92"/>
        <v>0.15022579087009946</v>
      </c>
    </row>
    <row r="40" spans="1:49" x14ac:dyDescent="0.25">
      <c r="A40" s="3">
        <v>2009</v>
      </c>
      <c r="B40" s="66">
        <v>145882</v>
      </c>
      <c r="C40" s="66">
        <v>116794</v>
      </c>
      <c r="D40" s="66">
        <v>117734</v>
      </c>
      <c r="E40" s="66">
        <v>107771</v>
      </c>
      <c r="F40" s="66">
        <v>135733</v>
      </c>
      <c r="G40" s="66">
        <v>147449</v>
      </c>
      <c r="H40" s="66">
        <v>157018</v>
      </c>
      <c r="I40" s="66">
        <v>140747</v>
      </c>
      <c r="J40" s="66">
        <v>138436</v>
      </c>
      <c r="K40" s="66">
        <v>129928</v>
      </c>
      <c r="L40" s="66">
        <v>113070</v>
      </c>
      <c r="M40" s="66">
        <v>122540</v>
      </c>
      <c r="N40" s="67">
        <f t="shared" si="123"/>
        <v>1593563</v>
      </c>
      <c r="O40" s="115">
        <f t="shared" si="122"/>
        <v>1573102</v>
      </c>
      <c r="P40" s="47"/>
      <c r="Q40" s="117"/>
      <c r="R40" s="151"/>
      <c r="S40" s="3">
        <v>2009</v>
      </c>
      <c r="T40" s="6">
        <v>28474</v>
      </c>
      <c r="U40" s="6">
        <v>28467</v>
      </c>
      <c r="V40" s="6">
        <v>28526</v>
      </c>
      <c r="W40" s="6">
        <v>28555</v>
      </c>
      <c r="X40" s="6">
        <v>28545</v>
      </c>
      <c r="Y40" s="6">
        <v>28575</v>
      </c>
      <c r="Z40" s="6">
        <v>28609</v>
      </c>
      <c r="AA40" s="6">
        <v>28644</v>
      </c>
      <c r="AB40" s="6">
        <v>28628</v>
      </c>
      <c r="AC40" s="6">
        <v>28535</v>
      </c>
      <c r="AD40" s="6">
        <v>28504</v>
      </c>
      <c r="AE40" s="6">
        <v>28460</v>
      </c>
      <c r="AF40" s="8">
        <f t="shared" si="125"/>
        <v>28558.083333333332</v>
      </c>
      <c r="AG40" s="6">
        <f t="shared" si="80"/>
        <v>28543.5</v>
      </c>
      <c r="AJ40" s="78">
        <v>2009</v>
      </c>
      <c r="AK40" s="79">
        <f t="shared" si="67"/>
        <v>5.1233405914167314</v>
      </c>
      <c r="AL40" s="79">
        <f t="shared" si="105"/>
        <v>4.1027856816664912</v>
      </c>
      <c r="AM40" s="79">
        <f t="shared" si="106"/>
        <v>4.1272523312066189</v>
      </c>
      <c r="AN40" s="79">
        <f t="shared" si="107"/>
        <v>3.774155139205043</v>
      </c>
      <c r="AO40" s="79">
        <f t="shared" si="108"/>
        <v>4.7550534244175866</v>
      </c>
      <c r="AP40" s="79">
        <f t="shared" si="109"/>
        <v>5.1600699912510937</v>
      </c>
      <c r="AQ40" s="79">
        <f t="shared" si="116"/>
        <v>5.4884127372505151</v>
      </c>
      <c r="AR40" s="79">
        <f t="shared" si="117"/>
        <v>4.9136642926965504</v>
      </c>
      <c r="AS40" s="79">
        <f t="shared" si="118"/>
        <v>4.8356853430208186</v>
      </c>
      <c r="AT40" s="79">
        <f t="shared" si="119"/>
        <v>4.5532854389346413</v>
      </c>
      <c r="AU40" s="79">
        <f t="shared" si="120"/>
        <v>3.9668116755543084</v>
      </c>
      <c r="AV40" s="79">
        <f t="shared" si="121"/>
        <v>4.3056921995783553</v>
      </c>
      <c r="AW40" s="73">
        <f t="shared" si="92"/>
        <v>0.15087257726543121</v>
      </c>
    </row>
    <row r="41" spans="1:49" x14ac:dyDescent="0.25">
      <c r="A41" s="3">
        <v>2008</v>
      </c>
      <c r="B41" s="66">
        <v>155175</v>
      </c>
      <c r="C41" s="66">
        <v>133662</v>
      </c>
      <c r="D41" s="66">
        <v>123605</v>
      </c>
      <c r="E41" s="66">
        <v>116580</v>
      </c>
      <c r="F41" s="66">
        <v>122934</v>
      </c>
      <c r="G41" s="66">
        <v>144627</v>
      </c>
      <c r="H41" s="66">
        <v>148242</v>
      </c>
      <c r="I41" s="66">
        <v>159366</v>
      </c>
      <c r="J41" s="66">
        <v>137493</v>
      </c>
      <c r="K41" s="66">
        <v>127702</v>
      </c>
      <c r="L41" s="66">
        <v>116311</v>
      </c>
      <c r="M41" s="66">
        <v>133086</v>
      </c>
      <c r="N41" s="67">
        <f t="shared" si="123"/>
        <v>1723347.7</v>
      </c>
      <c r="O41" s="115">
        <f t="shared" si="122"/>
        <v>1618783</v>
      </c>
      <c r="P41" s="47"/>
      <c r="Q41" s="117"/>
      <c r="R41" s="151"/>
      <c r="S41" s="3">
        <v>2008</v>
      </c>
      <c r="T41" s="6">
        <v>28635</v>
      </c>
      <c r="U41" s="6">
        <v>28596</v>
      </c>
      <c r="V41" s="6">
        <v>28600</v>
      </c>
      <c r="W41" s="6">
        <v>28595</v>
      </c>
      <c r="X41" s="6">
        <v>28586</v>
      </c>
      <c r="Y41" s="6">
        <v>28569</v>
      </c>
      <c r="Z41" s="6">
        <v>28602</v>
      </c>
      <c r="AA41" s="6">
        <v>28620</v>
      </c>
      <c r="AB41" s="6">
        <v>28614</v>
      </c>
      <c r="AC41" s="6">
        <v>28604</v>
      </c>
      <c r="AD41" s="6">
        <v>28573</v>
      </c>
      <c r="AE41" s="6">
        <v>28542</v>
      </c>
      <c r="AF41" s="8">
        <f t="shared" si="125"/>
        <v>28626.5</v>
      </c>
      <c r="AG41" s="6">
        <f t="shared" si="80"/>
        <v>28594.666666666668</v>
      </c>
      <c r="AJ41" s="78">
        <v>2008</v>
      </c>
      <c r="AK41" s="79">
        <f t="shared" si="67"/>
        <v>5.4190675746464114</v>
      </c>
      <c r="AL41" s="79">
        <f t="shared" si="105"/>
        <v>4.6741502308015104</v>
      </c>
      <c r="AM41" s="79">
        <f t="shared" si="106"/>
        <v>4.3218531468531465</v>
      </c>
      <c r="AN41" s="79">
        <f t="shared" si="107"/>
        <v>4.0769365273649241</v>
      </c>
      <c r="AO41" s="79">
        <f t="shared" si="108"/>
        <v>4.3004967466592037</v>
      </c>
      <c r="AP41" s="79">
        <f t="shared" si="109"/>
        <v>5.0623753019006612</v>
      </c>
      <c r="AQ41" s="79">
        <f t="shared" si="116"/>
        <v>5.1829242710299983</v>
      </c>
      <c r="AR41" s="79">
        <f t="shared" si="117"/>
        <v>5.5683438155136269</v>
      </c>
      <c r="AS41" s="79">
        <f t="shared" si="118"/>
        <v>4.8050954078423151</v>
      </c>
      <c r="AT41" s="79">
        <f t="shared" si="119"/>
        <v>4.4644804922388479</v>
      </c>
      <c r="AU41" s="79">
        <f t="shared" si="120"/>
        <v>4.0706611136387503</v>
      </c>
      <c r="AV41" s="79">
        <f t="shared" si="121"/>
        <v>4.6628126970779906</v>
      </c>
      <c r="AW41" s="73">
        <f t="shared" si="92"/>
        <v>0.15498753545672111</v>
      </c>
    </row>
    <row r="42" spans="1:49" x14ac:dyDescent="0.25">
      <c r="A42" s="3">
        <v>2007</v>
      </c>
      <c r="B42" s="66"/>
      <c r="C42" s="66"/>
      <c r="D42" s="66"/>
      <c r="E42" s="66"/>
      <c r="F42" s="66"/>
      <c r="G42" s="66"/>
      <c r="H42" s="66">
        <v>189885.26</v>
      </c>
      <c r="I42" s="66">
        <v>189480.51</v>
      </c>
      <c r="J42" s="66">
        <v>149373.66999999998</v>
      </c>
      <c r="K42" s="66">
        <v>145169.78</v>
      </c>
      <c r="L42" s="66">
        <v>125641.39</v>
      </c>
      <c r="M42" s="66">
        <v>127214.09</v>
      </c>
      <c r="N42" s="67">
        <f t="shared" si="123"/>
        <v>0</v>
      </c>
      <c r="O42" s="115">
        <f t="shared" si="122"/>
        <v>926764.7</v>
      </c>
      <c r="P42" s="47"/>
      <c r="Q42" s="117"/>
      <c r="R42" s="151"/>
      <c r="S42" s="3">
        <v>2007</v>
      </c>
      <c r="T42" s="6">
        <v>28631</v>
      </c>
      <c r="U42" s="6">
        <v>28636</v>
      </c>
      <c r="V42" s="6">
        <v>28630</v>
      </c>
      <c r="W42" s="6">
        <v>28643</v>
      </c>
      <c r="X42" s="6">
        <v>28647</v>
      </c>
      <c r="Y42" s="6">
        <v>28633</v>
      </c>
      <c r="Z42" s="6">
        <v>28661</v>
      </c>
      <c r="AA42" s="6">
        <v>28659</v>
      </c>
      <c r="AB42" s="6">
        <v>28725</v>
      </c>
      <c r="AC42" s="6">
        <v>28662</v>
      </c>
      <c r="AD42" s="6">
        <v>28647</v>
      </c>
      <c r="AE42" s="6">
        <v>28583</v>
      </c>
      <c r="AF42" s="8"/>
      <c r="AG42" s="6">
        <f t="shared" si="80"/>
        <v>28646.416666666668</v>
      </c>
      <c r="AJ42" s="78">
        <v>2007</v>
      </c>
      <c r="AK42" s="79">
        <f t="shared" si="67"/>
        <v>0</v>
      </c>
      <c r="AL42" s="79">
        <f t="shared" si="105"/>
        <v>0</v>
      </c>
      <c r="AM42" s="79">
        <f t="shared" si="106"/>
        <v>0</v>
      </c>
      <c r="AN42" s="79">
        <f t="shared" si="107"/>
        <v>0</v>
      </c>
      <c r="AO42" s="79">
        <f t="shared" si="108"/>
        <v>0</v>
      </c>
      <c r="AP42" s="79">
        <f t="shared" si="109"/>
        <v>0</v>
      </c>
      <c r="AQ42" s="79">
        <f t="shared" si="116"/>
        <v>6.6252140539408959</v>
      </c>
      <c r="AR42" s="79">
        <f t="shared" si="117"/>
        <v>6.6115534387103532</v>
      </c>
      <c r="AS42" s="79">
        <f t="shared" si="118"/>
        <v>5.2001277632724099</v>
      </c>
      <c r="AT42" s="79">
        <f t="shared" si="119"/>
        <v>5.0648866094480498</v>
      </c>
      <c r="AU42" s="79">
        <f t="shared" si="120"/>
        <v>4.3858480818235765</v>
      </c>
      <c r="AV42" s="79">
        <f t="shared" si="121"/>
        <v>4.4506906202987793</v>
      </c>
      <c r="AW42" s="73">
        <f t="shared" si="92"/>
        <v>8.8537496420243847E-2</v>
      </c>
    </row>
    <row r="43" spans="1:49" ht="15.75" thickBot="1" x14ac:dyDescent="0.3">
      <c r="N43" s="118"/>
      <c r="O43" s="11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41"/>
    </row>
    <row r="44" spans="1:49" ht="15.75" thickTop="1" x14ac:dyDescent="0.25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97">
        <f>SUM(N26:N30)/5</f>
        <v>1398405.5767999999</v>
      </c>
      <c r="O44" s="97">
        <f>SUM(O26:O30)/5</f>
        <v>1391704.7301999999</v>
      </c>
      <c r="P44" s="50"/>
      <c r="Q44" s="120"/>
      <c r="R44" s="153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 t="s">
        <v>47</v>
      </c>
      <c r="AW44" s="44">
        <f>SUM(AW26:AW30)/5</f>
        <v>0.13370145409754319</v>
      </c>
    </row>
    <row r="45" spans="1:49" x14ac:dyDescent="0.25">
      <c r="A45" s="64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97"/>
      <c r="O45" s="97"/>
      <c r="P45" s="50"/>
      <c r="Q45" s="120"/>
      <c r="R45" s="153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 t="s">
        <v>88</v>
      </c>
      <c r="AW45" s="80">
        <f>SUM(AW27:AW31)/5</f>
        <v>0.13564675844993043</v>
      </c>
    </row>
    <row r="46" spans="1:49" x14ac:dyDescent="0.2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97"/>
      <c r="O46" s="97"/>
      <c r="P46" s="50"/>
      <c r="Q46" s="120"/>
      <c r="R46" s="153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 t="s">
        <v>48</v>
      </c>
      <c r="AW46" s="44">
        <f>SUM(AW26:AW35)/5</f>
        <v>0.27362592411687259</v>
      </c>
    </row>
    <row r="48" spans="1:49" ht="75" x14ac:dyDescent="0.25">
      <c r="A48" s="165" t="s">
        <v>99</v>
      </c>
      <c r="B48" s="111" t="s">
        <v>0</v>
      </c>
      <c r="C48" s="111" t="s">
        <v>1</v>
      </c>
      <c r="D48" s="111" t="s">
        <v>2</v>
      </c>
      <c r="E48" s="111" t="s">
        <v>3</v>
      </c>
      <c r="F48" s="111" t="s">
        <v>4</v>
      </c>
      <c r="G48" s="111" t="s">
        <v>5</v>
      </c>
      <c r="H48" s="111" t="s">
        <v>6</v>
      </c>
      <c r="I48" s="111" t="s">
        <v>7</v>
      </c>
      <c r="J48" s="111" t="s">
        <v>8</v>
      </c>
      <c r="K48" s="111" t="s">
        <v>9</v>
      </c>
      <c r="L48" s="111" t="s">
        <v>10</v>
      </c>
      <c r="M48" s="111" t="s">
        <v>11</v>
      </c>
      <c r="N48" s="112" t="s">
        <v>78</v>
      </c>
      <c r="O48" s="112" t="s">
        <v>77</v>
      </c>
      <c r="P48" s="139" t="s">
        <v>162</v>
      </c>
      <c r="Q48" s="140" t="s">
        <v>72</v>
      </c>
      <c r="R48" s="148"/>
      <c r="S48" s="165" t="s">
        <v>142</v>
      </c>
      <c r="T48" s="5" t="s">
        <v>0</v>
      </c>
      <c r="U48" s="5" t="s">
        <v>1</v>
      </c>
      <c r="V48" s="5" t="s">
        <v>2</v>
      </c>
      <c r="W48" s="5" t="s">
        <v>3</v>
      </c>
      <c r="X48" s="5" t="s">
        <v>4</v>
      </c>
      <c r="Y48" s="5" t="s">
        <v>5</v>
      </c>
      <c r="Z48" s="5" t="s">
        <v>6</v>
      </c>
      <c r="AA48" s="5" t="s">
        <v>7</v>
      </c>
      <c r="AB48" s="5" t="s">
        <v>8</v>
      </c>
      <c r="AC48" s="5" t="s">
        <v>9</v>
      </c>
      <c r="AD48" s="5" t="s">
        <v>10</v>
      </c>
      <c r="AE48" s="5" t="s">
        <v>11</v>
      </c>
      <c r="AF48" s="30" t="s">
        <v>164</v>
      </c>
      <c r="AG48" s="30" t="s">
        <v>167</v>
      </c>
      <c r="AJ48" s="165" t="s">
        <v>152</v>
      </c>
      <c r="AK48" s="5" t="s">
        <v>0</v>
      </c>
      <c r="AL48" s="5" t="s">
        <v>1</v>
      </c>
      <c r="AM48" s="5" t="s">
        <v>2</v>
      </c>
      <c r="AN48" s="5" t="s">
        <v>3</v>
      </c>
      <c r="AO48" s="5" t="s">
        <v>4</v>
      </c>
      <c r="AP48" s="5" t="s">
        <v>5</v>
      </c>
      <c r="AQ48" s="5" t="s">
        <v>6</v>
      </c>
      <c r="AR48" s="5" t="s">
        <v>7</v>
      </c>
      <c r="AS48" s="5" t="s">
        <v>8</v>
      </c>
      <c r="AT48" s="5" t="s">
        <v>9</v>
      </c>
      <c r="AU48" s="5" t="s">
        <v>10</v>
      </c>
      <c r="AV48" s="5" t="s">
        <v>11</v>
      </c>
      <c r="AW48" s="5" t="s">
        <v>49</v>
      </c>
    </row>
    <row r="49" spans="1:49" x14ac:dyDescent="0.25">
      <c r="A49" s="77">
        <v>2023</v>
      </c>
      <c r="B49" s="189">
        <v>29787.1</v>
      </c>
      <c r="C49" s="189">
        <v>26298.259000000002</v>
      </c>
      <c r="D49" s="189">
        <v>23703.671999999999</v>
      </c>
      <c r="E49" s="189">
        <v>31362.585999999999</v>
      </c>
      <c r="F49" s="189">
        <v>37667.300000000003</v>
      </c>
      <c r="G49" s="189">
        <v>51380.021000000001</v>
      </c>
      <c r="H49" s="189">
        <v>80624.490000000005</v>
      </c>
      <c r="I49" s="189">
        <v>56164.1</v>
      </c>
      <c r="J49" s="189">
        <v>77706.831999999995</v>
      </c>
      <c r="K49" s="189">
        <v>66173.205000000002</v>
      </c>
      <c r="L49" s="189">
        <v>39471.853000000003</v>
      </c>
      <c r="M49" s="189">
        <v>26545.43</v>
      </c>
      <c r="N49" s="97">
        <f t="shared" ref="N49:N54" si="126">SUM(B49:G49)+SUM(H50:M50)</f>
        <v>547922.45600000001</v>
      </c>
      <c r="O49" s="97">
        <f t="shared" ref="O49:O52" si="127">SUM(B49:M49)</f>
        <v>546884.848</v>
      </c>
      <c r="P49" s="136">
        <f>SUM(O49:O53)</f>
        <v>2481649.2940048026</v>
      </c>
      <c r="Q49" s="138">
        <f t="shared" ref="Q49:Q54" si="128">P49/5</f>
        <v>496329.85880096053</v>
      </c>
      <c r="R49" s="148"/>
      <c r="S49" s="77">
        <v>2023</v>
      </c>
      <c r="T49" s="189">
        <v>6354</v>
      </c>
      <c r="U49" s="189">
        <v>6372</v>
      </c>
      <c r="V49" s="189">
        <v>6382</v>
      </c>
      <c r="W49" s="189">
        <v>6401</v>
      </c>
      <c r="X49" s="189">
        <v>6403</v>
      </c>
      <c r="Y49" s="189">
        <v>6411</v>
      </c>
      <c r="Z49" s="189">
        <v>6416</v>
      </c>
      <c r="AA49" s="189">
        <v>6420</v>
      </c>
      <c r="AB49" s="189">
        <v>6424</v>
      </c>
      <c r="AC49" s="189">
        <v>6429</v>
      </c>
      <c r="AD49" s="189">
        <v>6441</v>
      </c>
      <c r="AE49" s="189">
        <v>6409</v>
      </c>
      <c r="AF49" s="88">
        <f t="shared" ref="AF49:AF54" si="129">(SUM(T49:Y49)+SUM(Z50:AE50))/12</f>
        <v>6331.25</v>
      </c>
      <c r="AG49" s="6">
        <f>SUM(T49:AE49)/12</f>
        <v>6405.166666666667</v>
      </c>
      <c r="AJ49" s="77">
        <v>2023</v>
      </c>
      <c r="AK49" s="9">
        <f t="shared" ref="AK49:AK65" si="130">B49/T49</f>
        <v>4.6879288637079002</v>
      </c>
      <c r="AL49" s="9">
        <f t="shared" ref="AL49" si="131">C49/U49</f>
        <v>4.1271592906465795</v>
      </c>
      <c r="AM49" s="9">
        <f t="shared" ref="AM49" si="132">D49/V49</f>
        <v>3.7141447821999369</v>
      </c>
      <c r="AN49" s="9">
        <f t="shared" ref="AN49" si="133">E49/W49</f>
        <v>4.8996384939853144</v>
      </c>
      <c r="AO49" s="9">
        <f t="shared" ref="AO49" si="134">F49/X49</f>
        <v>5.8827580821489933</v>
      </c>
      <c r="AP49" s="9">
        <f t="shared" ref="AP49" si="135">G49/Y49</f>
        <v>8.0143536109811269</v>
      </c>
      <c r="AQ49" s="9">
        <f t="shared" ref="AQ49" si="136">H49/Z49</f>
        <v>12.566161159600998</v>
      </c>
      <c r="AR49" s="9">
        <f t="shared" ref="AR49" si="137">I49/AA49</f>
        <v>8.7483021806853571</v>
      </c>
      <c r="AS49" s="9">
        <f t="shared" ref="AS49" si="138">J49/AB49</f>
        <v>12.096331257783312</v>
      </c>
      <c r="AT49" s="9">
        <f t="shared" ref="AT49" si="139">K49/AC49</f>
        <v>10.29292347176855</v>
      </c>
      <c r="AU49" s="9">
        <f t="shared" ref="AU49" si="140">L49/AD49</f>
        <v>6.1282181338301509</v>
      </c>
      <c r="AV49" s="9">
        <f t="shared" ref="AV49" si="141">M49/AE49</f>
        <v>4.1418988921828683</v>
      </c>
      <c r="AW49" s="73">
        <f>(SUM(AK49:AP49)+SUM(AQ49:AV49))/365.25</f>
        <v>0.23353817445454095</v>
      </c>
    </row>
    <row r="50" spans="1:49" x14ac:dyDescent="0.25">
      <c r="A50" s="61">
        <v>2022</v>
      </c>
      <c r="B50" s="190">
        <v>28692.439718260262</v>
      </c>
      <c r="C50" s="190">
        <v>26586.841999999997</v>
      </c>
      <c r="D50" s="190">
        <v>22825.625</v>
      </c>
      <c r="E50" s="190">
        <v>24709.15</v>
      </c>
      <c r="F50" s="190">
        <v>28114.642</v>
      </c>
      <c r="G50" s="190">
        <v>36938.121999999996</v>
      </c>
      <c r="H50" s="190">
        <v>61807.539000000004</v>
      </c>
      <c r="I50" s="190">
        <v>66940</v>
      </c>
      <c r="J50" s="190">
        <v>76967.725999999995</v>
      </c>
      <c r="K50" s="190">
        <v>80550.489000000001</v>
      </c>
      <c r="L50" s="190">
        <v>35010.091999999997</v>
      </c>
      <c r="M50" s="190">
        <v>26447.671999999999</v>
      </c>
      <c r="N50" s="97">
        <f t="shared" si="126"/>
        <v>483935.48300480231</v>
      </c>
      <c r="O50" s="97">
        <f t="shared" si="127"/>
        <v>515590.33871826029</v>
      </c>
      <c r="P50" s="136">
        <f t="shared" ref="P50:P60" si="142">SUM(O50:O54)</f>
        <v>2415179.1460048025</v>
      </c>
      <c r="Q50" s="138">
        <f t="shared" si="128"/>
        <v>483035.82920096052</v>
      </c>
      <c r="R50" s="148"/>
      <c r="S50" s="61">
        <v>2022</v>
      </c>
      <c r="T50" s="190">
        <v>6127</v>
      </c>
      <c r="U50" s="190">
        <v>6137</v>
      </c>
      <c r="V50" s="190">
        <v>6146</v>
      </c>
      <c r="W50" s="190">
        <v>6172</v>
      </c>
      <c r="X50" s="190">
        <v>6179</v>
      </c>
      <c r="Y50" s="190">
        <v>6208</v>
      </c>
      <c r="Z50" s="190">
        <v>6205</v>
      </c>
      <c r="AA50" s="190">
        <v>6228</v>
      </c>
      <c r="AB50" s="190">
        <v>6258</v>
      </c>
      <c r="AC50" s="190">
        <v>6305</v>
      </c>
      <c r="AD50" s="190">
        <v>6317</v>
      </c>
      <c r="AE50" s="190">
        <v>6339</v>
      </c>
      <c r="AF50" s="88">
        <f t="shared" si="129"/>
        <v>6136.166666666667</v>
      </c>
      <c r="AG50" s="6">
        <f t="shared" ref="AG50:AG65" si="143">SUM(T50:AE50)/12</f>
        <v>6218.416666666667</v>
      </c>
      <c r="AJ50" s="61">
        <v>2022</v>
      </c>
      <c r="AK50" s="9">
        <f t="shared" si="130"/>
        <v>4.6829508272009566</v>
      </c>
      <c r="AL50" s="9">
        <f t="shared" ref="AL50" si="144">C50/U50</f>
        <v>4.3322212807560696</v>
      </c>
      <c r="AM50" s="9">
        <f t="shared" ref="AM50" si="145">D50/V50</f>
        <v>3.7138992840872112</v>
      </c>
      <c r="AN50" s="9">
        <f t="shared" ref="AN50" si="146">E50/W50</f>
        <v>4.0034267660401817</v>
      </c>
      <c r="AO50" s="9">
        <f t="shared" ref="AO50" si="147">F50/X50</f>
        <v>4.5500310729891567</v>
      </c>
      <c r="AP50" s="9">
        <f>G50/Y50</f>
        <v>5.9500840850515457</v>
      </c>
      <c r="AQ50" s="9">
        <f t="shared" ref="AQ50:AQ51" si="148">H50/Z50</f>
        <v>9.9609248992747794</v>
      </c>
      <c r="AR50" s="9">
        <f t="shared" ref="AR50" si="149">I50/AA50</f>
        <v>10.748233782915865</v>
      </c>
      <c r="AS50" s="9">
        <f t="shared" ref="AS50" si="150">J50/AB50</f>
        <v>12.299093320549696</v>
      </c>
      <c r="AT50" s="9">
        <f t="shared" ref="AT50" si="151">K50/AC50</f>
        <v>12.775652498017447</v>
      </c>
      <c r="AU50" s="9">
        <f t="shared" ref="AU50" si="152">L50/AD50</f>
        <v>5.542202311223682</v>
      </c>
      <c r="AV50" s="9">
        <f t="shared" ref="AV50" si="153">M50/AE50</f>
        <v>4.1722151758952517</v>
      </c>
      <c r="AW50" s="73">
        <f t="shared" ref="AW50:AW65" si="154">(SUM(AK50:AP50)+SUM(AQ50:AV50))/365.25</f>
        <v>0.22650495634223641</v>
      </c>
    </row>
    <row r="51" spans="1:49" x14ac:dyDescent="0.25">
      <c r="A51" s="61">
        <v>2021</v>
      </c>
      <c r="B51" s="190">
        <v>29934.704999999998</v>
      </c>
      <c r="C51" s="190">
        <v>24856.382000000001</v>
      </c>
      <c r="D51" s="190">
        <v>26125.704000000005</v>
      </c>
      <c r="E51" s="190">
        <v>30442.605</v>
      </c>
      <c r="F51" s="190">
        <v>30772.9</v>
      </c>
      <c r="G51" s="190">
        <v>34277.603999999999</v>
      </c>
      <c r="H51" s="190">
        <v>61780.54</v>
      </c>
      <c r="I51" s="190">
        <v>63821.794999999998</v>
      </c>
      <c r="J51" s="190">
        <v>64964.455000000002</v>
      </c>
      <c r="K51" s="190">
        <v>63048.530000000006</v>
      </c>
      <c r="L51" s="190">
        <v>35469.341999999997</v>
      </c>
      <c r="M51" s="190">
        <v>26984.000286542123</v>
      </c>
      <c r="N51" s="97">
        <f t="shared" si="126"/>
        <v>501234.29399999999</v>
      </c>
      <c r="O51" s="97">
        <f t="shared" si="127"/>
        <v>492478.56228654215</v>
      </c>
      <c r="P51" s="136">
        <f t="shared" si="142"/>
        <v>2335840.7542865421</v>
      </c>
      <c r="Q51" s="138">
        <f t="shared" si="128"/>
        <v>467168.15085730841</v>
      </c>
      <c r="R51" s="148"/>
      <c r="S51" s="61">
        <v>2021</v>
      </c>
      <c r="T51" s="190">
        <v>6058</v>
      </c>
      <c r="U51" s="190">
        <v>6062</v>
      </c>
      <c r="V51" s="190">
        <v>6069</v>
      </c>
      <c r="W51" s="190">
        <v>6079</v>
      </c>
      <c r="X51" s="190">
        <v>6074</v>
      </c>
      <c r="Y51" s="190">
        <v>6091</v>
      </c>
      <c r="Z51" s="190">
        <v>6099</v>
      </c>
      <c r="AA51" s="190">
        <v>6101</v>
      </c>
      <c r="AB51" s="190">
        <v>6106</v>
      </c>
      <c r="AC51" s="190">
        <v>6111</v>
      </c>
      <c r="AD51" s="190">
        <v>6124</v>
      </c>
      <c r="AE51" s="190">
        <v>6124</v>
      </c>
      <c r="AF51" s="88">
        <f t="shared" si="129"/>
        <v>6054.25</v>
      </c>
      <c r="AG51" s="6">
        <f t="shared" si="143"/>
        <v>6091.5</v>
      </c>
      <c r="AJ51" s="61">
        <v>2021</v>
      </c>
      <c r="AK51" s="9">
        <f t="shared" si="130"/>
        <v>4.9413511059755688</v>
      </c>
      <c r="AL51" s="9">
        <f t="shared" ref="AL51" si="155">C51/U51</f>
        <v>4.1003599472121417</v>
      </c>
      <c r="AM51" s="9">
        <f t="shared" ref="AM51:AM64" si="156">D51/V51</f>
        <v>4.3047790410281772</v>
      </c>
      <c r="AN51" s="9">
        <f t="shared" ref="AN51" si="157">E51/W51</f>
        <v>5.00783105773976</v>
      </c>
      <c r="AO51" s="9">
        <f t="shared" ref="AO51" si="158">F51/X51</f>
        <v>5.0663319064866643</v>
      </c>
      <c r="AP51" s="9">
        <f t="shared" ref="AP51" si="159">G51/Y51</f>
        <v>5.6275823345920211</v>
      </c>
      <c r="AQ51" s="9">
        <f t="shared" si="148"/>
        <v>10.129617970159043</v>
      </c>
      <c r="AR51" s="9">
        <f t="shared" ref="AR51" si="160">I51/AA51</f>
        <v>10.460874446811998</v>
      </c>
      <c r="AS51" s="9">
        <f t="shared" ref="AS51" si="161">J51/AB51</f>
        <v>10.639445627251884</v>
      </c>
      <c r="AT51" s="9">
        <f t="shared" ref="AT51" si="162">K51/AC51</f>
        <v>10.317219767632139</v>
      </c>
      <c r="AU51" s="9">
        <f t="shared" ref="AU51" si="163">L51/AD51</f>
        <v>5.791858589157413</v>
      </c>
      <c r="AV51" s="9">
        <f t="shared" ref="AV51" si="164">M51/AE51</f>
        <v>4.406270458285781</v>
      </c>
      <c r="AW51" s="73">
        <f t="shared" si="154"/>
        <v>0.22120060849372372</v>
      </c>
    </row>
    <row r="52" spans="1:49" x14ac:dyDescent="0.25">
      <c r="A52" s="61">
        <v>2020</v>
      </c>
      <c r="B52" s="190">
        <v>26881</v>
      </c>
      <c r="C52" s="190">
        <v>24659.137999999999</v>
      </c>
      <c r="D52" s="190">
        <v>22710.5</v>
      </c>
      <c r="E52" s="190">
        <v>27854.780999999999</v>
      </c>
      <c r="F52" s="190">
        <v>30403.732</v>
      </c>
      <c r="G52" s="190">
        <v>38092.699999999997</v>
      </c>
      <c r="H52" s="190">
        <v>79810.823000000004</v>
      </c>
      <c r="I52" s="190">
        <v>59597.911</v>
      </c>
      <c r="J52" s="190">
        <v>63954.428999999996</v>
      </c>
      <c r="K52" s="190">
        <v>54956.479000000007</v>
      </c>
      <c r="L52" s="190">
        <v>41161.824999999997</v>
      </c>
      <c r="M52" s="190">
        <v>25342.927</v>
      </c>
      <c r="N52" s="97">
        <f t="shared" si="126"/>
        <v>435743.35100000002</v>
      </c>
      <c r="O52" s="97">
        <f t="shared" si="127"/>
        <v>495426.24500000005</v>
      </c>
      <c r="P52" s="136">
        <f t="shared" si="142"/>
        <v>2278791.7799999998</v>
      </c>
      <c r="Q52" s="138">
        <f t="shared" si="128"/>
        <v>455758.35599999997</v>
      </c>
      <c r="R52" s="148"/>
      <c r="S52" s="61">
        <v>2020</v>
      </c>
      <c r="T52" s="190">
        <v>5984</v>
      </c>
      <c r="U52" s="190">
        <v>5990</v>
      </c>
      <c r="V52" s="190">
        <v>6003</v>
      </c>
      <c r="W52" s="190">
        <v>6003</v>
      </c>
      <c r="X52" s="190">
        <v>6010</v>
      </c>
      <c r="Y52" s="190">
        <v>6021</v>
      </c>
      <c r="Z52" s="190">
        <v>6018</v>
      </c>
      <c r="AA52" s="190">
        <v>6029</v>
      </c>
      <c r="AB52" s="190">
        <v>6043</v>
      </c>
      <c r="AC52" s="190">
        <v>6040</v>
      </c>
      <c r="AD52" s="190">
        <v>6039</v>
      </c>
      <c r="AE52" s="190">
        <v>6049</v>
      </c>
      <c r="AF52" s="88">
        <f t="shared" si="129"/>
        <v>5985.416666666667</v>
      </c>
      <c r="AG52" s="6">
        <f t="shared" si="143"/>
        <v>6019.083333333333</v>
      </c>
      <c r="AJ52" s="61">
        <v>2020</v>
      </c>
      <c r="AK52" s="9">
        <f t="shared" si="130"/>
        <v>4.4921457219251337</v>
      </c>
      <c r="AL52" s="9">
        <f t="shared" ref="AL52:AL65" si="165">C52/U52</f>
        <v>4.1167175292153591</v>
      </c>
      <c r="AM52" s="9">
        <f t="shared" si="156"/>
        <v>3.7831917374646009</v>
      </c>
      <c r="AN52" s="79">
        <f t="shared" ref="AN52:AN65" si="166">E52/W52</f>
        <v>4.6401434282858567</v>
      </c>
      <c r="AO52" s="79">
        <f t="shared" ref="AO52:AO65" si="167">F52/X52</f>
        <v>5.0588572379367722</v>
      </c>
      <c r="AP52" s="79">
        <f t="shared" ref="AP52:AP65" si="168">G52/Y52</f>
        <v>6.3266400930078053</v>
      </c>
      <c r="AQ52" s="79">
        <f t="shared" ref="AQ52" si="169">H52/Z52</f>
        <v>13.262017779993354</v>
      </c>
      <c r="AR52" s="79">
        <f t="shared" ref="AR52" si="170">I52/AA52</f>
        <v>9.8852066677724331</v>
      </c>
      <c r="AS52" s="79">
        <f t="shared" ref="AS52" si="171">J52/AB52</f>
        <v>10.583225053781234</v>
      </c>
      <c r="AT52" s="79">
        <f t="shared" ref="AT52" si="172">K52/AC52</f>
        <v>9.098754801324505</v>
      </c>
      <c r="AU52" s="79">
        <f t="shared" ref="AU52" si="173">L52/AD52</f>
        <v>6.8160001655903288</v>
      </c>
      <c r="AV52" s="79">
        <f t="shared" ref="AV52" si="174">M52/AE52</f>
        <v>4.1896060505868737</v>
      </c>
      <c r="AW52" s="73">
        <f t="shared" si="154"/>
        <v>0.22519508902637714</v>
      </c>
    </row>
    <row r="53" spans="1:49" x14ac:dyDescent="0.25">
      <c r="A53" s="61">
        <v>2019</v>
      </c>
      <c r="B53" s="125">
        <v>27411.7</v>
      </c>
      <c r="C53" s="125">
        <v>26152.6</v>
      </c>
      <c r="D53" s="125">
        <v>23145.7</v>
      </c>
      <c r="E53" s="125">
        <v>23904.9</v>
      </c>
      <c r="F53" s="125">
        <v>29898.2</v>
      </c>
      <c r="G53" s="125">
        <v>35614.699999999997</v>
      </c>
      <c r="H53" s="190">
        <v>50438.9</v>
      </c>
      <c r="I53" s="190">
        <v>65773.2</v>
      </c>
      <c r="J53" s="190">
        <v>52640.6</v>
      </c>
      <c r="K53" s="190">
        <v>40052</v>
      </c>
      <c r="L53" s="190">
        <v>32609</v>
      </c>
      <c r="M53" s="190">
        <v>23627.8</v>
      </c>
      <c r="N53" s="97">
        <f t="shared" si="126"/>
        <v>463468.39999999997</v>
      </c>
      <c r="O53" s="97">
        <f>SUM(B53:M53)</f>
        <v>431269.29999999993</v>
      </c>
      <c r="P53" s="136">
        <f t="shared" si="142"/>
        <v>2191282.7469999995</v>
      </c>
      <c r="Q53" s="138">
        <f t="shared" si="128"/>
        <v>438256.5493999999</v>
      </c>
      <c r="R53" s="108"/>
      <c r="S53" s="61">
        <v>2019</v>
      </c>
      <c r="T53" s="35">
        <v>5877</v>
      </c>
      <c r="U53" s="35">
        <v>5890</v>
      </c>
      <c r="V53" s="35">
        <v>5899</v>
      </c>
      <c r="W53" s="35">
        <v>5928</v>
      </c>
      <c r="X53" s="35">
        <v>5942</v>
      </c>
      <c r="Y53" s="35">
        <v>5945</v>
      </c>
      <c r="Z53" s="35">
        <v>5956</v>
      </c>
      <c r="AA53" s="35">
        <v>5961</v>
      </c>
      <c r="AB53" s="35">
        <v>5967</v>
      </c>
      <c r="AC53" s="35">
        <v>5975</v>
      </c>
      <c r="AD53" s="35">
        <v>5975</v>
      </c>
      <c r="AE53" s="35">
        <v>5980</v>
      </c>
      <c r="AF53" s="8">
        <f t="shared" si="129"/>
        <v>5886</v>
      </c>
      <c r="AG53" s="6">
        <f t="shared" si="143"/>
        <v>5941.25</v>
      </c>
      <c r="AJ53" s="61">
        <v>2019</v>
      </c>
      <c r="AK53" s="9">
        <f t="shared" si="130"/>
        <v>4.6642334524417217</v>
      </c>
      <c r="AL53" s="9">
        <f t="shared" si="165"/>
        <v>4.4401697792869266</v>
      </c>
      <c r="AM53" s="9">
        <f t="shared" si="156"/>
        <v>3.9236650279708427</v>
      </c>
      <c r="AN53" s="9">
        <f t="shared" si="166"/>
        <v>4.0325404858299594</v>
      </c>
      <c r="AO53" s="9">
        <f t="shared" si="167"/>
        <v>5.0316728374284754</v>
      </c>
      <c r="AP53" s="9">
        <f t="shared" si="168"/>
        <v>5.9906980656013449</v>
      </c>
      <c r="AQ53" s="9">
        <f t="shared" ref="AQ53:AQ65" si="175">H53/Z53</f>
        <v>8.4685862995298855</v>
      </c>
      <c r="AR53" s="9">
        <f t="shared" ref="AR53:AR65" si="176">I53/AA53</f>
        <v>11.033920483140411</v>
      </c>
      <c r="AS53" s="9">
        <f t="shared" ref="AS53:AS65" si="177">J53/AB53</f>
        <v>8.8219540807776102</v>
      </c>
      <c r="AT53" s="9">
        <f t="shared" ref="AT53:AT65" si="178">K53/AC53</f>
        <v>6.7032635983263598</v>
      </c>
      <c r="AU53" s="9">
        <f t="shared" ref="AU53:AU65" si="179">L53/AD53</f>
        <v>5.4575732217573218</v>
      </c>
      <c r="AV53" s="9">
        <f t="shared" ref="AV53:AV65" si="180">M53/AE53</f>
        <v>3.9511371237458195</v>
      </c>
      <c r="AW53" s="73">
        <f t="shared" si="154"/>
        <v>0.19854733595027149</v>
      </c>
    </row>
    <row r="54" spans="1:49" x14ac:dyDescent="0.25">
      <c r="A54" s="61">
        <v>2018</v>
      </c>
      <c r="B54" s="116">
        <v>24798.9</v>
      </c>
      <c r="C54" s="116">
        <v>26153.8</v>
      </c>
      <c r="D54" s="116">
        <v>23456.7</v>
      </c>
      <c r="E54" s="116">
        <v>25742.5</v>
      </c>
      <c r="F54" s="116">
        <v>30062.7</v>
      </c>
      <c r="G54" s="116">
        <v>52859.5</v>
      </c>
      <c r="H54" s="116">
        <v>67342.399999999994</v>
      </c>
      <c r="I54" s="116">
        <v>68588.600000000006</v>
      </c>
      <c r="J54" s="116">
        <v>55689.8</v>
      </c>
      <c r="K54" s="116">
        <v>47993.4</v>
      </c>
      <c r="L54" s="116">
        <v>33442.800000000003</v>
      </c>
      <c r="M54" s="116">
        <v>24283.599999999999</v>
      </c>
      <c r="N54" s="97">
        <f t="shared" si="126"/>
        <v>445236.79999999993</v>
      </c>
      <c r="O54" s="97">
        <f t="shared" ref="O54:O65" si="181">SUM(B54:M54)</f>
        <v>480414.69999999995</v>
      </c>
      <c r="P54" s="136">
        <f t="shared" si="142"/>
        <v>2145146.9549999996</v>
      </c>
      <c r="Q54" s="138">
        <f t="shared" si="128"/>
        <v>429029.39099999995</v>
      </c>
      <c r="R54" s="148"/>
      <c r="S54" s="61">
        <v>2018</v>
      </c>
      <c r="T54" s="35">
        <v>5789</v>
      </c>
      <c r="U54" s="35">
        <v>5790</v>
      </c>
      <c r="V54" s="35">
        <v>5808</v>
      </c>
      <c r="W54" s="35">
        <v>5814</v>
      </c>
      <c r="X54" s="35">
        <v>5822</v>
      </c>
      <c r="Y54" s="35">
        <v>5826</v>
      </c>
      <c r="Z54" s="35">
        <v>5829</v>
      </c>
      <c r="AA54" s="35">
        <v>5858</v>
      </c>
      <c r="AB54" s="35">
        <v>5850</v>
      </c>
      <c r="AC54" s="35">
        <v>5861</v>
      </c>
      <c r="AD54" s="35">
        <v>5877</v>
      </c>
      <c r="AE54" s="35">
        <v>5876</v>
      </c>
      <c r="AF54" s="8">
        <f t="shared" si="129"/>
        <v>5778.416666666667</v>
      </c>
      <c r="AG54" s="6">
        <f t="shared" si="143"/>
        <v>5833.333333333333</v>
      </c>
      <c r="AJ54" s="61">
        <v>2018</v>
      </c>
      <c r="AK54" s="9">
        <f t="shared" si="130"/>
        <v>4.2837968561064086</v>
      </c>
      <c r="AL54" s="9">
        <f t="shared" si="165"/>
        <v>4.5170639032815201</v>
      </c>
      <c r="AM54" s="9">
        <f t="shared" si="156"/>
        <v>4.0386880165289254</v>
      </c>
      <c r="AN54" s="9">
        <f t="shared" si="166"/>
        <v>4.4276745786033711</v>
      </c>
      <c r="AO54" s="9">
        <f t="shared" si="167"/>
        <v>5.1636379251116455</v>
      </c>
      <c r="AP54" s="9">
        <f t="shared" si="168"/>
        <v>9.0730346721592863</v>
      </c>
      <c r="AQ54" s="9">
        <f t="shared" si="175"/>
        <v>11.552993652427517</v>
      </c>
      <c r="AR54" s="9">
        <f t="shared" si="176"/>
        <v>11.70853533629225</v>
      </c>
      <c r="AS54" s="9">
        <f t="shared" si="177"/>
        <v>9.5196239316239328</v>
      </c>
      <c r="AT54" s="9">
        <f t="shared" si="178"/>
        <v>8.1886026275379624</v>
      </c>
      <c r="AU54" s="9">
        <f t="shared" si="179"/>
        <v>5.6904543134252172</v>
      </c>
      <c r="AV54" s="9">
        <f t="shared" si="180"/>
        <v>4.1326752893124574</v>
      </c>
      <c r="AW54" s="73">
        <f t="shared" si="154"/>
        <v>0.22531630691967283</v>
      </c>
    </row>
    <row r="55" spans="1:49" x14ac:dyDescent="0.25">
      <c r="A55" s="3">
        <v>2017</v>
      </c>
      <c r="B55" s="66">
        <v>27577.092000000001</v>
      </c>
      <c r="C55" s="66">
        <v>23240.544000000002</v>
      </c>
      <c r="D55" s="66">
        <v>23666.243999999999</v>
      </c>
      <c r="E55" s="66">
        <v>25178.544000000002</v>
      </c>
      <c r="F55" s="66">
        <v>31117.24</v>
      </c>
      <c r="G55" s="66">
        <v>43309.582999999999</v>
      </c>
      <c r="H55" s="116">
        <v>59589.7</v>
      </c>
      <c r="I55" s="116">
        <v>51398</v>
      </c>
      <c r="J55" s="116">
        <v>50311.1</v>
      </c>
      <c r="K55" s="116">
        <v>44041.599999999999</v>
      </c>
      <c r="L55" s="116">
        <v>31052.799999999999</v>
      </c>
      <c r="M55" s="116">
        <v>25769.5</v>
      </c>
      <c r="N55" s="67">
        <f>SUM(B55:G55)+SUM(H56:M56)</f>
        <v>446047.58299999998</v>
      </c>
      <c r="O55" s="97">
        <f t="shared" si="181"/>
        <v>436251.94699999993</v>
      </c>
      <c r="P55" s="136">
        <f t="shared" si="142"/>
        <v>2079545.6209999998</v>
      </c>
      <c r="Q55" s="138">
        <f>P55/5</f>
        <v>415909.12419999996</v>
      </c>
      <c r="R55" s="151"/>
      <c r="S55" s="3">
        <v>2017</v>
      </c>
      <c r="T55" s="6">
        <v>5665</v>
      </c>
      <c r="U55" s="6">
        <v>5670</v>
      </c>
      <c r="V55" s="6">
        <v>5658</v>
      </c>
      <c r="W55" s="6">
        <v>5692</v>
      </c>
      <c r="X55" s="6">
        <v>5707</v>
      </c>
      <c r="Y55" s="6">
        <v>5708</v>
      </c>
      <c r="Z55" s="6">
        <v>5715</v>
      </c>
      <c r="AA55" s="6">
        <v>5731</v>
      </c>
      <c r="AB55" s="6">
        <v>5741</v>
      </c>
      <c r="AC55" s="6">
        <v>5756</v>
      </c>
      <c r="AD55" s="6">
        <v>5771</v>
      </c>
      <c r="AE55" s="69">
        <v>5778</v>
      </c>
      <c r="AF55" s="8">
        <f>(SUM(T55:Y55)+SUM(Z56:AE56))/12</f>
        <v>5659</v>
      </c>
      <c r="AG55" s="6">
        <f t="shared" si="143"/>
        <v>5716</v>
      </c>
      <c r="AJ55" s="3">
        <v>2017</v>
      </c>
      <c r="AK55" s="9">
        <f t="shared" si="130"/>
        <v>4.8679774051191531</v>
      </c>
      <c r="AL55" s="9">
        <f t="shared" si="165"/>
        <v>4.0988613756613761</v>
      </c>
      <c r="AM55" s="9">
        <f t="shared" si="156"/>
        <v>4.1827932131495222</v>
      </c>
      <c r="AN55" s="9">
        <f t="shared" si="166"/>
        <v>4.4234968376669013</v>
      </c>
      <c r="AO55" s="9">
        <f t="shared" si="167"/>
        <v>5.452468897844752</v>
      </c>
      <c r="AP55" s="9">
        <f t="shared" si="168"/>
        <v>7.5875233006306937</v>
      </c>
      <c r="AQ55" s="9">
        <f t="shared" si="175"/>
        <v>10.42689413823272</v>
      </c>
      <c r="AR55" s="9">
        <f t="shared" si="176"/>
        <v>8.9684173791659401</v>
      </c>
      <c r="AS55" s="9">
        <f t="shared" si="177"/>
        <v>8.763473262497822</v>
      </c>
      <c r="AT55" s="9">
        <f t="shared" si="178"/>
        <v>7.6514246004169557</v>
      </c>
      <c r="AU55" s="9">
        <f t="shared" si="179"/>
        <v>5.3808352105354356</v>
      </c>
      <c r="AV55" s="9">
        <f t="shared" si="180"/>
        <v>4.4599342332987195</v>
      </c>
      <c r="AW55" s="73">
        <f t="shared" si="154"/>
        <v>0.20879972581579737</v>
      </c>
    </row>
    <row r="56" spans="1:49" x14ac:dyDescent="0.25">
      <c r="A56" s="3">
        <v>2016</v>
      </c>
      <c r="B56" s="66">
        <v>26284.588</v>
      </c>
      <c r="C56" s="66">
        <v>22692.295999999998</v>
      </c>
      <c r="D56" s="66">
        <v>22890.844000000001</v>
      </c>
      <c r="E56" s="66">
        <v>26891.896000000001</v>
      </c>
      <c r="F56" s="66">
        <v>29488.94</v>
      </c>
      <c r="G56" s="66">
        <v>35222.688000000002</v>
      </c>
      <c r="H56" s="66">
        <v>65290.555999999997</v>
      </c>
      <c r="I56" s="66">
        <v>63374.815999999999</v>
      </c>
      <c r="J56" s="66">
        <v>49257.428</v>
      </c>
      <c r="K56" s="66">
        <v>35803.428</v>
      </c>
      <c r="L56" s="66">
        <v>30928.168000000001</v>
      </c>
      <c r="M56" s="66">
        <v>27303.94</v>
      </c>
      <c r="N56" s="67">
        <f t="shared" ref="N56:N65" si="182">SUM(B56:G56)+SUM(H57:M57)</f>
        <v>421753.01</v>
      </c>
      <c r="O56" s="115">
        <f t="shared" si="181"/>
        <v>435429.58800000005</v>
      </c>
      <c r="P56" s="136">
        <f t="shared" si="142"/>
        <v>2147278.6740000001</v>
      </c>
      <c r="Q56" s="138">
        <f t="shared" ref="Q56:Q60" si="183">P56/5</f>
        <v>429455.73480000003</v>
      </c>
      <c r="R56" s="151"/>
      <c r="S56" s="3">
        <v>2016</v>
      </c>
      <c r="T56" s="6">
        <v>5519</v>
      </c>
      <c r="U56" s="6">
        <v>5536</v>
      </c>
      <c r="V56" s="6">
        <v>5555</v>
      </c>
      <c r="W56" s="6">
        <v>5574</v>
      </c>
      <c r="X56" s="6">
        <v>5581</v>
      </c>
      <c r="Y56" s="6">
        <v>5595</v>
      </c>
      <c r="Z56" s="6">
        <v>5606</v>
      </c>
      <c r="AA56" s="6">
        <v>5620</v>
      </c>
      <c r="AB56" s="6">
        <v>5628</v>
      </c>
      <c r="AC56" s="6">
        <v>5638</v>
      </c>
      <c r="AD56" s="6">
        <v>5657</v>
      </c>
      <c r="AE56" s="6">
        <v>5659</v>
      </c>
      <c r="AF56" s="8">
        <f t="shared" ref="AF56:AF64" si="184">(SUM(T56:Y56)+SUM(Z57:AE57))/12</f>
        <v>5527.416666666667</v>
      </c>
      <c r="AG56" s="6">
        <f t="shared" si="143"/>
        <v>5597.333333333333</v>
      </c>
      <c r="AJ56" s="3">
        <v>2016</v>
      </c>
      <c r="AK56" s="9">
        <f t="shared" si="130"/>
        <v>4.7625635078818629</v>
      </c>
      <c r="AL56" s="9">
        <f t="shared" si="165"/>
        <v>4.0990419075144509</v>
      </c>
      <c r="AM56" s="9">
        <f t="shared" si="156"/>
        <v>4.1207639963996403</v>
      </c>
      <c r="AN56" s="9">
        <f t="shared" si="166"/>
        <v>4.824523860782203</v>
      </c>
      <c r="AO56" s="9">
        <f t="shared" si="167"/>
        <v>5.2838093531625159</v>
      </c>
      <c r="AP56" s="9">
        <f t="shared" si="168"/>
        <v>6.2953865951742634</v>
      </c>
      <c r="AQ56" s="9">
        <f t="shared" si="175"/>
        <v>11.646549411344987</v>
      </c>
      <c r="AR56" s="9">
        <f t="shared" si="176"/>
        <v>11.276657651245552</v>
      </c>
      <c r="AS56" s="9">
        <f t="shared" si="177"/>
        <v>8.7522082444918272</v>
      </c>
      <c r="AT56" s="9">
        <f t="shared" si="178"/>
        <v>6.3503774388080876</v>
      </c>
      <c r="AU56" s="9">
        <f t="shared" si="179"/>
        <v>5.467238465617819</v>
      </c>
      <c r="AV56" s="9">
        <f t="shared" si="180"/>
        <v>4.8248701183954763</v>
      </c>
      <c r="AW56" s="73">
        <f t="shared" si="154"/>
        <v>0.21274193169286432</v>
      </c>
    </row>
    <row r="57" spans="1:49" x14ac:dyDescent="0.25">
      <c r="A57" s="3">
        <v>2015</v>
      </c>
      <c r="B57" s="66">
        <v>26530</v>
      </c>
      <c r="C57" s="66">
        <v>23554.5</v>
      </c>
      <c r="D57" s="66">
        <v>21411.9</v>
      </c>
      <c r="E57" s="66">
        <v>25442.6</v>
      </c>
      <c r="F57" s="66">
        <v>28599.554</v>
      </c>
      <c r="G57" s="66">
        <v>24096.9</v>
      </c>
      <c r="H57" s="66">
        <v>35094.199999999997</v>
      </c>
      <c r="I57" s="66">
        <v>56050.534</v>
      </c>
      <c r="J57" s="66">
        <v>72820.600000000006</v>
      </c>
      <c r="K57" s="66">
        <v>34244.887999999999</v>
      </c>
      <c r="L57" s="66">
        <v>34929</v>
      </c>
      <c r="M57" s="66">
        <v>25142.536</v>
      </c>
      <c r="N57" s="67">
        <f t="shared" si="182"/>
        <v>373165.35399999999</v>
      </c>
      <c r="O57" s="115">
        <f t="shared" si="181"/>
        <v>407917.21199999994</v>
      </c>
      <c r="P57" s="136">
        <f t="shared" si="142"/>
        <v>2146738.0860000001</v>
      </c>
      <c r="Q57" s="138">
        <f t="shared" si="183"/>
        <v>429347.61720000004</v>
      </c>
      <c r="R57" s="151"/>
      <c r="S57" s="3">
        <v>2015</v>
      </c>
      <c r="T57" s="6">
        <v>5398</v>
      </c>
      <c r="U57" s="6">
        <v>5410</v>
      </c>
      <c r="V57" s="6">
        <v>5431</v>
      </c>
      <c r="W57" s="6">
        <v>5443</v>
      </c>
      <c r="X57" s="6">
        <v>5438</v>
      </c>
      <c r="Y57" s="6">
        <v>5450</v>
      </c>
      <c r="Z57" s="6">
        <v>5472</v>
      </c>
      <c r="AA57" s="6">
        <v>5476</v>
      </c>
      <c r="AB57" s="6">
        <v>5484</v>
      </c>
      <c r="AC57" s="6">
        <v>5502</v>
      </c>
      <c r="AD57" s="6">
        <v>5513</v>
      </c>
      <c r="AE57" s="6">
        <v>5522</v>
      </c>
      <c r="AF57" s="8">
        <f t="shared" si="184"/>
        <v>5400.583333333333</v>
      </c>
      <c r="AG57" s="6">
        <f t="shared" si="143"/>
        <v>5461.583333333333</v>
      </c>
      <c r="AJ57" s="3">
        <v>2015</v>
      </c>
      <c r="AK57" s="9">
        <f t="shared" si="130"/>
        <v>4.9147832530566875</v>
      </c>
      <c r="AL57" s="9">
        <f t="shared" si="165"/>
        <v>4.3538817005545285</v>
      </c>
      <c r="AM57" s="9">
        <f t="shared" si="156"/>
        <v>3.9425336033879583</v>
      </c>
      <c r="AN57" s="9">
        <f t="shared" si="166"/>
        <v>4.6743707514238473</v>
      </c>
      <c r="AO57" s="9">
        <f t="shared" si="167"/>
        <v>5.2592044869437293</v>
      </c>
      <c r="AP57" s="9">
        <f t="shared" si="168"/>
        <v>4.4214495412844039</v>
      </c>
      <c r="AQ57" s="9">
        <f t="shared" si="175"/>
        <v>6.4134137426900582</v>
      </c>
      <c r="AR57" s="9">
        <f t="shared" si="176"/>
        <v>10.235670927684442</v>
      </c>
      <c r="AS57" s="9">
        <f t="shared" si="177"/>
        <v>13.278738147337711</v>
      </c>
      <c r="AT57" s="9">
        <f t="shared" si="178"/>
        <v>6.2240799709196653</v>
      </c>
      <c r="AU57" s="9">
        <f t="shared" si="179"/>
        <v>6.3357518592417925</v>
      </c>
      <c r="AV57" s="9">
        <f t="shared" si="180"/>
        <v>4.5531575516117346</v>
      </c>
      <c r="AW57" s="73">
        <f t="shared" si="154"/>
        <v>0.20426293096820411</v>
      </c>
    </row>
    <row r="58" spans="1:49" x14ac:dyDescent="0.25">
      <c r="A58" s="3">
        <v>2014</v>
      </c>
      <c r="B58" s="66">
        <v>25979.82</v>
      </c>
      <c r="C58" s="66">
        <v>25055.64</v>
      </c>
      <c r="D58" s="66">
        <v>21642.495999999999</v>
      </c>
      <c r="E58" s="66">
        <v>23027.212</v>
      </c>
      <c r="F58" s="66">
        <v>28977.919999999998</v>
      </c>
      <c r="G58" s="66">
        <v>36920.519999999997</v>
      </c>
      <c r="H58" s="66">
        <v>39822.300000000003</v>
      </c>
      <c r="I58" s="66">
        <v>54479.199999999997</v>
      </c>
      <c r="J58" s="66">
        <v>46434.9</v>
      </c>
      <c r="K58" s="66">
        <v>32990.6</v>
      </c>
      <c r="L58" s="66">
        <v>28116</v>
      </c>
      <c r="M58" s="66">
        <v>21686.9</v>
      </c>
      <c r="N58" s="67">
        <f t="shared" si="182"/>
        <v>425210.07400000002</v>
      </c>
      <c r="O58" s="115">
        <f t="shared" si="181"/>
        <v>385133.50800000003</v>
      </c>
      <c r="P58" s="136">
        <f t="shared" si="142"/>
        <v>2145003.8739999998</v>
      </c>
      <c r="Q58" s="138">
        <f t="shared" si="183"/>
        <v>429000.77479999996</v>
      </c>
      <c r="R58" s="151"/>
      <c r="S58" s="3">
        <v>2014</v>
      </c>
      <c r="T58" s="6">
        <v>5271</v>
      </c>
      <c r="U58" s="6">
        <v>5282</v>
      </c>
      <c r="V58" s="6">
        <v>5295</v>
      </c>
      <c r="W58" s="6">
        <v>5309</v>
      </c>
      <c r="X58" s="6">
        <v>5315</v>
      </c>
      <c r="Y58" s="6">
        <v>5335</v>
      </c>
      <c r="Z58" s="6">
        <v>5348</v>
      </c>
      <c r="AA58" s="6">
        <v>5365</v>
      </c>
      <c r="AB58" s="6">
        <v>5380</v>
      </c>
      <c r="AC58" s="6">
        <v>5371</v>
      </c>
      <c r="AD58" s="6">
        <v>5379</v>
      </c>
      <c r="AE58" s="6">
        <v>5394</v>
      </c>
      <c r="AF58" s="8">
        <f t="shared" si="184"/>
        <v>5296.083333333333</v>
      </c>
      <c r="AG58" s="6">
        <f t="shared" si="143"/>
        <v>5337</v>
      </c>
      <c r="AJ58" s="3">
        <v>2014</v>
      </c>
      <c r="AK58" s="9">
        <f t="shared" si="130"/>
        <v>4.9288218554354009</v>
      </c>
      <c r="AL58" s="9">
        <f t="shared" si="165"/>
        <v>4.7435895494131008</v>
      </c>
      <c r="AM58" s="9">
        <f t="shared" si="156"/>
        <v>4.087345797922568</v>
      </c>
      <c r="AN58" s="9">
        <f t="shared" si="166"/>
        <v>4.3373915991712186</v>
      </c>
      <c r="AO58" s="9">
        <f t="shared" si="167"/>
        <v>5.4521015992474124</v>
      </c>
      <c r="AP58" s="9">
        <f t="shared" si="168"/>
        <v>6.9204348641049664</v>
      </c>
      <c r="AQ58" s="9">
        <f t="shared" si="175"/>
        <v>7.4462041884816763</v>
      </c>
      <c r="AR58" s="9">
        <f t="shared" si="176"/>
        <v>10.154557315936625</v>
      </c>
      <c r="AS58" s="9">
        <f t="shared" si="177"/>
        <v>8.6310223048327135</v>
      </c>
      <c r="AT58" s="9">
        <f t="shared" si="178"/>
        <v>6.1423571029603421</v>
      </c>
      <c r="AU58" s="9">
        <f t="shared" si="179"/>
        <v>5.2269938650306749</v>
      </c>
      <c r="AV58" s="9">
        <f t="shared" si="180"/>
        <v>4.0205598813496479</v>
      </c>
      <c r="AW58" s="73">
        <f t="shared" si="154"/>
        <v>0.19737544127005158</v>
      </c>
    </row>
    <row r="59" spans="1:49" x14ac:dyDescent="0.25">
      <c r="A59" s="3">
        <v>2013</v>
      </c>
      <c r="B59" s="66">
        <v>24953</v>
      </c>
      <c r="C59" s="66">
        <v>25266</v>
      </c>
      <c r="D59" s="66">
        <v>21306</v>
      </c>
      <c r="E59" s="66">
        <v>21841</v>
      </c>
      <c r="F59" s="66">
        <v>22599.8</v>
      </c>
      <c r="G59" s="66">
        <v>35241.1</v>
      </c>
      <c r="H59" s="66">
        <v>49386.400000000001</v>
      </c>
      <c r="I59" s="66">
        <v>57664.7</v>
      </c>
      <c r="J59" s="66">
        <v>62192.4</v>
      </c>
      <c r="K59" s="66">
        <v>40036.36</v>
      </c>
      <c r="L59" s="66">
        <v>31248.47</v>
      </c>
      <c r="M59" s="66">
        <v>23078.135999999999</v>
      </c>
      <c r="N59" s="67">
        <f t="shared" si="182"/>
        <v>467887.9</v>
      </c>
      <c r="O59" s="115">
        <f t="shared" si="181"/>
        <v>414813.36599999998</v>
      </c>
      <c r="P59" s="136">
        <f t="shared" si="142"/>
        <v>2136236.3659999999</v>
      </c>
      <c r="Q59" s="138">
        <f t="shared" si="183"/>
        <v>427247.2732</v>
      </c>
      <c r="R59" s="151"/>
      <c r="S59" s="3">
        <v>2013</v>
      </c>
      <c r="T59" s="6">
        <v>5191</v>
      </c>
      <c r="U59" s="6">
        <v>5203</v>
      </c>
      <c r="V59" s="6">
        <v>5214</v>
      </c>
      <c r="W59" s="6">
        <v>5221</v>
      </c>
      <c r="X59" s="6">
        <v>5218</v>
      </c>
      <c r="Y59" s="6">
        <v>5278</v>
      </c>
      <c r="Z59" s="6">
        <v>5366</v>
      </c>
      <c r="AA59" s="6">
        <v>5280</v>
      </c>
      <c r="AB59" s="6">
        <v>5285</v>
      </c>
      <c r="AC59" s="6">
        <v>5274</v>
      </c>
      <c r="AD59" s="6">
        <v>5271</v>
      </c>
      <c r="AE59" s="6">
        <v>5270</v>
      </c>
      <c r="AF59" s="8">
        <f t="shared" si="184"/>
        <v>5199</v>
      </c>
      <c r="AG59" s="6">
        <f t="shared" si="143"/>
        <v>5255.916666666667</v>
      </c>
      <c r="AJ59" s="3">
        <v>2013</v>
      </c>
      <c r="AK59" s="9">
        <f t="shared" si="130"/>
        <v>4.8069736081679828</v>
      </c>
      <c r="AL59" s="9">
        <f t="shared" si="165"/>
        <v>4.8560445896598115</v>
      </c>
      <c r="AM59" s="9">
        <f t="shared" si="156"/>
        <v>4.0863060989643269</v>
      </c>
      <c r="AN59" s="9">
        <f t="shared" si="166"/>
        <v>4.1832982187320438</v>
      </c>
      <c r="AO59" s="9">
        <f t="shared" si="167"/>
        <v>4.3311230356458408</v>
      </c>
      <c r="AP59" s="9">
        <f t="shared" si="168"/>
        <v>6.6769799166350889</v>
      </c>
      <c r="AQ59" s="9">
        <f t="shared" si="175"/>
        <v>9.2035780842340671</v>
      </c>
      <c r="AR59" s="9">
        <f t="shared" si="176"/>
        <v>10.921344696969696</v>
      </c>
      <c r="AS59" s="9">
        <f t="shared" si="177"/>
        <v>11.767719962157049</v>
      </c>
      <c r="AT59" s="9">
        <f t="shared" si="178"/>
        <v>7.5912703830109978</v>
      </c>
      <c r="AU59" s="9">
        <f t="shared" si="179"/>
        <v>5.9283760197306012</v>
      </c>
      <c r="AV59" s="9">
        <f t="shared" si="180"/>
        <v>4.3791529411764705</v>
      </c>
      <c r="AW59" s="73">
        <f t="shared" si="154"/>
        <v>0.21555692691330314</v>
      </c>
    </row>
    <row r="60" spans="1:49" x14ac:dyDescent="0.25">
      <c r="A60" s="3">
        <v>2012</v>
      </c>
      <c r="B60" s="66">
        <v>25725</v>
      </c>
      <c r="C60" s="66">
        <v>22745</v>
      </c>
      <c r="D60" s="66">
        <v>22051</v>
      </c>
      <c r="E60" s="66">
        <v>26503</v>
      </c>
      <c r="F60" s="66">
        <v>31850</v>
      </c>
      <c r="G60" s="66">
        <v>58430</v>
      </c>
      <c r="H60" s="66">
        <v>72209</v>
      </c>
      <c r="I60" s="66">
        <v>74632</v>
      </c>
      <c r="J60" s="66">
        <v>64688</v>
      </c>
      <c r="K60" s="66">
        <v>46139</v>
      </c>
      <c r="L60" s="66">
        <v>34136</v>
      </c>
      <c r="M60" s="66">
        <v>24877</v>
      </c>
      <c r="N60" s="67">
        <f t="shared" si="182"/>
        <v>462000</v>
      </c>
      <c r="O60" s="115">
        <f t="shared" si="181"/>
        <v>503985</v>
      </c>
      <c r="P60" s="136">
        <f t="shared" si="142"/>
        <v>2115619</v>
      </c>
      <c r="Q60" s="138">
        <f t="shared" si="183"/>
        <v>423123.8</v>
      </c>
      <c r="R60" s="151"/>
      <c r="S60" s="3">
        <v>2012</v>
      </c>
      <c r="T60" s="6">
        <v>5101</v>
      </c>
      <c r="U60" s="6">
        <v>5116</v>
      </c>
      <c r="V60" s="6">
        <v>5120</v>
      </c>
      <c r="W60" s="6">
        <v>5133</v>
      </c>
      <c r="X60" s="6">
        <v>5143</v>
      </c>
      <c r="Y60" s="6">
        <v>5163</v>
      </c>
      <c r="Z60" s="6">
        <v>5172</v>
      </c>
      <c r="AA60" s="6">
        <v>5167</v>
      </c>
      <c r="AB60" s="6">
        <v>5180</v>
      </c>
      <c r="AC60" s="6">
        <v>5180</v>
      </c>
      <c r="AD60" s="6">
        <v>5179</v>
      </c>
      <c r="AE60" s="6">
        <v>5185</v>
      </c>
      <c r="AF60" s="8">
        <f t="shared" si="184"/>
        <v>5116.166666666667</v>
      </c>
      <c r="AG60" s="6">
        <f t="shared" si="143"/>
        <v>5153.25</v>
      </c>
      <c r="AJ60" s="3">
        <v>2012</v>
      </c>
      <c r="AK60" s="9">
        <f t="shared" si="130"/>
        <v>5.0431287982748483</v>
      </c>
      <c r="AL60" s="9">
        <f t="shared" si="165"/>
        <v>4.4458561376075059</v>
      </c>
      <c r="AM60" s="9">
        <f t="shared" si="156"/>
        <v>4.3068359374999998</v>
      </c>
      <c r="AN60" s="9">
        <f t="shared" si="166"/>
        <v>5.1632573543736608</v>
      </c>
      <c r="AO60" s="9">
        <f t="shared" si="167"/>
        <v>6.1928835310130275</v>
      </c>
      <c r="AP60" s="9">
        <f t="shared" si="168"/>
        <v>11.317063722641874</v>
      </c>
      <c r="AQ60" s="9">
        <f t="shared" si="175"/>
        <v>13.961523588553751</v>
      </c>
      <c r="AR60" s="9">
        <f t="shared" si="176"/>
        <v>14.443971356686665</v>
      </c>
      <c r="AS60" s="9">
        <f t="shared" si="177"/>
        <v>12.488030888030888</v>
      </c>
      <c r="AT60" s="9">
        <f t="shared" si="178"/>
        <v>8.9071428571428566</v>
      </c>
      <c r="AU60" s="9">
        <f t="shared" si="179"/>
        <v>6.5912338289245032</v>
      </c>
      <c r="AV60" s="9">
        <f t="shared" si="180"/>
        <v>4.7978784956605596</v>
      </c>
      <c r="AW60" s="73">
        <f t="shared" si="154"/>
        <v>0.26737524023657805</v>
      </c>
    </row>
    <row r="61" spans="1:49" x14ac:dyDescent="0.25">
      <c r="A61" s="3">
        <v>2011</v>
      </c>
      <c r="B61" s="66">
        <v>27787</v>
      </c>
      <c r="C61" s="66">
        <v>23130</v>
      </c>
      <c r="D61" s="66">
        <v>21069</v>
      </c>
      <c r="E61" s="66">
        <v>25678</v>
      </c>
      <c r="F61" s="66">
        <v>26593</v>
      </c>
      <c r="G61" s="66">
        <v>35936</v>
      </c>
      <c r="H61" s="66">
        <v>50273</v>
      </c>
      <c r="I61" s="66">
        <v>57833</v>
      </c>
      <c r="J61" s="66">
        <v>51670</v>
      </c>
      <c r="K61" s="66">
        <v>51422</v>
      </c>
      <c r="L61" s="66">
        <v>39627</v>
      </c>
      <c r="M61" s="66">
        <v>23871</v>
      </c>
      <c r="N61" s="67">
        <f t="shared" si="182"/>
        <v>404293</v>
      </c>
      <c r="O61" s="115">
        <f t="shared" si="181"/>
        <v>434889</v>
      </c>
      <c r="P61" s="47"/>
      <c r="Q61" s="117"/>
      <c r="R61" s="151"/>
      <c r="S61" s="3">
        <v>2011</v>
      </c>
      <c r="T61" s="6">
        <v>5060</v>
      </c>
      <c r="U61" s="6">
        <v>5074</v>
      </c>
      <c r="V61" s="6">
        <v>5072</v>
      </c>
      <c r="W61" s="6">
        <v>5083</v>
      </c>
      <c r="X61" s="6">
        <v>5104</v>
      </c>
      <c r="Y61" s="6">
        <v>5106</v>
      </c>
      <c r="Z61" s="6">
        <v>5109</v>
      </c>
      <c r="AA61" s="6">
        <v>5113</v>
      </c>
      <c r="AB61" s="6">
        <v>5117</v>
      </c>
      <c r="AC61" s="6">
        <v>5098</v>
      </c>
      <c r="AD61" s="6">
        <v>5095</v>
      </c>
      <c r="AE61" s="6">
        <v>5086</v>
      </c>
      <c r="AF61" s="8">
        <f t="shared" si="184"/>
        <v>5070.75</v>
      </c>
      <c r="AG61" s="6">
        <f t="shared" si="143"/>
        <v>5093.083333333333</v>
      </c>
      <c r="AJ61" s="3">
        <v>2011</v>
      </c>
      <c r="AK61" s="9">
        <f t="shared" si="130"/>
        <v>5.4915019762845851</v>
      </c>
      <c r="AL61" s="9">
        <f t="shared" si="165"/>
        <v>4.5585337012219158</v>
      </c>
      <c r="AM61" s="9">
        <f t="shared" si="156"/>
        <v>4.1539826498422716</v>
      </c>
      <c r="AN61" s="9">
        <f t="shared" si="166"/>
        <v>5.0517410977769037</v>
      </c>
      <c r="AO61" s="9">
        <f t="shared" si="167"/>
        <v>5.2102272727272725</v>
      </c>
      <c r="AP61" s="9">
        <f t="shared" si="168"/>
        <v>7.0379945162553854</v>
      </c>
      <c r="AQ61" s="9">
        <f t="shared" si="175"/>
        <v>9.84008612252887</v>
      </c>
      <c r="AR61" s="9">
        <f t="shared" si="176"/>
        <v>11.310972032075103</v>
      </c>
      <c r="AS61" s="9">
        <f t="shared" si="177"/>
        <v>10.097713504006254</v>
      </c>
      <c r="AT61" s="9">
        <f t="shared" si="178"/>
        <v>10.086700666928207</v>
      </c>
      <c r="AU61" s="9">
        <f t="shared" si="179"/>
        <v>7.7776251226692832</v>
      </c>
      <c r="AV61" s="9">
        <f t="shared" si="180"/>
        <v>4.6934722768383796</v>
      </c>
      <c r="AW61" s="73">
        <f t="shared" si="154"/>
        <v>0.23356755903943716</v>
      </c>
    </row>
    <row r="62" spans="1:49" x14ac:dyDescent="0.25">
      <c r="A62" s="3">
        <v>2010</v>
      </c>
      <c r="B62" s="66">
        <v>33020</v>
      </c>
      <c r="C62" s="66">
        <v>22296</v>
      </c>
      <c r="D62" s="66">
        <v>22811</v>
      </c>
      <c r="E62" s="66">
        <v>24593</v>
      </c>
      <c r="F62" s="66">
        <v>27456</v>
      </c>
      <c r="G62" s="66">
        <v>31907</v>
      </c>
      <c r="H62" s="66">
        <v>47061</v>
      </c>
      <c r="I62" s="66">
        <v>50164</v>
      </c>
      <c r="J62" s="66">
        <v>55129</v>
      </c>
      <c r="K62" s="66">
        <v>34635</v>
      </c>
      <c r="L62" s="66">
        <v>32381</v>
      </c>
      <c r="M62" s="66">
        <v>24730</v>
      </c>
      <c r="N62" s="67">
        <f t="shared" si="182"/>
        <v>372873</v>
      </c>
      <c r="O62" s="115">
        <f t="shared" si="181"/>
        <v>406183</v>
      </c>
      <c r="P62" s="47"/>
      <c r="Q62" s="117"/>
      <c r="R62" s="151"/>
      <c r="S62" s="3">
        <v>2010</v>
      </c>
      <c r="T62" s="6">
        <v>5045</v>
      </c>
      <c r="U62" s="6">
        <v>5052</v>
      </c>
      <c r="V62" s="6">
        <v>5054</v>
      </c>
      <c r="W62" s="6">
        <v>5046</v>
      </c>
      <c r="X62" s="6">
        <v>5047</v>
      </c>
      <c r="Y62" s="6">
        <v>5051</v>
      </c>
      <c r="Z62" s="6">
        <v>5062</v>
      </c>
      <c r="AA62" s="6">
        <v>5049</v>
      </c>
      <c r="AB62" s="6">
        <v>5053</v>
      </c>
      <c r="AC62" s="6">
        <v>5063</v>
      </c>
      <c r="AD62" s="6">
        <v>5065</v>
      </c>
      <c r="AE62" s="6">
        <v>5058</v>
      </c>
      <c r="AF62" s="8">
        <f t="shared" si="184"/>
        <v>5048.166666666667</v>
      </c>
      <c r="AG62" s="6">
        <f t="shared" si="143"/>
        <v>5053.75</v>
      </c>
      <c r="AJ62" s="3">
        <v>2010</v>
      </c>
      <c r="AK62" s="9">
        <f t="shared" si="130"/>
        <v>6.5450941526263628</v>
      </c>
      <c r="AL62" s="9">
        <f t="shared" si="165"/>
        <v>4.4133016627078385</v>
      </c>
      <c r="AM62" s="9">
        <f t="shared" si="156"/>
        <v>4.5134546893549663</v>
      </c>
      <c r="AN62" s="9">
        <f t="shared" si="166"/>
        <v>4.8737613951644869</v>
      </c>
      <c r="AO62" s="9">
        <f t="shared" si="167"/>
        <v>5.4400634040023776</v>
      </c>
      <c r="AP62" s="9">
        <f t="shared" si="168"/>
        <v>6.3169669372401502</v>
      </c>
      <c r="AQ62" s="9">
        <f t="shared" si="175"/>
        <v>9.2969182141446076</v>
      </c>
      <c r="AR62" s="9">
        <f t="shared" si="176"/>
        <v>9.93543275896217</v>
      </c>
      <c r="AS62" s="9">
        <f t="shared" si="177"/>
        <v>10.910152384721947</v>
      </c>
      <c r="AT62" s="9">
        <f t="shared" si="178"/>
        <v>6.8408058463361643</v>
      </c>
      <c r="AU62" s="9">
        <f t="shared" si="179"/>
        <v>6.393089832181639</v>
      </c>
      <c r="AV62" s="9">
        <f t="shared" si="180"/>
        <v>4.8892843020956898</v>
      </c>
      <c r="AW62" s="73">
        <f t="shared" si="154"/>
        <v>0.22003648344842822</v>
      </c>
    </row>
    <row r="63" spans="1:49" x14ac:dyDescent="0.25">
      <c r="A63" s="3">
        <v>2009</v>
      </c>
      <c r="B63" s="66">
        <v>30001</v>
      </c>
      <c r="C63" s="66">
        <v>24341</v>
      </c>
      <c r="D63" s="66">
        <v>22789</v>
      </c>
      <c r="E63" s="66">
        <v>23593</v>
      </c>
      <c r="F63" s="66">
        <v>28531</v>
      </c>
      <c r="G63" s="66">
        <v>36321</v>
      </c>
      <c r="H63" s="66">
        <v>44283</v>
      </c>
      <c r="I63" s="66">
        <v>44843</v>
      </c>
      <c r="J63" s="66">
        <v>38899</v>
      </c>
      <c r="K63" s="66">
        <v>32657</v>
      </c>
      <c r="L63" s="66">
        <v>26126</v>
      </c>
      <c r="M63" s="66">
        <v>23982</v>
      </c>
      <c r="N63" s="67">
        <f t="shared" si="182"/>
        <v>393518</v>
      </c>
      <c r="O63" s="115">
        <f t="shared" si="181"/>
        <v>376366</v>
      </c>
      <c r="P63" s="47"/>
      <c r="Q63" s="117"/>
      <c r="R63" s="151"/>
      <c r="S63" s="3">
        <v>2009</v>
      </c>
      <c r="T63" s="6">
        <v>5028</v>
      </c>
      <c r="U63" s="6">
        <v>5039</v>
      </c>
      <c r="V63" s="6">
        <v>5044</v>
      </c>
      <c r="W63" s="6">
        <v>5044</v>
      </c>
      <c r="X63" s="6">
        <v>5052</v>
      </c>
      <c r="Y63" s="6">
        <v>5053</v>
      </c>
      <c r="Z63" s="6">
        <v>5049</v>
      </c>
      <c r="AA63" s="6">
        <v>5049</v>
      </c>
      <c r="AB63" s="6">
        <v>5049</v>
      </c>
      <c r="AC63" s="6">
        <v>5040</v>
      </c>
      <c r="AD63" s="6">
        <v>5050</v>
      </c>
      <c r="AE63" s="6">
        <v>5046</v>
      </c>
      <c r="AF63" s="8">
        <f t="shared" si="184"/>
        <v>5041.083333333333</v>
      </c>
      <c r="AG63" s="6">
        <f t="shared" si="143"/>
        <v>5045.25</v>
      </c>
      <c r="AJ63" s="3">
        <v>2009</v>
      </c>
      <c r="AK63" s="9">
        <f t="shared" si="130"/>
        <v>5.96678599840891</v>
      </c>
      <c r="AL63" s="9">
        <f t="shared" si="165"/>
        <v>4.8305219289541572</v>
      </c>
      <c r="AM63" s="9">
        <f t="shared" si="156"/>
        <v>4.518041237113402</v>
      </c>
      <c r="AN63" s="9">
        <f t="shared" si="166"/>
        <v>4.677438540840603</v>
      </c>
      <c r="AO63" s="9">
        <f t="shared" si="167"/>
        <v>5.6474663499604114</v>
      </c>
      <c r="AP63" s="9">
        <f t="shared" si="168"/>
        <v>7.1880071244805066</v>
      </c>
      <c r="AQ63" s="9">
        <f t="shared" si="175"/>
        <v>8.7706476530005943</v>
      </c>
      <c r="AR63" s="9">
        <f t="shared" si="176"/>
        <v>8.8815607050901164</v>
      </c>
      <c r="AS63" s="9">
        <f t="shared" si="177"/>
        <v>7.7042978807684692</v>
      </c>
      <c r="AT63" s="9">
        <f t="shared" si="178"/>
        <v>6.4795634920634919</v>
      </c>
      <c r="AU63" s="9">
        <f t="shared" si="179"/>
        <v>5.1734653465346536</v>
      </c>
      <c r="AV63" s="9">
        <f t="shared" si="180"/>
        <v>4.7526753864447091</v>
      </c>
      <c r="AW63" s="73">
        <f t="shared" si="154"/>
        <v>0.20421758150214925</v>
      </c>
    </row>
    <row r="64" spans="1:49" x14ac:dyDescent="0.25">
      <c r="A64" s="3">
        <v>2008</v>
      </c>
      <c r="B64" s="66">
        <v>30428</v>
      </c>
      <c r="C64" s="66">
        <v>24358</v>
      </c>
      <c r="D64" s="66">
        <v>25522</v>
      </c>
      <c r="E64" s="66">
        <v>24590</v>
      </c>
      <c r="F64" s="66">
        <v>24966</v>
      </c>
      <c r="G64" s="66">
        <v>36390</v>
      </c>
      <c r="H64" s="66">
        <v>42108</v>
      </c>
      <c r="I64" s="66">
        <v>47781</v>
      </c>
      <c r="J64" s="66">
        <v>49481</v>
      </c>
      <c r="K64" s="66">
        <v>36382</v>
      </c>
      <c r="L64" s="66">
        <v>27910</v>
      </c>
      <c r="M64" s="66">
        <v>24280</v>
      </c>
      <c r="N64" s="67">
        <f t="shared" si="182"/>
        <v>476459.3</v>
      </c>
      <c r="O64" s="115">
        <f t="shared" si="181"/>
        <v>394196</v>
      </c>
      <c r="P64" s="47"/>
      <c r="Q64" s="117"/>
      <c r="R64" s="151"/>
      <c r="S64" s="3">
        <v>2008</v>
      </c>
      <c r="T64" s="6">
        <v>5019</v>
      </c>
      <c r="U64" s="6">
        <v>5016</v>
      </c>
      <c r="V64" s="6">
        <v>5015</v>
      </c>
      <c r="W64" s="6">
        <v>5008</v>
      </c>
      <c r="X64" s="6">
        <v>5006</v>
      </c>
      <c r="Y64" s="6">
        <v>5018</v>
      </c>
      <c r="Z64" s="6">
        <v>5029</v>
      </c>
      <c r="AA64" s="6">
        <v>5031</v>
      </c>
      <c r="AB64" s="6">
        <v>5041</v>
      </c>
      <c r="AC64" s="6">
        <v>5048</v>
      </c>
      <c r="AD64" s="6">
        <v>5046</v>
      </c>
      <c r="AE64" s="6">
        <v>5038</v>
      </c>
      <c r="AF64" s="8">
        <f t="shared" si="184"/>
        <v>5006.5</v>
      </c>
      <c r="AG64" s="6">
        <f t="shared" si="143"/>
        <v>5026.25</v>
      </c>
      <c r="AJ64" s="3">
        <v>2008</v>
      </c>
      <c r="AK64" s="9">
        <f t="shared" si="130"/>
        <v>6.0625622633990837</v>
      </c>
      <c r="AL64" s="9">
        <f t="shared" si="165"/>
        <v>4.8560606060606064</v>
      </c>
      <c r="AM64" s="9">
        <f t="shared" si="156"/>
        <v>5.0891326021934198</v>
      </c>
      <c r="AN64" s="9">
        <f t="shared" si="166"/>
        <v>4.9101437699680508</v>
      </c>
      <c r="AO64" s="9">
        <f t="shared" si="167"/>
        <v>4.9872153415900922</v>
      </c>
      <c r="AP64" s="9">
        <f t="shared" si="168"/>
        <v>7.251893184535672</v>
      </c>
      <c r="AQ64" s="9">
        <f t="shared" si="175"/>
        <v>8.3730363889441239</v>
      </c>
      <c r="AR64" s="9">
        <f t="shared" si="176"/>
        <v>9.4973166368515205</v>
      </c>
      <c r="AS64" s="9">
        <f t="shared" si="177"/>
        <v>9.8157111684189644</v>
      </c>
      <c r="AT64" s="9">
        <f t="shared" si="178"/>
        <v>7.2072107765451667</v>
      </c>
      <c r="AU64" s="9">
        <f t="shared" si="179"/>
        <v>5.5311137534680936</v>
      </c>
      <c r="AV64" s="9">
        <f t="shared" si="180"/>
        <v>4.8193727669710205</v>
      </c>
      <c r="AW64" s="73">
        <f t="shared" si="154"/>
        <v>0.21464960782736706</v>
      </c>
    </row>
    <row r="65" spans="1:49" x14ac:dyDescent="0.25">
      <c r="A65" s="3">
        <v>2007</v>
      </c>
      <c r="B65" s="66"/>
      <c r="C65" s="66"/>
      <c r="D65" s="66"/>
      <c r="E65" s="66"/>
      <c r="F65" s="66"/>
      <c r="G65" s="66"/>
      <c r="H65" s="66">
        <v>53422.799999999996</v>
      </c>
      <c r="I65" s="66">
        <v>71966.87</v>
      </c>
      <c r="J65" s="66">
        <v>77366.069999999992</v>
      </c>
      <c r="K65" s="66">
        <v>50195.07</v>
      </c>
      <c r="L65" s="66">
        <v>31728.880000000001</v>
      </c>
      <c r="M65" s="66">
        <v>25525.61</v>
      </c>
      <c r="N65" s="67">
        <f t="shared" si="182"/>
        <v>0</v>
      </c>
      <c r="O65" s="115">
        <f t="shared" si="181"/>
        <v>310205.3</v>
      </c>
      <c r="P65" s="47"/>
      <c r="Q65" s="117"/>
      <c r="R65" s="151"/>
      <c r="S65" s="3">
        <v>2007</v>
      </c>
      <c r="T65" s="6">
        <v>4930</v>
      </c>
      <c r="U65" s="6">
        <v>4934</v>
      </c>
      <c r="V65" s="6">
        <v>4933</v>
      </c>
      <c r="W65" s="6">
        <v>4943</v>
      </c>
      <c r="X65" s="6">
        <v>4955</v>
      </c>
      <c r="Y65" s="6">
        <v>4971</v>
      </c>
      <c r="Z65" s="6">
        <v>4988</v>
      </c>
      <c r="AA65" s="6">
        <v>4988</v>
      </c>
      <c r="AB65" s="6">
        <v>5003</v>
      </c>
      <c r="AC65" s="6">
        <v>5006</v>
      </c>
      <c r="AD65" s="6">
        <v>5004</v>
      </c>
      <c r="AE65" s="6">
        <v>5007</v>
      </c>
      <c r="AF65" s="8"/>
      <c r="AG65" s="6">
        <f t="shared" si="143"/>
        <v>4971.833333333333</v>
      </c>
      <c r="AJ65" s="3">
        <v>2007</v>
      </c>
      <c r="AK65" s="9">
        <f t="shared" si="130"/>
        <v>0</v>
      </c>
      <c r="AL65" s="9">
        <f t="shared" si="165"/>
        <v>0</v>
      </c>
      <c r="AM65" s="9">
        <f t="shared" ref="AM65" si="185">E65/V65</f>
        <v>0</v>
      </c>
      <c r="AN65" s="9">
        <f t="shared" si="166"/>
        <v>0</v>
      </c>
      <c r="AO65" s="9">
        <f t="shared" si="167"/>
        <v>0</v>
      </c>
      <c r="AP65" s="9">
        <f t="shared" si="168"/>
        <v>0</v>
      </c>
      <c r="AQ65" s="9">
        <f t="shared" si="175"/>
        <v>10.710264635124297</v>
      </c>
      <c r="AR65" s="9">
        <f t="shared" si="176"/>
        <v>14.428001202886927</v>
      </c>
      <c r="AS65" s="9">
        <f t="shared" si="177"/>
        <v>15.463935638616828</v>
      </c>
      <c r="AT65" s="9">
        <f t="shared" si="178"/>
        <v>10.026981622053535</v>
      </c>
      <c r="AU65" s="9">
        <f t="shared" si="179"/>
        <v>6.3407034372502</v>
      </c>
      <c r="AV65" s="9">
        <f t="shared" si="180"/>
        <v>5.0979848212502494</v>
      </c>
      <c r="AW65" s="73">
        <f t="shared" si="154"/>
        <v>0.16993257045087484</v>
      </c>
    </row>
    <row r="66" spans="1:49" ht="15.75" thickBot="1" x14ac:dyDescent="0.3">
      <c r="N66" s="118"/>
      <c r="O66" s="118"/>
      <c r="AW66" s="81"/>
    </row>
    <row r="67" spans="1:49" ht="15.75" thickTop="1" x14ac:dyDescent="0.25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97">
        <f>SUM(N49:N53)/5</f>
        <v>486460.7968009605</v>
      </c>
      <c r="O67" s="97">
        <f>SUM(O49:O53)/5</f>
        <v>496329.85880096053</v>
      </c>
      <c r="P67" s="50"/>
      <c r="Q67" s="120"/>
      <c r="R67" s="153"/>
      <c r="AV67" s="3" t="s">
        <v>47</v>
      </c>
      <c r="AW67" s="44">
        <f>SUM(AW49:AW53)/5</f>
        <v>0.22099723285342993</v>
      </c>
    </row>
    <row r="68" spans="1:49" x14ac:dyDescent="0.25">
      <c r="A68" s="64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97"/>
      <c r="O68" s="97"/>
      <c r="P68" s="50"/>
      <c r="Q68" s="120"/>
      <c r="R68" s="153"/>
      <c r="AV68" s="63" t="s">
        <v>88</v>
      </c>
      <c r="AW68" s="80">
        <f>SUM(AW50:AW54)/5</f>
        <v>0.21935285934645629</v>
      </c>
    </row>
    <row r="69" spans="1:49" x14ac:dyDescent="0.25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97"/>
      <c r="O69" s="97"/>
      <c r="P69" s="50"/>
      <c r="Q69" s="120"/>
      <c r="R69" s="153"/>
      <c r="AV69" s="3" t="s">
        <v>48</v>
      </c>
      <c r="AW69" s="44">
        <f>SUM(AW49:AW58)/10</f>
        <v>0.21534825009337397</v>
      </c>
    </row>
    <row r="71" spans="1:49" ht="60" x14ac:dyDescent="0.25">
      <c r="A71" s="165" t="s">
        <v>18</v>
      </c>
      <c r="B71" s="111" t="s">
        <v>0</v>
      </c>
      <c r="C71" s="111" t="s">
        <v>1</v>
      </c>
      <c r="D71" s="111" t="s">
        <v>2</v>
      </c>
      <c r="E71" s="111" t="s">
        <v>3</v>
      </c>
      <c r="F71" s="111" t="s">
        <v>4</v>
      </c>
      <c r="G71" s="111" t="s">
        <v>5</v>
      </c>
      <c r="H71" s="111" t="s">
        <v>6</v>
      </c>
      <c r="I71" s="111" t="s">
        <v>7</v>
      </c>
      <c r="J71" s="111" t="s">
        <v>8</v>
      </c>
      <c r="K71" s="111" t="s">
        <v>9</v>
      </c>
      <c r="L71" s="111" t="s">
        <v>10</v>
      </c>
      <c r="M71" s="111" t="s">
        <v>11</v>
      </c>
      <c r="N71" s="112" t="s">
        <v>78</v>
      </c>
      <c r="O71" s="112" t="s">
        <v>77</v>
      </c>
      <c r="P71" s="139" t="s">
        <v>162</v>
      </c>
      <c r="Q71" s="140" t="s">
        <v>72</v>
      </c>
      <c r="R71" s="148"/>
      <c r="S71" s="165" t="s">
        <v>17</v>
      </c>
      <c r="T71" s="5" t="s">
        <v>0</v>
      </c>
      <c r="U71" s="5" t="s">
        <v>1</v>
      </c>
      <c r="V71" s="5" t="s">
        <v>2</v>
      </c>
      <c r="W71" s="5" t="s">
        <v>3</v>
      </c>
      <c r="X71" s="5" t="s">
        <v>4</v>
      </c>
      <c r="Y71" s="5" t="s">
        <v>5</v>
      </c>
      <c r="Z71" s="5" t="s">
        <v>6</v>
      </c>
      <c r="AA71" s="5" t="s">
        <v>7</v>
      </c>
      <c r="AB71" s="5" t="s">
        <v>8</v>
      </c>
      <c r="AC71" s="5" t="s">
        <v>9</v>
      </c>
      <c r="AD71" s="5" t="s">
        <v>10</v>
      </c>
      <c r="AE71" s="5" t="s">
        <v>11</v>
      </c>
      <c r="AF71" s="30" t="s">
        <v>164</v>
      </c>
      <c r="AG71" s="30" t="s">
        <v>167</v>
      </c>
      <c r="AJ71" s="165" t="s">
        <v>52</v>
      </c>
      <c r="AK71" s="5" t="s">
        <v>0</v>
      </c>
      <c r="AL71" s="5" t="s">
        <v>1</v>
      </c>
      <c r="AM71" s="5" t="s">
        <v>2</v>
      </c>
      <c r="AN71" s="5" t="s">
        <v>3</v>
      </c>
      <c r="AO71" s="5" t="s">
        <v>4</v>
      </c>
      <c r="AP71" s="5" t="s">
        <v>5</v>
      </c>
      <c r="AQ71" s="5" t="s">
        <v>6</v>
      </c>
      <c r="AR71" s="5" t="s">
        <v>7</v>
      </c>
      <c r="AS71" s="5" t="s">
        <v>8</v>
      </c>
      <c r="AT71" s="5" t="s">
        <v>9</v>
      </c>
      <c r="AU71" s="5" t="s">
        <v>10</v>
      </c>
      <c r="AV71" s="5" t="s">
        <v>11</v>
      </c>
      <c r="AW71" s="5" t="s">
        <v>49</v>
      </c>
    </row>
    <row r="72" spans="1:49" x14ac:dyDescent="0.25">
      <c r="A72" s="77">
        <v>2023</v>
      </c>
      <c r="B72" s="189">
        <v>26165.481</v>
      </c>
      <c r="C72" s="189">
        <v>23627.432999999997</v>
      </c>
      <c r="D72" s="189">
        <v>21573.374</v>
      </c>
      <c r="E72" s="189">
        <v>22093.932999999997</v>
      </c>
      <c r="F72" s="189">
        <v>27080.364000000001</v>
      </c>
      <c r="G72" s="189">
        <v>35479.835999999996</v>
      </c>
      <c r="H72" s="189">
        <v>34085.832999999999</v>
      </c>
      <c r="I72" s="189">
        <v>28755.093000000001</v>
      </c>
      <c r="J72" s="189">
        <v>37451.79</v>
      </c>
      <c r="K72" s="189">
        <v>27538.780999999999</v>
      </c>
      <c r="L72" s="189">
        <v>26268.662</v>
      </c>
      <c r="M72" s="189">
        <v>21605.696</v>
      </c>
      <c r="N72" s="97">
        <f t="shared" ref="N72:N77" si="186">SUM(B72:G72)+SUM(H73:M73)</f>
        <v>335311.74423494848</v>
      </c>
      <c r="O72" s="115">
        <f t="shared" ref="O72:O75" si="187">SUM(B72:M72)</f>
        <v>331726.27599999995</v>
      </c>
      <c r="P72" s="136">
        <f>SUM(O72:O76)</f>
        <v>1618283.3265645201</v>
      </c>
      <c r="Q72" s="138">
        <f t="shared" ref="Q72:Q77" si="188">P72/5</f>
        <v>323656.66531290405</v>
      </c>
      <c r="R72" s="148"/>
      <c r="S72" s="77">
        <v>2023</v>
      </c>
      <c r="T72" s="189">
        <v>6997</v>
      </c>
      <c r="U72" s="189">
        <v>7021</v>
      </c>
      <c r="V72" s="189">
        <v>7029</v>
      </c>
      <c r="W72" s="189">
        <v>7046</v>
      </c>
      <c r="X72" s="189">
        <v>7073</v>
      </c>
      <c r="Y72" s="189">
        <v>7078</v>
      </c>
      <c r="Z72" s="189">
        <v>7074</v>
      </c>
      <c r="AA72" s="189">
        <v>7065</v>
      </c>
      <c r="AB72" s="189">
        <v>7089</v>
      </c>
      <c r="AC72" s="189">
        <v>7094</v>
      </c>
      <c r="AD72" s="189">
        <v>7103</v>
      </c>
      <c r="AE72" s="189">
        <v>7090</v>
      </c>
      <c r="AF72" s="88">
        <f t="shared" ref="AF72:AF77" si="189">(SUM(T72:Y72)+SUM(Z73:AE73))/12</f>
        <v>7016.166666666667</v>
      </c>
      <c r="AG72" s="6">
        <f>SUM(T72:AE72)/12</f>
        <v>7063.25</v>
      </c>
      <c r="AJ72" s="77">
        <v>2023</v>
      </c>
      <c r="AK72" s="9">
        <f t="shared" ref="AK72:AK88" si="190">B72/T72</f>
        <v>3.7395285122195228</v>
      </c>
      <c r="AL72" s="9">
        <f t="shared" ref="AL72" si="191">C72/U72</f>
        <v>3.3652518159806291</v>
      </c>
      <c r="AM72" s="9">
        <f t="shared" ref="AM72" si="192">D72/V72</f>
        <v>3.069195333617869</v>
      </c>
      <c r="AN72" s="9">
        <f t="shared" ref="AN72" si="193">E72/W72</f>
        <v>3.1356703093954015</v>
      </c>
      <c r="AO72" s="9">
        <f t="shared" ref="AO72" si="194">F72/X72</f>
        <v>3.828695602997314</v>
      </c>
      <c r="AP72" s="9">
        <f t="shared" ref="AP72" si="195">G72/Y72</f>
        <v>5.0126922859564846</v>
      </c>
      <c r="AQ72" s="9">
        <f t="shared" ref="AQ72" si="196">H72/Z72</f>
        <v>4.8184666383941188</v>
      </c>
      <c r="AR72" s="9">
        <f t="shared" ref="AR72" si="197">I72/AA72</f>
        <v>4.070076857749469</v>
      </c>
      <c r="AS72" s="9">
        <f t="shared" ref="AS72" si="198">J72/AB72</f>
        <v>5.2830850613626748</v>
      </c>
      <c r="AT72" s="9">
        <f t="shared" ref="AT72" si="199">K72/AC72</f>
        <v>3.881982097547223</v>
      </c>
      <c r="AU72" s="9">
        <f t="shared" ref="AU72" si="200">L72/AD72</f>
        <v>3.6982489089117276</v>
      </c>
      <c r="AV72" s="9">
        <f t="shared" ref="AV72" si="201">M72/AE72</f>
        <v>3.0473478138222849</v>
      </c>
      <c r="AW72" s="90">
        <f>(SUM(AK72:AP72)+SUM(AQ72:AV72))/365.25</f>
        <v>0.12854275492937636</v>
      </c>
    </row>
    <row r="73" spans="1:49" x14ac:dyDescent="0.25">
      <c r="A73" s="61">
        <v>2022</v>
      </c>
      <c r="B73" s="190">
        <v>31454.756000000001</v>
      </c>
      <c r="C73" s="190">
        <v>17113.236000000001</v>
      </c>
      <c r="D73" s="190">
        <v>22065.267</v>
      </c>
      <c r="E73" s="190">
        <v>24477.345000000001</v>
      </c>
      <c r="F73" s="190">
        <v>22304.655000000002</v>
      </c>
      <c r="G73" s="190">
        <v>30586.036</v>
      </c>
      <c r="H73" s="190">
        <v>36301.657629256115</v>
      </c>
      <c r="I73" s="190">
        <v>30188.729605692428</v>
      </c>
      <c r="J73" s="190">
        <v>35168.195999999996</v>
      </c>
      <c r="K73" s="190">
        <v>29596.617999999999</v>
      </c>
      <c r="L73" s="190">
        <v>24280.617999999999</v>
      </c>
      <c r="M73" s="190">
        <v>23755.504000000001</v>
      </c>
      <c r="N73" s="97">
        <f t="shared" si="186"/>
        <v>324412.70032957144</v>
      </c>
      <c r="O73" s="115">
        <f t="shared" si="187"/>
        <v>327292.61823494855</v>
      </c>
      <c r="P73" s="136">
        <f t="shared" ref="P73:P83" si="202">SUM(O73:O77)</f>
        <v>1619416.75056452</v>
      </c>
      <c r="Q73" s="138">
        <f t="shared" si="188"/>
        <v>323883.35011290398</v>
      </c>
      <c r="R73" s="148"/>
      <c r="S73" s="61">
        <v>2022</v>
      </c>
      <c r="T73" s="190">
        <v>6943</v>
      </c>
      <c r="U73" s="190">
        <v>6947</v>
      </c>
      <c r="V73" s="190">
        <v>6966</v>
      </c>
      <c r="W73" s="190">
        <v>6950</v>
      </c>
      <c r="X73" s="190">
        <v>6971</v>
      </c>
      <c r="Y73" s="190">
        <v>6950</v>
      </c>
      <c r="Z73" s="190">
        <v>6955</v>
      </c>
      <c r="AA73" s="190">
        <v>6997</v>
      </c>
      <c r="AB73" s="190">
        <v>7000</v>
      </c>
      <c r="AC73" s="190">
        <v>6996</v>
      </c>
      <c r="AD73" s="190">
        <v>7001</v>
      </c>
      <c r="AE73" s="190">
        <v>7001</v>
      </c>
      <c r="AF73" s="88">
        <f t="shared" si="189"/>
        <v>6934.083333333333</v>
      </c>
      <c r="AG73" s="6">
        <f t="shared" ref="AG73:AG88" si="203">SUM(T73:AE73)/12</f>
        <v>6973.083333333333</v>
      </c>
      <c r="AJ73" s="61">
        <v>2022</v>
      </c>
      <c r="AK73" s="9">
        <f t="shared" si="190"/>
        <v>4.5304271928561146</v>
      </c>
      <c r="AL73" s="9">
        <f t="shared" ref="AL73" si="204">C73/U73</f>
        <v>2.4633994530012955</v>
      </c>
      <c r="AM73" s="9">
        <f t="shared" ref="AM73" si="205">D73/V73</f>
        <v>3.1675663221360897</v>
      </c>
      <c r="AN73" s="9">
        <f t="shared" ref="AN73" si="206">E73/W73</f>
        <v>3.5219201438848922</v>
      </c>
      <c r="AO73" s="9">
        <f t="shared" ref="AO73" si="207">F73/X73</f>
        <v>3.1996349160809068</v>
      </c>
      <c r="AP73" s="9">
        <f t="shared" ref="AP73" si="208">G73/Y73</f>
        <v>4.4008684892086327</v>
      </c>
      <c r="AQ73" s="9">
        <f t="shared" ref="AQ73" si="209">H73/Z73</f>
        <v>5.2195050509354584</v>
      </c>
      <c r="AR73" s="9">
        <f t="shared" ref="AR73" si="210">I73/AA73</f>
        <v>4.3145247399874842</v>
      </c>
      <c r="AS73" s="9">
        <f t="shared" ref="AS73" si="211">J73/AB73</f>
        <v>5.0240279999999995</v>
      </c>
      <c r="AT73" s="9">
        <f t="shared" ref="AT73" si="212">K73/AC73</f>
        <v>4.2305057175528873</v>
      </c>
      <c r="AU73" s="9">
        <f t="shared" ref="AU73" si="213">L73/AD73</f>
        <v>3.46816426224825</v>
      </c>
      <c r="AV73" s="9">
        <f t="shared" ref="AV73" si="214">M73/AE73</f>
        <v>3.3931586916154837</v>
      </c>
      <c r="AW73" s="90">
        <f t="shared" ref="AW73:AW88" si="215">(SUM(AK73:AP73)+SUM(AQ73:AV73))/365.25</f>
        <v>0.12849747564546887</v>
      </c>
    </row>
    <row r="74" spans="1:49" x14ac:dyDescent="0.25">
      <c r="A74" s="61">
        <v>2021</v>
      </c>
      <c r="B74" s="190">
        <v>26318.896000000001</v>
      </c>
      <c r="C74" s="190">
        <v>22228.58</v>
      </c>
      <c r="D74" s="190">
        <v>23308.06</v>
      </c>
      <c r="E74" s="190">
        <v>27445.316000000003</v>
      </c>
      <c r="F74" s="190">
        <v>22359.648000000001</v>
      </c>
      <c r="G74" s="190">
        <v>27369.561000000005</v>
      </c>
      <c r="H74" s="190">
        <v>35285.245000000003</v>
      </c>
      <c r="I74" s="190">
        <v>29483.268999999993</v>
      </c>
      <c r="J74" s="190">
        <v>35065.627999999997</v>
      </c>
      <c r="K74" s="190">
        <v>28177.208999999995</v>
      </c>
      <c r="L74" s="190">
        <v>23802.671999999999</v>
      </c>
      <c r="M74" s="190">
        <v>24597.382329571468</v>
      </c>
      <c r="N74" s="97">
        <f t="shared" si="186"/>
        <v>321961.31599999999</v>
      </c>
      <c r="O74" s="115">
        <f t="shared" si="187"/>
        <v>325441.4663295715</v>
      </c>
      <c r="P74" s="136">
        <f t="shared" si="202"/>
        <v>1620548.9543295715</v>
      </c>
      <c r="Q74" s="138">
        <f t="shared" si="188"/>
        <v>324109.79086591431</v>
      </c>
      <c r="R74" s="148"/>
      <c r="S74" s="61">
        <v>2021</v>
      </c>
      <c r="T74" s="190">
        <v>6880</v>
      </c>
      <c r="U74" s="190">
        <v>6896</v>
      </c>
      <c r="V74" s="190">
        <v>6902</v>
      </c>
      <c r="W74" s="190">
        <v>6903</v>
      </c>
      <c r="X74" s="190">
        <v>6898</v>
      </c>
      <c r="Y74" s="190">
        <v>6885</v>
      </c>
      <c r="Z74" s="190">
        <v>6883</v>
      </c>
      <c r="AA74" s="190">
        <v>6908</v>
      </c>
      <c r="AB74" s="190">
        <v>6920</v>
      </c>
      <c r="AC74" s="190">
        <v>6919</v>
      </c>
      <c r="AD74" s="190">
        <v>6927</v>
      </c>
      <c r="AE74" s="190">
        <v>6925</v>
      </c>
      <c r="AF74" s="88">
        <f t="shared" si="189"/>
        <v>6888</v>
      </c>
      <c r="AG74" s="6">
        <f t="shared" si="203"/>
        <v>6903.833333333333</v>
      </c>
      <c r="AJ74" s="61">
        <v>2021</v>
      </c>
      <c r="AK74" s="9">
        <f t="shared" si="190"/>
        <v>3.8254209302325584</v>
      </c>
      <c r="AL74" s="9">
        <f t="shared" ref="AL74" si="216">C74/U74</f>
        <v>3.2234019721577729</v>
      </c>
      <c r="AM74" s="9">
        <f t="shared" ref="AM74" si="217">D74/V74</f>
        <v>3.3770008693132429</v>
      </c>
      <c r="AN74" s="9">
        <f t="shared" ref="AN74" si="218">E74/W74</f>
        <v>3.9758533970737364</v>
      </c>
      <c r="AO74" s="9">
        <f t="shared" ref="AO74" si="219">F74/X74</f>
        <v>3.24146825166715</v>
      </c>
      <c r="AP74" s="9">
        <f t="shared" ref="AP74" si="220">G74/Y74</f>
        <v>3.9752448801742926</v>
      </c>
      <c r="AQ74" s="9">
        <f t="shared" ref="AQ74" si="221">H74/Z74</f>
        <v>5.1264339677466229</v>
      </c>
      <c r="AR74" s="9">
        <f t="shared" ref="AR74" si="222">I74/AA74</f>
        <v>4.2679891430225814</v>
      </c>
      <c r="AS74" s="9">
        <f t="shared" ref="AS74" si="223">J74/AB74</f>
        <v>5.0672872832369942</v>
      </c>
      <c r="AT74" s="9">
        <f t="shared" ref="AT74" si="224">K74/AC74</f>
        <v>4.0724395143806902</v>
      </c>
      <c r="AU74" s="9">
        <f t="shared" ref="AU74" si="225">L74/AD74</f>
        <v>3.4362165439584236</v>
      </c>
      <c r="AV74" s="9">
        <f t="shared" ref="AV74" si="226">M74/AE74</f>
        <v>3.5519685674471435</v>
      </c>
      <c r="AW74" s="90">
        <f t="shared" si="215"/>
        <v>0.12906427192446601</v>
      </c>
    </row>
    <row r="75" spans="1:49" x14ac:dyDescent="0.25">
      <c r="A75" s="61">
        <v>2020</v>
      </c>
      <c r="B75" s="190">
        <v>25603.531999999999</v>
      </c>
      <c r="C75" s="190">
        <v>23362.589</v>
      </c>
      <c r="D75" s="190">
        <v>23860.096000000001</v>
      </c>
      <c r="E75" s="190">
        <v>24018.517</v>
      </c>
      <c r="F75" s="190">
        <v>24473.216</v>
      </c>
      <c r="G75" s="190">
        <v>29299.361000000001</v>
      </c>
      <c r="H75" s="190">
        <v>35757.934000000001</v>
      </c>
      <c r="I75" s="190">
        <v>30438.101999999999</v>
      </c>
      <c r="J75" s="190">
        <v>30655.142</v>
      </c>
      <c r="K75" s="190">
        <v>29002.476999999999</v>
      </c>
      <c r="L75" s="190">
        <v>24018.276999999998</v>
      </c>
      <c r="M75" s="190">
        <v>23059.323</v>
      </c>
      <c r="N75" s="97">
        <f t="shared" si="186"/>
        <v>314316.81099999999</v>
      </c>
      <c r="O75" s="115">
        <f t="shared" si="187"/>
        <v>323548.56599999999</v>
      </c>
      <c r="P75" s="136">
        <f t="shared" si="202"/>
        <v>1633417.0719999999</v>
      </c>
      <c r="Q75" s="138">
        <f t="shared" si="188"/>
        <v>326683.41440000001</v>
      </c>
      <c r="R75" s="148"/>
      <c r="S75" s="61">
        <v>2020</v>
      </c>
      <c r="T75" s="190">
        <v>6866</v>
      </c>
      <c r="U75" s="190">
        <v>6854</v>
      </c>
      <c r="V75" s="190">
        <v>6873</v>
      </c>
      <c r="W75" s="190">
        <v>6871</v>
      </c>
      <c r="X75" s="190">
        <v>6865</v>
      </c>
      <c r="Y75" s="190">
        <v>6875</v>
      </c>
      <c r="Z75" s="190">
        <v>6874</v>
      </c>
      <c r="AA75" s="190">
        <v>6894</v>
      </c>
      <c r="AB75" s="190">
        <v>6876</v>
      </c>
      <c r="AC75" s="190">
        <v>6865</v>
      </c>
      <c r="AD75" s="190">
        <v>6898</v>
      </c>
      <c r="AE75" s="190">
        <v>6885</v>
      </c>
      <c r="AF75" s="88">
        <f t="shared" si="189"/>
        <v>6858.666666666667</v>
      </c>
      <c r="AG75" s="6">
        <f t="shared" si="203"/>
        <v>6874.666666666667</v>
      </c>
      <c r="AJ75" s="61">
        <v>2020</v>
      </c>
      <c r="AK75" s="9">
        <f t="shared" si="190"/>
        <v>3.7290317506554032</v>
      </c>
      <c r="AL75" s="9">
        <f t="shared" ref="AL75:AL88" si="227">C75/U75</f>
        <v>3.4086065071491101</v>
      </c>
      <c r="AM75" s="79">
        <f t="shared" ref="AM75:AM88" si="228">D75/V75</f>
        <v>3.4715693292594212</v>
      </c>
      <c r="AN75" s="79">
        <f t="shared" ref="AN75:AN88" si="229">E75/W75</f>
        <v>3.4956362974821715</v>
      </c>
      <c r="AO75" s="79">
        <f t="shared" ref="AO75:AO88" si="230">F75/X75</f>
        <v>3.5649258557902406</v>
      </c>
      <c r="AP75" s="79">
        <f t="shared" ref="AP75:AP88" si="231">G75/Y75</f>
        <v>4.2617252363636364</v>
      </c>
      <c r="AQ75" s="79">
        <f t="shared" ref="AQ75" si="232">H75/Z75</f>
        <v>5.2019106779167883</v>
      </c>
      <c r="AR75" s="79">
        <f t="shared" ref="AR75" si="233">I75/AA75</f>
        <v>4.4151583986074847</v>
      </c>
      <c r="AS75" s="79">
        <f t="shared" ref="AS75" si="234">J75/AB75</f>
        <v>4.4582812681791735</v>
      </c>
      <c r="AT75" s="79">
        <f t="shared" ref="AT75" si="235">K75/AC75</f>
        <v>4.2246871085214854</v>
      </c>
      <c r="AU75" s="79">
        <f t="shared" ref="AU75" si="236">L75/AD75</f>
        <v>3.4819189620179758</v>
      </c>
      <c r="AV75" s="79">
        <f t="shared" ref="AV75" si="237">M75/AE75</f>
        <v>3.3492117647058826</v>
      </c>
      <c r="AW75" s="90">
        <f t="shared" si="215"/>
        <v>0.12885054936796378</v>
      </c>
    </row>
    <row r="76" spans="1:49" x14ac:dyDescent="0.25">
      <c r="A76" s="61">
        <v>2019</v>
      </c>
      <c r="B76" s="125">
        <v>25532.5</v>
      </c>
      <c r="C76" s="125">
        <v>23277</v>
      </c>
      <c r="D76" s="125">
        <v>23410.799999999999</v>
      </c>
      <c r="E76" s="125">
        <v>23553.200000000001</v>
      </c>
      <c r="F76" s="125">
        <v>25971.7</v>
      </c>
      <c r="G76" s="125">
        <v>24829.7</v>
      </c>
      <c r="H76" s="190">
        <v>29847.1</v>
      </c>
      <c r="I76" s="190">
        <v>26953</v>
      </c>
      <c r="J76" s="190">
        <v>32078.7</v>
      </c>
      <c r="K76" s="190">
        <v>27425.200000000001</v>
      </c>
      <c r="L76" s="190">
        <v>23892.5</v>
      </c>
      <c r="M76" s="190">
        <v>23503</v>
      </c>
      <c r="N76" s="97">
        <f t="shared" si="186"/>
        <v>320193.80000000005</v>
      </c>
      <c r="O76" s="115">
        <f>SUM(B76:M76)</f>
        <v>310274.40000000002</v>
      </c>
      <c r="P76" s="136">
        <f t="shared" si="202"/>
        <v>1645152.42</v>
      </c>
      <c r="Q76" s="138">
        <f t="shared" si="188"/>
        <v>329030.484</v>
      </c>
      <c r="R76" s="108"/>
      <c r="S76" s="61">
        <v>2019</v>
      </c>
      <c r="T76" s="35">
        <v>6785</v>
      </c>
      <c r="U76" s="35">
        <v>6793</v>
      </c>
      <c r="V76" s="35">
        <v>6802</v>
      </c>
      <c r="W76" s="35">
        <v>6823</v>
      </c>
      <c r="X76" s="35">
        <v>6794</v>
      </c>
      <c r="Y76" s="35">
        <v>6765</v>
      </c>
      <c r="Z76" s="35">
        <v>6805</v>
      </c>
      <c r="AA76" s="35">
        <v>6863</v>
      </c>
      <c r="AB76" s="35">
        <v>6870</v>
      </c>
      <c r="AC76" s="35">
        <v>6859</v>
      </c>
      <c r="AD76" s="35">
        <v>6861</v>
      </c>
      <c r="AE76" s="35">
        <v>6842</v>
      </c>
      <c r="AF76" s="8">
        <f t="shared" si="189"/>
        <v>6789.583333333333</v>
      </c>
      <c r="AG76" s="6">
        <f t="shared" si="203"/>
        <v>6821.833333333333</v>
      </c>
      <c r="AJ76" s="61">
        <v>2019</v>
      </c>
      <c r="AK76" s="9">
        <f t="shared" si="190"/>
        <v>3.7630803242446573</v>
      </c>
      <c r="AL76" s="9">
        <f t="shared" si="227"/>
        <v>3.4266156337406155</v>
      </c>
      <c r="AM76" s="9">
        <f t="shared" si="228"/>
        <v>3.4417524257571301</v>
      </c>
      <c r="AN76" s="9">
        <f t="shared" si="229"/>
        <v>3.4520298988714644</v>
      </c>
      <c r="AO76" s="9">
        <f t="shared" si="230"/>
        <v>3.8227406535178101</v>
      </c>
      <c r="AP76" s="9">
        <f t="shared" si="231"/>
        <v>3.6703178122690319</v>
      </c>
      <c r="AQ76" s="11">
        <f t="shared" ref="AQ76:AQ88" si="238">H76/Z76</f>
        <v>4.3860543717854519</v>
      </c>
      <c r="AR76" s="11">
        <f t="shared" ref="AR76:AR88" si="239">I76/AA76</f>
        <v>3.9272912720384672</v>
      </c>
      <c r="AS76" s="11">
        <f t="shared" ref="AS76:AS88" si="240">J76/AB76</f>
        <v>4.6693886462882102</v>
      </c>
      <c r="AT76" s="11">
        <f t="shared" ref="AT76:AT88" si="241">K76/AC76</f>
        <v>3.998425426447004</v>
      </c>
      <c r="AU76" s="11">
        <f t="shared" ref="AU76:AU88" si="242">L76/AD76</f>
        <v>3.4823640868678036</v>
      </c>
      <c r="AV76" s="11">
        <f t="shared" ref="AV76:AV88" si="243">M76/AE76</f>
        <v>3.4351066939491375</v>
      </c>
      <c r="AW76" s="90">
        <f t="shared" si="215"/>
        <v>0.12450422243881393</v>
      </c>
    </row>
    <row r="77" spans="1:49" x14ac:dyDescent="0.25">
      <c r="A77" s="61">
        <v>2018</v>
      </c>
      <c r="B77" s="125">
        <v>27413.4</v>
      </c>
      <c r="C77" s="125">
        <v>23085.3</v>
      </c>
      <c r="D77" s="125">
        <v>23019.9</v>
      </c>
      <c r="E77" s="125">
        <v>24270</v>
      </c>
      <c r="F77" s="125">
        <v>28706.7</v>
      </c>
      <c r="G77" s="125">
        <v>32745.5</v>
      </c>
      <c r="H77" s="125">
        <v>33643</v>
      </c>
      <c r="I77" s="125">
        <v>32288.5</v>
      </c>
      <c r="J77" s="125">
        <v>31577.1</v>
      </c>
      <c r="K77" s="125">
        <v>27217.1</v>
      </c>
      <c r="L77" s="125">
        <v>24233.1</v>
      </c>
      <c r="M77" s="125">
        <v>24660.1</v>
      </c>
      <c r="N77" s="67">
        <f t="shared" si="186"/>
        <v>333517.02399999998</v>
      </c>
      <c r="O77" s="115">
        <f t="shared" ref="O77:O88" si="244">SUM(B77:M77)</f>
        <v>332859.69999999995</v>
      </c>
      <c r="P77" s="136">
        <f t="shared" si="202"/>
        <v>1675635.4040000001</v>
      </c>
      <c r="Q77" s="138">
        <f t="shared" si="188"/>
        <v>335127.0808</v>
      </c>
      <c r="R77" s="148"/>
      <c r="S77" s="61">
        <v>2018</v>
      </c>
      <c r="T77" s="35">
        <v>6809</v>
      </c>
      <c r="U77" s="35">
        <v>6806</v>
      </c>
      <c r="V77" s="35">
        <v>6834</v>
      </c>
      <c r="W77" s="35">
        <v>6827</v>
      </c>
      <c r="X77" s="35">
        <v>6800</v>
      </c>
      <c r="Y77" s="35">
        <v>6767</v>
      </c>
      <c r="Z77" s="35">
        <v>6772</v>
      </c>
      <c r="AA77" s="35">
        <v>6784</v>
      </c>
      <c r="AB77" s="35">
        <v>6782</v>
      </c>
      <c r="AC77" s="35">
        <v>6795</v>
      </c>
      <c r="AD77" s="35">
        <v>6795</v>
      </c>
      <c r="AE77" s="35">
        <v>6785</v>
      </c>
      <c r="AF77" s="8">
        <f t="shared" si="189"/>
        <v>6803.333333333333</v>
      </c>
      <c r="AG77" s="6">
        <f t="shared" si="203"/>
        <v>6796.333333333333</v>
      </c>
      <c r="AJ77" s="61">
        <v>2018</v>
      </c>
      <c r="AK77" s="9">
        <f t="shared" si="190"/>
        <v>4.0260537523865478</v>
      </c>
      <c r="AL77" s="9">
        <f t="shared" si="227"/>
        <v>3.3919042021745516</v>
      </c>
      <c r="AM77" s="9">
        <f t="shared" si="228"/>
        <v>3.3684372256365234</v>
      </c>
      <c r="AN77" s="9">
        <f t="shared" si="229"/>
        <v>3.5550021971583421</v>
      </c>
      <c r="AO77" s="9">
        <f t="shared" si="230"/>
        <v>4.2215735294117644</v>
      </c>
      <c r="AP77" s="9">
        <f t="shared" si="231"/>
        <v>4.8389980789123692</v>
      </c>
      <c r="AQ77" s="11">
        <f t="shared" si="238"/>
        <v>4.9679562906083872</v>
      </c>
      <c r="AR77" s="11">
        <f t="shared" si="239"/>
        <v>4.7595076650943398</v>
      </c>
      <c r="AS77" s="11">
        <f t="shared" si="240"/>
        <v>4.6560159245060451</v>
      </c>
      <c r="AT77" s="11">
        <f t="shared" si="241"/>
        <v>4.0054598969830755</v>
      </c>
      <c r="AU77" s="11">
        <f t="shared" si="242"/>
        <v>3.5663134657836641</v>
      </c>
      <c r="AV77" s="11">
        <f t="shared" si="243"/>
        <v>3.6345025792188648</v>
      </c>
      <c r="AW77" s="90">
        <f t="shared" si="215"/>
        <v>0.13413203232819843</v>
      </c>
    </row>
    <row r="78" spans="1:49" x14ac:dyDescent="0.25">
      <c r="A78" s="3">
        <v>2017</v>
      </c>
      <c r="B78" s="124">
        <v>25880.468000000001</v>
      </c>
      <c r="C78" s="124">
        <v>23051.536</v>
      </c>
      <c r="D78" s="124">
        <v>24381.26</v>
      </c>
      <c r="E78" s="124">
        <v>24747.64</v>
      </c>
      <c r="F78" s="124">
        <v>25464.912</v>
      </c>
      <c r="G78" s="124">
        <v>30622.781999999999</v>
      </c>
      <c r="H78" s="125">
        <v>32321.08</v>
      </c>
      <c r="I78" s="125">
        <v>31481.076000000001</v>
      </c>
      <c r="J78" s="125">
        <v>32379.423999999999</v>
      </c>
      <c r="K78" s="125">
        <v>29144.524000000001</v>
      </c>
      <c r="L78" s="125">
        <v>25378.639999999999</v>
      </c>
      <c r="M78" s="125">
        <v>23571.48</v>
      </c>
      <c r="N78" s="67">
        <f>SUM(B78:G78)+SUM(H79:M79)</f>
        <v>332537.26599999995</v>
      </c>
      <c r="O78" s="115">
        <f t="shared" si="244"/>
        <v>328424.82199999999</v>
      </c>
      <c r="P78" s="136">
        <f t="shared" si="202"/>
        <v>1695268.94521</v>
      </c>
      <c r="Q78" s="138">
        <f>P78/5</f>
        <v>339053.78904200002</v>
      </c>
      <c r="R78" s="151"/>
      <c r="S78" s="3">
        <v>2017</v>
      </c>
      <c r="T78" s="6">
        <v>6769</v>
      </c>
      <c r="U78" s="6">
        <v>6763</v>
      </c>
      <c r="V78" s="6">
        <v>6805</v>
      </c>
      <c r="W78" s="6">
        <v>6804</v>
      </c>
      <c r="X78" s="6">
        <v>6789</v>
      </c>
      <c r="Y78" s="6">
        <v>6773</v>
      </c>
      <c r="Z78" s="6">
        <v>6772</v>
      </c>
      <c r="AA78" s="6">
        <v>6806</v>
      </c>
      <c r="AB78" s="6">
        <v>6796</v>
      </c>
      <c r="AC78" s="6">
        <v>6822</v>
      </c>
      <c r="AD78" s="6">
        <v>6805</v>
      </c>
      <c r="AE78" s="6">
        <v>6796</v>
      </c>
      <c r="AF78" s="8">
        <f>(SUM(T78:Y78)+SUM(Z79:AE79))/12</f>
        <v>6759.583333333333</v>
      </c>
      <c r="AG78" s="6">
        <f t="shared" si="203"/>
        <v>6791.666666666667</v>
      </c>
      <c r="AJ78" s="3">
        <v>2017</v>
      </c>
      <c r="AK78" s="9">
        <f t="shared" si="190"/>
        <v>3.8233812970896737</v>
      </c>
      <c r="AL78" s="9">
        <f t="shared" si="227"/>
        <v>3.4084778944255509</v>
      </c>
      <c r="AM78" s="9">
        <f t="shared" si="228"/>
        <v>3.5828449669360762</v>
      </c>
      <c r="AN78" s="9">
        <f t="shared" si="229"/>
        <v>3.6372192827748382</v>
      </c>
      <c r="AO78" s="9">
        <f t="shared" si="230"/>
        <v>3.750907644719399</v>
      </c>
      <c r="AP78" s="9">
        <f t="shared" si="231"/>
        <v>4.5213025247305474</v>
      </c>
      <c r="AQ78" s="11">
        <f t="shared" si="238"/>
        <v>4.772752510336681</v>
      </c>
      <c r="AR78" s="11">
        <f t="shared" si="239"/>
        <v>4.6254886864531297</v>
      </c>
      <c r="AS78" s="11">
        <f t="shared" si="240"/>
        <v>4.7644826368452033</v>
      </c>
      <c r="AT78" s="11">
        <f t="shared" si="241"/>
        <v>4.2721377895045443</v>
      </c>
      <c r="AU78" s="11">
        <f t="shared" si="242"/>
        <v>3.7294107274063188</v>
      </c>
      <c r="AV78" s="11">
        <f t="shared" si="243"/>
        <v>3.4684343731606826</v>
      </c>
      <c r="AW78" s="90">
        <f t="shared" si="215"/>
        <v>0.13239381337271086</v>
      </c>
    </row>
    <row r="79" spans="1:49" x14ac:dyDescent="0.25">
      <c r="A79" s="3">
        <v>2016</v>
      </c>
      <c r="B79" s="66">
        <v>27286.572</v>
      </c>
      <c r="C79" s="66">
        <v>24517.063999999998</v>
      </c>
      <c r="D79" s="66">
        <v>24944.82</v>
      </c>
      <c r="E79" s="66">
        <v>25573.356</v>
      </c>
      <c r="F79" s="66">
        <v>26503.968000000001</v>
      </c>
      <c r="G79" s="66">
        <v>31095.135999999999</v>
      </c>
      <c r="H79" s="66">
        <v>34890.728000000003</v>
      </c>
      <c r="I79" s="66">
        <v>30643.344000000001</v>
      </c>
      <c r="J79" s="66">
        <v>32598.511999999999</v>
      </c>
      <c r="K79" s="66">
        <v>29069.4</v>
      </c>
      <c r="L79" s="66">
        <v>26384.876</v>
      </c>
      <c r="M79" s="66">
        <v>24801.808000000001</v>
      </c>
      <c r="N79" s="67">
        <f t="shared" ref="N79:N88" si="245">SUM(B79:G79)+SUM(H80:M80)</f>
        <v>341819.00199999998</v>
      </c>
      <c r="O79" s="115">
        <f t="shared" si="244"/>
        <v>338309.58400000003</v>
      </c>
      <c r="P79" s="136">
        <f t="shared" si="202"/>
        <v>1753273.1232099999</v>
      </c>
      <c r="Q79" s="138">
        <f t="shared" ref="Q79:Q83" si="246">P79/5</f>
        <v>350654.62464199995</v>
      </c>
      <c r="R79" s="151"/>
      <c r="S79" s="3">
        <v>2016</v>
      </c>
      <c r="T79" s="6">
        <v>6665</v>
      </c>
      <c r="U79" s="6">
        <v>6674</v>
      </c>
      <c r="V79" s="6">
        <v>6664</v>
      </c>
      <c r="W79" s="6">
        <v>6678</v>
      </c>
      <c r="X79" s="6">
        <v>6643</v>
      </c>
      <c r="Y79" s="6">
        <v>6633</v>
      </c>
      <c r="Z79" s="6">
        <v>6661</v>
      </c>
      <c r="AA79" s="6">
        <v>6730</v>
      </c>
      <c r="AB79" s="6">
        <v>6751</v>
      </c>
      <c r="AC79" s="6">
        <v>6754</v>
      </c>
      <c r="AD79" s="6">
        <v>6756</v>
      </c>
      <c r="AE79" s="6">
        <v>6760</v>
      </c>
      <c r="AF79" s="8">
        <f t="shared" ref="AF79:AF87" si="247">(SUM(T79:Y79)+SUM(Z80:AE80))/12</f>
        <v>6652</v>
      </c>
      <c r="AG79" s="6">
        <f t="shared" si="203"/>
        <v>6697.416666666667</v>
      </c>
      <c r="AJ79" s="3">
        <v>2016</v>
      </c>
      <c r="AK79" s="9">
        <f t="shared" si="190"/>
        <v>4.0940093023255812</v>
      </c>
      <c r="AL79" s="9">
        <f t="shared" si="227"/>
        <v>3.6735187293976623</v>
      </c>
      <c r="AM79" s="9">
        <f t="shared" si="228"/>
        <v>3.7432202881152459</v>
      </c>
      <c r="AN79" s="9">
        <f t="shared" si="229"/>
        <v>3.8294932614555255</v>
      </c>
      <c r="AO79" s="9">
        <f t="shared" si="230"/>
        <v>3.9897588438958302</v>
      </c>
      <c r="AP79" s="9">
        <f t="shared" si="231"/>
        <v>4.6879445198251171</v>
      </c>
      <c r="AQ79" s="11">
        <f t="shared" si="238"/>
        <v>5.238061552319472</v>
      </c>
      <c r="AR79" s="11">
        <f t="shared" si="239"/>
        <v>4.5532457652303124</v>
      </c>
      <c r="AS79" s="11">
        <f t="shared" si="240"/>
        <v>4.8286938231373124</v>
      </c>
      <c r="AT79" s="11">
        <f t="shared" si="241"/>
        <v>4.3040272431151916</v>
      </c>
      <c r="AU79" s="11">
        <f t="shared" si="242"/>
        <v>3.9053990526939018</v>
      </c>
      <c r="AV79" s="11">
        <f t="shared" si="243"/>
        <v>3.66890650887574</v>
      </c>
      <c r="AW79" s="90">
        <f t="shared" si="215"/>
        <v>0.13830603392303048</v>
      </c>
    </row>
    <row r="80" spans="1:49" x14ac:dyDescent="0.25">
      <c r="A80" s="3">
        <v>2015</v>
      </c>
      <c r="B80" s="66">
        <v>26365.504000000001</v>
      </c>
      <c r="C80" s="66">
        <v>24427.436000000002</v>
      </c>
      <c r="D80" s="66">
        <v>25251.749</v>
      </c>
      <c r="E80" s="66">
        <v>25817.22</v>
      </c>
      <c r="F80" s="66">
        <v>25155.867999999999</v>
      </c>
      <c r="G80" s="66">
        <v>26368.050999999999</v>
      </c>
      <c r="H80" s="66">
        <v>28590.804</v>
      </c>
      <c r="I80" s="66">
        <v>31558.867999999999</v>
      </c>
      <c r="J80" s="66">
        <v>37939.682000000001</v>
      </c>
      <c r="K80" s="66">
        <v>33852.983999999997</v>
      </c>
      <c r="L80" s="66">
        <v>28019</v>
      </c>
      <c r="M80" s="66">
        <v>21936.748</v>
      </c>
      <c r="N80" s="67">
        <f t="shared" si="245"/>
        <v>330412.74400000001</v>
      </c>
      <c r="O80" s="115">
        <f t="shared" si="244"/>
        <v>335283.91399999999</v>
      </c>
      <c r="P80" s="136">
        <f t="shared" si="202"/>
        <v>1764146.5392100001</v>
      </c>
      <c r="Q80" s="138">
        <f t="shared" si="246"/>
        <v>352829.30784200004</v>
      </c>
      <c r="R80" s="151"/>
      <c r="S80" s="3">
        <v>2015</v>
      </c>
      <c r="T80" s="6">
        <v>6666</v>
      </c>
      <c r="U80" s="6">
        <v>6667</v>
      </c>
      <c r="V80" s="6">
        <v>6681</v>
      </c>
      <c r="W80" s="6">
        <v>6677</v>
      </c>
      <c r="X80" s="6">
        <v>6584</v>
      </c>
      <c r="Y80" s="6">
        <v>6544</v>
      </c>
      <c r="Z80" s="6">
        <v>6577</v>
      </c>
      <c r="AA80" s="6">
        <v>6637</v>
      </c>
      <c r="AB80" s="6">
        <v>6644</v>
      </c>
      <c r="AC80" s="6">
        <v>6659</v>
      </c>
      <c r="AD80" s="6">
        <v>6683</v>
      </c>
      <c r="AE80" s="6">
        <v>6667</v>
      </c>
      <c r="AF80" s="8">
        <f t="shared" si="247"/>
        <v>6624.583333333333</v>
      </c>
      <c r="AG80" s="6">
        <f t="shared" si="203"/>
        <v>6640.5</v>
      </c>
      <c r="AJ80" s="3">
        <v>2015</v>
      </c>
      <c r="AK80" s="9">
        <f t="shared" si="190"/>
        <v>3.9552211221122113</v>
      </c>
      <c r="AL80" s="9">
        <f t="shared" si="227"/>
        <v>3.6639322033898307</v>
      </c>
      <c r="AM80" s="9">
        <f t="shared" si="228"/>
        <v>3.7796361323155216</v>
      </c>
      <c r="AN80" s="9">
        <f t="shared" si="229"/>
        <v>3.8665897858319607</v>
      </c>
      <c r="AO80" s="9">
        <f t="shared" si="230"/>
        <v>3.820757594167679</v>
      </c>
      <c r="AP80" s="9">
        <f t="shared" si="231"/>
        <v>4.0293476466992661</v>
      </c>
      <c r="AQ80" s="11">
        <f t="shared" si="238"/>
        <v>4.347088946328113</v>
      </c>
      <c r="AR80" s="11">
        <f t="shared" si="239"/>
        <v>4.7549899050775952</v>
      </c>
      <c r="AS80" s="11">
        <f t="shared" si="240"/>
        <v>5.7103675496688746</v>
      </c>
      <c r="AT80" s="11">
        <f t="shared" si="241"/>
        <v>5.0837939630575155</v>
      </c>
      <c r="AU80" s="11">
        <f t="shared" si="242"/>
        <v>4.1925781834505464</v>
      </c>
      <c r="AV80" s="11">
        <f t="shared" si="243"/>
        <v>3.2903476826158693</v>
      </c>
      <c r="AW80" s="90">
        <f t="shared" si="215"/>
        <v>0.13824681920524295</v>
      </c>
    </row>
    <row r="81" spans="1:49" x14ac:dyDescent="0.25">
      <c r="A81" s="3">
        <v>2014</v>
      </c>
      <c r="B81" s="66">
        <v>28464.392</v>
      </c>
      <c r="C81" s="66">
        <v>26272.752</v>
      </c>
      <c r="D81" s="66">
        <v>26001.975999999999</v>
      </c>
      <c r="E81" s="66">
        <v>25946.624</v>
      </c>
      <c r="F81" s="66">
        <v>29005.944</v>
      </c>
      <c r="G81" s="66">
        <v>28038.78</v>
      </c>
      <c r="H81" s="66">
        <v>31554.38</v>
      </c>
      <c r="I81" s="66">
        <v>33031.68</v>
      </c>
      <c r="J81" s="66">
        <v>32117.624</v>
      </c>
      <c r="K81" s="66">
        <v>29186.959999999999</v>
      </c>
      <c r="L81" s="66">
        <v>25548.687999999998</v>
      </c>
      <c r="M81" s="66">
        <v>25587.583999999999</v>
      </c>
      <c r="N81" s="67">
        <f t="shared" si="245"/>
        <v>360132.08600000001</v>
      </c>
      <c r="O81" s="115">
        <f t="shared" si="244"/>
        <v>340757.38400000002</v>
      </c>
      <c r="P81" s="136">
        <f t="shared" si="202"/>
        <v>1765143.62521</v>
      </c>
      <c r="Q81" s="138">
        <f t="shared" si="246"/>
        <v>353028.72504200001</v>
      </c>
      <c r="R81" s="151"/>
      <c r="S81" s="3">
        <v>2014</v>
      </c>
      <c r="T81" s="6">
        <v>6667</v>
      </c>
      <c r="U81" s="6">
        <v>6683</v>
      </c>
      <c r="V81" s="6">
        <v>6653</v>
      </c>
      <c r="W81" s="6">
        <v>6640</v>
      </c>
      <c r="X81" s="6">
        <v>6573</v>
      </c>
      <c r="Y81" s="6">
        <v>6538</v>
      </c>
      <c r="Z81" s="6">
        <v>6567</v>
      </c>
      <c r="AA81" s="6">
        <v>6618</v>
      </c>
      <c r="AB81" s="6">
        <v>6595</v>
      </c>
      <c r="AC81" s="6">
        <v>6621</v>
      </c>
      <c r="AD81" s="6">
        <v>6631</v>
      </c>
      <c r="AE81" s="6">
        <v>6644</v>
      </c>
      <c r="AF81" s="8">
        <f t="shared" si="247"/>
        <v>6646.5</v>
      </c>
      <c r="AG81" s="6">
        <f t="shared" si="203"/>
        <v>6619.166666666667</v>
      </c>
      <c r="AJ81" s="3">
        <v>2014</v>
      </c>
      <c r="AK81" s="9">
        <f t="shared" si="190"/>
        <v>4.2694453277336128</v>
      </c>
      <c r="AL81" s="9">
        <f t="shared" si="227"/>
        <v>3.9312811611551699</v>
      </c>
      <c r="AM81" s="9">
        <f t="shared" si="228"/>
        <v>3.9083084322861863</v>
      </c>
      <c r="AN81" s="9">
        <f t="shared" si="229"/>
        <v>3.907624096385542</v>
      </c>
      <c r="AO81" s="9">
        <f t="shared" si="230"/>
        <v>4.4128927430397082</v>
      </c>
      <c r="AP81" s="9">
        <f t="shared" si="231"/>
        <v>4.2885867237687361</v>
      </c>
      <c r="AQ81" s="11">
        <f t="shared" si="238"/>
        <v>4.8049916247906204</v>
      </c>
      <c r="AR81" s="11">
        <f t="shared" si="239"/>
        <v>4.9911876699909339</v>
      </c>
      <c r="AS81" s="11">
        <f t="shared" si="240"/>
        <v>4.8699960576194083</v>
      </c>
      <c r="AT81" s="11">
        <f t="shared" si="241"/>
        <v>4.4082404470623775</v>
      </c>
      <c r="AU81" s="11">
        <f t="shared" si="242"/>
        <v>3.85291630221686</v>
      </c>
      <c r="AV81" s="11">
        <f t="shared" si="243"/>
        <v>3.85123178807947</v>
      </c>
      <c r="AW81" s="90">
        <f t="shared" si="215"/>
        <v>0.14099028712971562</v>
      </c>
    </row>
    <row r="82" spans="1:49" x14ac:dyDescent="0.25">
      <c r="A82" s="3">
        <v>2013</v>
      </c>
      <c r="B82" s="66">
        <v>26146</v>
      </c>
      <c r="C82" s="66">
        <v>26316</v>
      </c>
      <c r="D82" s="66">
        <v>23872</v>
      </c>
      <c r="E82" s="66">
        <v>24407</v>
      </c>
      <c r="F82" s="66">
        <v>26856.31121</v>
      </c>
      <c r="G82" s="66">
        <v>28494.312000000002</v>
      </c>
      <c r="H82" s="66">
        <v>35909.983999999997</v>
      </c>
      <c r="I82" s="66">
        <v>38046.271999999997</v>
      </c>
      <c r="J82" s="66">
        <v>39213.152000000002</v>
      </c>
      <c r="K82" s="66">
        <v>30594.7</v>
      </c>
      <c r="L82" s="66">
        <v>27777.73</v>
      </c>
      <c r="M82" s="66">
        <v>24859.78</v>
      </c>
      <c r="N82" s="67">
        <f t="shared" si="245"/>
        <v>373371.62320999999</v>
      </c>
      <c r="O82" s="115">
        <f t="shared" si="244"/>
        <v>352493.24121000001</v>
      </c>
      <c r="P82" s="136">
        <f t="shared" si="202"/>
        <v>1744933.2412100001</v>
      </c>
      <c r="Q82" s="138">
        <f t="shared" si="246"/>
        <v>348986.64824200002</v>
      </c>
      <c r="R82" s="151"/>
      <c r="S82" s="3">
        <v>2013</v>
      </c>
      <c r="T82" s="6">
        <v>6535</v>
      </c>
      <c r="U82" s="6">
        <v>6548</v>
      </c>
      <c r="V82" s="6">
        <v>6551</v>
      </c>
      <c r="W82" s="6">
        <v>6552</v>
      </c>
      <c r="X82" s="6">
        <v>6346</v>
      </c>
      <c r="Y82" s="6">
        <v>6500</v>
      </c>
      <c r="Z82" s="6">
        <v>6866</v>
      </c>
      <c r="AA82" s="6">
        <v>6599</v>
      </c>
      <c r="AB82" s="6">
        <v>6626</v>
      </c>
      <c r="AC82" s="6">
        <v>6646</v>
      </c>
      <c r="AD82" s="6">
        <v>6641</v>
      </c>
      <c r="AE82" s="6">
        <v>6626</v>
      </c>
      <c r="AF82" s="8">
        <f t="shared" si="247"/>
        <v>6507</v>
      </c>
      <c r="AG82" s="6">
        <f t="shared" si="203"/>
        <v>6586.333333333333</v>
      </c>
      <c r="AJ82" s="3">
        <v>2013</v>
      </c>
      <c r="AK82" s="9">
        <f t="shared" si="190"/>
        <v>4.0009181331293036</v>
      </c>
      <c r="AL82" s="9">
        <f t="shared" si="227"/>
        <v>4.0189370800244353</v>
      </c>
      <c r="AM82" s="9">
        <f t="shared" si="228"/>
        <v>3.6440238131582965</v>
      </c>
      <c r="AN82" s="9">
        <f t="shared" si="229"/>
        <v>3.7251221001221002</v>
      </c>
      <c r="AO82" s="9">
        <f t="shared" si="230"/>
        <v>4.232006178695241</v>
      </c>
      <c r="AP82" s="9">
        <f t="shared" si="231"/>
        <v>4.3837403076923076</v>
      </c>
      <c r="AQ82" s="11">
        <f t="shared" si="238"/>
        <v>5.230117098747451</v>
      </c>
      <c r="AR82" s="11">
        <f t="shared" si="239"/>
        <v>5.7654602212456432</v>
      </c>
      <c r="AS82" s="11">
        <f t="shared" si="240"/>
        <v>5.9180730455780264</v>
      </c>
      <c r="AT82" s="11">
        <f t="shared" si="241"/>
        <v>4.6034757749021971</v>
      </c>
      <c r="AU82" s="11">
        <f t="shared" si="242"/>
        <v>4.1827631380816142</v>
      </c>
      <c r="AV82" s="11">
        <f t="shared" si="243"/>
        <v>3.7518533051614851</v>
      </c>
      <c r="AW82" s="90">
        <f t="shared" si="215"/>
        <v>0.1463558937619113</v>
      </c>
    </row>
    <row r="83" spans="1:49" x14ac:dyDescent="0.25">
      <c r="A83" s="3">
        <v>2012</v>
      </c>
      <c r="B83" s="66">
        <v>26383</v>
      </c>
      <c r="C83" s="66">
        <v>24849</v>
      </c>
      <c r="D83" s="66">
        <v>25044</v>
      </c>
      <c r="E83" s="66">
        <v>26081</v>
      </c>
      <c r="F83" s="66">
        <v>27234</v>
      </c>
      <c r="G83" s="66">
        <v>39558</v>
      </c>
      <c r="H83" s="66">
        <v>47192</v>
      </c>
      <c r="I83" s="66">
        <v>47810</v>
      </c>
      <c r="J83" s="66">
        <v>39023</v>
      </c>
      <c r="K83" s="66">
        <v>29178</v>
      </c>
      <c r="L83" s="66">
        <v>28388</v>
      </c>
      <c r="M83" s="66">
        <v>25689</v>
      </c>
      <c r="N83" s="67">
        <f t="shared" si="245"/>
        <v>360072</v>
      </c>
      <c r="O83" s="115">
        <f t="shared" si="244"/>
        <v>386429</v>
      </c>
      <c r="P83" s="136">
        <f t="shared" si="202"/>
        <v>1731732</v>
      </c>
      <c r="Q83" s="138">
        <f t="shared" si="246"/>
        <v>346346.4</v>
      </c>
      <c r="R83" s="151"/>
      <c r="S83" s="3">
        <v>2012</v>
      </c>
      <c r="T83" s="6">
        <v>6452</v>
      </c>
      <c r="U83" s="6">
        <v>6463</v>
      </c>
      <c r="V83" s="6">
        <v>6473</v>
      </c>
      <c r="W83" s="6">
        <v>6474</v>
      </c>
      <c r="X83" s="6">
        <v>6432</v>
      </c>
      <c r="Y83" s="6">
        <v>6392</v>
      </c>
      <c r="Z83" s="6">
        <v>6390</v>
      </c>
      <c r="AA83" s="6">
        <v>6509</v>
      </c>
      <c r="AB83" s="6">
        <v>6523</v>
      </c>
      <c r="AC83" s="6">
        <v>6552</v>
      </c>
      <c r="AD83" s="6">
        <v>6552</v>
      </c>
      <c r="AE83" s="6">
        <v>6526</v>
      </c>
      <c r="AF83" s="8">
        <f t="shared" si="247"/>
        <v>6448.916666666667</v>
      </c>
      <c r="AG83" s="6">
        <f t="shared" si="203"/>
        <v>6478.166666666667</v>
      </c>
      <c r="AJ83" s="3">
        <v>2012</v>
      </c>
      <c r="AK83" s="9">
        <f t="shared" si="190"/>
        <v>4.0891196528208305</v>
      </c>
      <c r="AL83" s="9">
        <f t="shared" si="227"/>
        <v>3.8448089122698437</v>
      </c>
      <c r="AM83" s="9">
        <f t="shared" si="228"/>
        <v>3.8689942839487101</v>
      </c>
      <c r="AN83" s="9">
        <f t="shared" si="229"/>
        <v>4.0285758418288538</v>
      </c>
      <c r="AO83" s="9">
        <f t="shared" si="230"/>
        <v>4.2341417910447765</v>
      </c>
      <c r="AP83" s="9">
        <f t="shared" si="231"/>
        <v>6.188673341677096</v>
      </c>
      <c r="AQ83" s="11">
        <f t="shared" si="238"/>
        <v>7.3852895148669795</v>
      </c>
      <c r="AR83" s="11">
        <f t="shared" si="239"/>
        <v>7.345214318635735</v>
      </c>
      <c r="AS83" s="11">
        <f t="shared" si="240"/>
        <v>5.9823700751188102</v>
      </c>
      <c r="AT83" s="11">
        <f t="shared" si="241"/>
        <v>4.4532967032967035</v>
      </c>
      <c r="AU83" s="11">
        <f t="shared" si="242"/>
        <v>4.3327228327228324</v>
      </c>
      <c r="AV83" s="11">
        <f t="shared" si="243"/>
        <v>3.9364082133006435</v>
      </c>
      <c r="AW83" s="90">
        <f t="shared" si="215"/>
        <v>0.16342126072972435</v>
      </c>
    </row>
    <row r="84" spans="1:49" x14ac:dyDescent="0.25">
      <c r="A84" s="3">
        <v>2011</v>
      </c>
      <c r="B84" s="66">
        <v>26838</v>
      </c>
      <c r="C84" s="66">
        <v>25690</v>
      </c>
      <c r="D84" s="66">
        <v>25209</v>
      </c>
      <c r="E84" s="66">
        <v>25815</v>
      </c>
      <c r="F84" s="66">
        <v>25219</v>
      </c>
      <c r="G84" s="66">
        <v>29489</v>
      </c>
      <c r="H84" s="66">
        <v>34250</v>
      </c>
      <c r="I84" s="66">
        <v>35763</v>
      </c>
      <c r="J84" s="66">
        <v>33994</v>
      </c>
      <c r="K84" s="66">
        <v>33683</v>
      </c>
      <c r="L84" s="66">
        <v>27790</v>
      </c>
      <c r="M84" s="66">
        <v>25443</v>
      </c>
      <c r="N84" s="67">
        <f t="shared" si="245"/>
        <v>337359</v>
      </c>
      <c r="O84" s="115">
        <f t="shared" si="244"/>
        <v>349183</v>
      </c>
      <c r="P84" s="47"/>
      <c r="Q84" s="117"/>
      <c r="R84" s="151"/>
      <c r="S84" s="3">
        <v>2011</v>
      </c>
      <c r="T84" s="6">
        <v>6405</v>
      </c>
      <c r="U84" s="6">
        <v>6410</v>
      </c>
      <c r="V84" s="6">
        <v>6401</v>
      </c>
      <c r="W84" s="6">
        <v>6416</v>
      </c>
      <c r="X84" s="6">
        <v>6391</v>
      </c>
      <c r="Y84" s="6">
        <v>6330</v>
      </c>
      <c r="Z84" s="6">
        <v>6371</v>
      </c>
      <c r="AA84" s="6">
        <v>6465</v>
      </c>
      <c r="AB84" s="6">
        <v>6468</v>
      </c>
      <c r="AC84" s="6">
        <v>6481</v>
      </c>
      <c r="AD84" s="6">
        <v>6465</v>
      </c>
      <c r="AE84" s="6">
        <v>6451</v>
      </c>
      <c r="AF84" s="8">
        <f t="shared" si="247"/>
        <v>6392.083333333333</v>
      </c>
      <c r="AG84" s="6">
        <f t="shared" si="203"/>
        <v>6421.166666666667</v>
      </c>
      <c r="AJ84" s="3">
        <v>2011</v>
      </c>
      <c r="AK84" s="9">
        <f t="shared" si="190"/>
        <v>4.1901639344262298</v>
      </c>
      <c r="AL84" s="9">
        <f t="shared" si="227"/>
        <v>4.0078003120124803</v>
      </c>
      <c r="AM84" s="9">
        <f t="shared" si="228"/>
        <v>3.9382908920481174</v>
      </c>
      <c r="AN84" s="9">
        <f t="shared" si="229"/>
        <v>4.0235349127182047</v>
      </c>
      <c r="AO84" s="9">
        <f t="shared" si="230"/>
        <v>3.9460178375841028</v>
      </c>
      <c r="AP84" s="9">
        <f t="shared" si="231"/>
        <v>4.6586097946287524</v>
      </c>
      <c r="AQ84" s="11">
        <f t="shared" si="238"/>
        <v>5.3759221472296339</v>
      </c>
      <c r="AR84" s="11">
        <f t="shared" si="239"/>
        <v>5.5317865429234336</v>
      </c>
      <c r="AS84" s="11">
        <f t="shared" si="240"/>
        <v>5.2557204700061844</v>
      </c>
      <c r="AT84" s="11">
        <f t="shared" si="241"/>
        <v>5.1971917913902175</v>
      </c>
      <c r="AU84" s="11">
        <f t="shared" si="242"/>
        <v>4.2985305491105956</v>
      </c>
      <c r="AV84" s="11">
        <f t="shared" si="243"/>
        <v>3.9440396837699581</v>
      </c>
      <c r="AW84" s="90">
        <f t="shared" si="215"/>
        <v>0.14885040073332761</v>
      </c>
    </row>
    <row r="85" spans="1:49" x14ac:dyDescent="0.25">
      <c r="A85" s="3">
        <v>2010</v>
      </c>
      <c r="B85" s="66">
        <v>29358</v>
      </c>
      <c r="C85" s="66">
        <v>24142</v>
      </c>
      <c r="D85" s="66">
        <v>24949</v>
      </c>
      <c r="E85" s="66">
        <v>27329</v>
      </c>
      <c r="F85" s="66">
        <v>25410</v>
      </c>
      <c r="G85" s="66">
        <v>25994</v>
      </c>
      <c r="H85" s="66">
        <v>30538</v>
      </c>
      <c r="I85" s="66">
        <v>31403</v>
      </c>
      <c r="J85" s="66">
        <v>34717</v>
      </c>
      <c r="K85" s="66">
        <v>29040</v>
      </c>
      <c r="L85" s="66">
        <v>27456</v>
      </c>
      <c r="M85" s="66">
        <v>25945</v>
      </c>
      <c r="N85" s="67">
        <f t="shared" si="245"/>
        <v>323881</v>
      </c>
      <c r="O85" s="115">
        <f t="shared" si="244"/>
        <v>336281</v>
      </c>
      <c r="P85" s="47"/>
      <c r="Q85" s="117"/>
      <c r="R85" s="151"/>
      <c r="S85" s="3">
        <v>2010</v>
      </c>
      <c r="T85" s="6">
        <v>6318</v>
      </c>
      <c r="U85" s="6">
        <v>6320</v>
      </c>
      <c r="V85" s="6">
        <v>6340</v>
      </c>
      <c r="W85" s="6">
        <v>6364</v>
      </c>
      <c r="X85" s="6">
        <v>6318</v>
      </c>
      <c r="Y85" s="6">
        <v>6288</v>
      </c>
      <c r="Z85" s="6">
        <v>6318</v>
      </c>
      <c r="AA85" s="6">
        <v>6398</v>
      </c>
      <c r="AB85" s="6">
        <v>6409</v>
      </c>
      <c r="AC85" s="6">
        <v>6415</v>
      </c>
      <c r="AD85" s="6">
        <v>6423</v>
      </c>
      <c r="AE85" s="6">
        <v>6389</v>
      </c>
      <c r="AF85" s="8">
        <f t="shared" si="247"/>
        <v>6300.083333333333</v>
      </c>
      <c r="AG85" s="6">
        <f t="shared" si="203"/>
        <v>6358.333333333333</v>
      </c>
      <c r="AJ85" s="3">
        <v>2010</v>
      </c>
      <c r="AK85" s="9">
        <f t="shared" si="190"/>
        <v>4.6467236467236468</v>
      </c>
      <c r="AL85" s="9">
        <f t="shared" si="227"/>
        <v>3.8199367088607596</v>
      </c>
      <c r="AM85" s="9">
        <f t="shared" si="228"/>
        <v>3.9351735015772871</v>
      </c>
      <c r="AN85" s="9">
        <f t="shared" si="229"/>
        <v>4.2943117536140791</v>
      </c>
      <c r="AO85" s="9">
        <f t="shared" si="230"/>
        <v>4.0218423551756883</v>
      </c>
      <c r="AP85" s="9">
        <f t="shared" si="231"/>
        <v>4.1339058524173025</v>
      </c>
      <c r="AQ85" s="11">
        <f t="shared" si="238"/>
        <v>4.8334916112693893</v>
      </c>
      <c r="AR85" s="11">
        <f t="shared" si="239"/>
        <v>4.9082525789309157</v>
      </c>
      <c r="AS85" s="11">
        <f t="shared" si="240"/>
        <v>5.4169137150881577</v>
      </c>
      <c r="AT85" s="11">
        <f t="shared" si="241"/>
        <v>4.5268901013250193</v>
      </c>
      <c r="AU85" s="11">
        <f t="shared" si="242"/>
        <v>4.2746380196170017</v>
      </c>
      <c r="AV85" s="11">
        <f t="shared" si="243"/>
        <v>4.0608858976365632</v>
      </c>
      <c r="AW85" s="90">
        <f t="shared" si="215"/>
        <v>0.14475829087538894</v>
      </c>
    </row>
    <row r="86" spans="1:49" x14ac:dyDescent="0.25">
      <c r="A86" s="3">
        <v>2009</v>
      </c>
      <c r="B86" s="66">
        <v>27872</v>
      </c>
      <c r="C86" s="66">
        <v>26193</v>
      </c>
      <c r="D86" s="66">
        <v>22668</v>
      </c>
      <c r="E86" s="66">
        <v>21933</v>
      </c>
      <c r="F86" s="66">
        <v>28930</v>
      </c>
      <c r="G86" s="66">
        <v>26252</v>
      </c>
      <c r="H86" s="66">
        <v>30312</v>
      </c>
      <c r="I86" s="66">
        <v>29090</v>
      </c>
      <c r="J86" s="66">
        <v>29870</v>
      </c>
      <c r="K86" s="66">
        <v>27097</v>
      </c>
      <c r="L86" s="66">
        <v>25345</v>
      </c>
      <c r="M86" s="66">
        <v>24985</v>
      </c>
      <c r="N86" s="67">
        <f t="shared" si="245"/>
        <v>333792</v>
      </c>
      <c r="O86" s="115">
        <f t="shared" si="244"/>
        <v>320547</v>
      </c>
      <c r="P86" s="47"/>
      <c r="Q86" s="117"/>
      <c r="R86" s="151"/>
      <c r="S86" s="3">
        <v>2009</v>
      </c>
      <c r="T86" s="6">
        <v>6193</v>
      </c>
      <c r="U86" s="6">
        <v>6194</v>
      </c>
      <c r="V86" s="6">
        <v>6206</v>
      </c>
      <c r="W86" s="6">
        <v>6218</v>
      </c>
      <c r="X86" s="6">
        <v>6167</v>
      </c>
      <c r="Y86" s="6">
        <v>6137</v>
      </c>
      <c r="Z86" s="6">
        <v>6148</v>
      </c>
      <c r="AA86" s="6">
        <v>6272</v>
      </c>
      <c r="AB86" s="6">
        <v>6286</v>
      </c>
      <c r="AC86" s="6">
        <v>6311</v>
      </c>
      <c r="AD86" s="6">
        <v>6327</v>
      </c>
      <c r="AE86" s="6">
        <v>6309</v>
      </c>
      <c r="AF86" s="8">
        <f t="shared" si="247"/>
        <v>6203.5</v>
      </c>
      <c r="AG86" s="6">
        <f t="shared" si="203"/>
        <v>6230.666666666667</v>
      </c>
      <c r="AJ86" s="3">
        <v>2009</v>
      </c>
      <c r="AK86" s="9">
        <f t="shared" si="190"/>
        <v>4.5005651542063623</v>
      </c>
      <c r="AL86" s="9">
        <f t="shared" si="227"/>
        <v>4.2287697772037456</v>
      </c>
      <c r="AM86" s="9">
        <f t="shared" si="228"/>
        <v>3.6525942636158555</v>
      </c>
      <c r="AN86" s="9">
        <f t="shared" si="229"/>
        <v>3.52733998070119</v>
      </c>
      <c r="AO86" s="9">
        <f t="shared" si="230"/>
        <v>4.6910977784984595</v>
      </c>
      <c r="AP86" s="9">
        <f t="shared" si="231"/>
        <v>4.2776600945087173</v>
      </c>
      <c r="AQ86" s="11">
        <f t="shared" si="238"/>
        <v>4.9303838646714375</v>
      </c>
      <c r="AR86" s="11">
        <f t="shared" si="239"/>
        <v>4.6380739795918364</v>
      </c>
      <c r="AS86" s="11">
        <f t="shared" si="240"/>
        <v>4.7518294622971684</v>
      </c>
      <c r="AT86" s="11">
        <f t="shared" si="241"/>
        <v>4.2936143241958487</v>
      </c>
      <c r="AU86" s="11">
        <f t="shared" si="242"/>
        <v>4.0058479532163744</v>
      </c>
      <c r="AV86" s="11">
        <f t="shared" si="243"/>
        <v>3.9602155650657789</v>
      </c>
      <c r="AW86" s="90">
        <f t="shared" si="215"/>
        <v>0.14088430444290972</v>
      </c>
    </row>
    <row r="87" spans="1:49" x14ac:dyDescent="0.25">
      <c r="A87" s="3">
        <v>2008</v>
      </c>
      <c r="B87" s="66">
        <v>30668</v>
      </c>
      <c r="C87" s="66">
        <v>25718</v>
      </c>
      <c r="D87" s="66">
        <v>26644</v>
      </c>
      <c r="E87" s="66">
        <v>23577</v>
      </c>
      <c r="F87" s="66">
        <v>25238</v>
      </c>
      <c r="G87" s="66">
        <v>27503</v>
      </c>
      <c r="H87" s="66">
        <v>29095</v>
      </c>
      <c r="I87" s="66">
        <v>37581</v>
      </c>
      <c r="J87" s="66">
        <v>31152</v>
      </c>
      <c r="K87" s="66">
        <v>31235</v>
      </c>
      <c r="L87" s="66">
        <v>26691</v>
      </c>
      <c r="M87" s="66">
        <v>24190</v>
      </c>
      <c r="N87" s="67">
        <f t="shared" si="245"/>
        <v>365611.22</v>
      </c>
      <c r="O87" s="115">
        <f t="shared" si="244"/>
        <v>339292</v>
      </c>
      <c r="P87" s="47"/>
      <c r="Q87" s="117"/>
      <c r="R87" s="151"/>
      <c r="S87" s="3">
        <v>2008</v>
      </c>
      <c r="T87" s="6">
        <v>6241</v>
      </c>
      <c r="U87" s="6">
        <v>6245</v>
      </c>
      <c r="V87" s="6">
        <v>6232</v>
      </c>
      <c r="W87" s="6">
        <v>6207</v>
      </c>
      <c r="X87" s="6">
        <v>6124</v>
      </c>
      <c r="Y87" s="6">
        <v>6143</v>
      </c>
      <c r="Z87" s="6">
        <v>6141</v>
      </c>
      <c r="AA87" s="6">
        <v>6265</v>
      </c>
      <c r="AB87" s="6">
        <v>6258</v>
      </c>
      <c r="AC87" s="6">
        <v>6241</v>
      </c>
      <c r="AD87" s="6">
        <v>6221</v>
      </c>
      <c r="AE87" s="6">
        <v>6201</v>
      </c>
      <c r="AF87" s="8">
        <f t="shared" si="247"/>
        <v>6207.333333333333</v>
      </c>
      <c r="AG87" s="6">
        <f t="shared" si="203"/>
        <v>6209.916666666667</v>
      </c>
      <c r="AJ87" s="3">
        <v>2008</v>
      </c>
      <c r="AK87" s="9">
        <f t="shared" si="190"/>
        <v>4.9139560967793621</v>
      </c>
      <c r="AL87" s="9">
        <f t="shared" si="227"/>
        <v>4.1181745396317053</v>
      </c>
      <c r="AM87" s="9">
        <f t="shared" si="228"/>
        <v>4.2753530166880616</v>
      </c>
      <c r="AN87" s="9">
        <f t="shared" si="229"/>
        <v>3.7984533591106815</v>
      </c>
      <c r="AO87" s="9">
        <f t="shared" si="230"/>
        <v>4.1211626387981708</v>
      </c>
      <c r="AP87" s="9">
        <f t="shared" si="231"/>
        <v>4.4771284388735149</v>
      </c>
      <c r="AQ87" s="11">
        <f t="shared" si="238"/>
        <v>4.737827715355805</v>
      </c>
      <c r="AR87" s="11">
        <f t="shared" si="239"/>
        <v>5.9985634477254592</v>
      </c>
      <c r="AS87" s="11">
        <f t="shared" si="240"/>
        <v>4.9779482262703736</v>
      </c>
      <c r="AT87" s="11">
        <f t="shared" si="241"/>
        <v>5.0048069219676332</v>
      </c>
      <c r="AU87" s="11">
        <f t="shared" si="242"/>
        <v>4.290467770454911</v>
      </c>
      <c r="AV87" s="11">
        <f t="shared" si="243"/>
        <v>3.9009837123044671</v>
      </c>
      <c r="AW87" s="90">
        <f t="shared" si="215"/>
        <v>0.14952724403548295</v>
      </c>
    </row>
    <row r="88" spans="1:49" x14ac:dyDescent="0.25">
      <c r="A88" s="3">
        <v>2007</v>
      </c>
      <c r="B88" s="66"/>
      <c r="C88" s="66"/>
      <c r="D88" s="66"/>
      <c r="E88" s="66"/>
      <c r="F88" s="66"/>
      <c r="G88" s="66"/>
      <c r="H88" s="66">
        <v>36647.51</v>
      </c>
      <c r="I88" s="66">
        <v>41417.26</v>
      </c>
      <c r="J88" s="66">
        <v>40433.880000000005</v>
      </c>
      <c r="K88" s="66">
        <v>33185.660000000003</v>
      </c>
      <c r="L88" s="66">
        <v>29743.809999999998</v>
      </c>
      <c r="M88" s="66">
        <v>24835.1</v>
      </c>
      <c r="N88" s="67">
        <f t="shared" si="245"/>
        <v>0</v>
      </c>
      <c r="O88" s="115">
        <f t="shared" si="244"/>
        <v>206263.22</v>
      </c>
      <c r="P88" s="47"/>
      <c r="Q88" s="117"/>
      <c r="R88" s="151"/>
      <c r="S88" s="3">
        <v>2007</v>
      </c>
      <c r="T88" s="6">
        <v>6132</v>
      </c>
      <c r="U88" s="6">
        <v>6135</v>
      </c>
      <c r="V88" s="6">
        <v>6156</v>
      </c>
      <c r="W88" s="6">
        <v>6177</v>
      </c>
      <c r="X88" s="6">
        <v>6139</v>
      </c>
      <c r="Y88" s="6">
        <v>6096</v>
      </c>
      <c r="Z88" s="6">
        <v>6106</v>
      </c>
      <c r="AA88" s="6">
        <v>6234</v>
      </c>
      <c r="AB88" s="6">
        <v>6252</v>
      </c>
      <c r="AC88" s="6">
        <v>6231</v>
      </c>
      <c r="AD88" s="6">
        <v>6249</v>
      </c>
      <c r="AE88" s="6">
        <v>6224</v>
      </c>
      <c r="AF88" s="8"/>
      <c r="AG88" s="6">
        <f t="shared" si="203"/>
        <v>6177.583333333333</v>
      </c>
      <c r="AJ88" s="3">
        <v>2007</v>
      </c>
      <c r="AK88" s="9">
        <f t="shared" si="190"/>
        <v>0</v>
      </c>
      <c r="AL88" s="9">
        <f t="shared" si="227"/>
        <v>0</v>
      </c>
      <c r="AM88" s="9">
        <f t="shared" si="228"/>
        <v>0</v>
      </c>
      <c r="AN88" s="9">
        <f t="shared" si="229"/>
        <v>0</v>
      </c>
      <c r="AO88" s="9">
        <f t="shared" si="230"/>
        <v>0</v>
      </c>
      <c r="AP88" s="9">
        <f t="shared" si="231"/>
        <v>0</v>
      </c>
      <c r="AQ88" s="11">
        <f t="shared" si="238"/>
        <v>6.0018850311169345</v>
      </c>
      <c r="AR88" s="11">
        <f t="shared" si="239"/>
        <v>6.6437696503047805</v>
      </c>
      <c r="AS88" s="11">
        <f t="shared" si="240"/>
        <v>6.4673512476007682</v>
      </c>
      <c r="AT88" s="11">
        <f t="shared" si="241"/>
        <v>5.3258963248274762</v>
      </c>
      <c r="AU88" s="11">
        <f t="shared" si="242"/>
        <v>4.7597711633861417</v>
      </c>
      <c r="AV88" s="11">
        <f t="shared" si="243"/>
        <v>3.9902152956298198</v>
      </c>
      <c r="AW88" s="90">
        <f t="shared" si="215"/>
        <v>9.0866225086559671E-2</v>
      </c>
    </row>
    <row r="89" spans="1:49" ht="15.75" thickBot="1" x14ac:dyDescent="0.3">
      <c r="N89" s="118"/>
      <c r="O89" s="118"/>
      <c r="AW89" s="90"/>
    </row>
    <row r="90" spans="1:49" ht="15.75" thickTop="1" x14ac:dyDescent="0.25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97">
        <f>SUM(N72:N76)/5</f>
        <v>323239.27431290399</v>
      </c>
      <c r="O90" s="97">
        <f>SUM(O72:O76)/5</f>
        <v>323656.66531290405</v>
      </c>
      <c r="P90" s="50"/>
      <c r="Q90" s="120"/>
      <c r="R90" s="153"/>
      <c r="AV90" s="3" t="s">
        <v>47</v>
      </c>
      <c r="AW90" s="92">
        <f>SUM(AW72:AW76)/5</f>
        <v>0.12789185486121779</v>
      </c>
    </row>
    <row r="91" spans="1:49" x14ac:dyDescent="0.25">
      <c r="A91" s="64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97"/>
      <c r="O91" s="97"/>
      <c r="P91" s="50"/>
      <c r="Q91" s="120"/>
      <c r="R91" s="153"/>
      <c r="AV91" s="63" t="s">
        <v>88</v>
      </c>
      <c r="AW91" s="93">
        <f>SUM(AW73:AW77)/5</f>
        <v>0.12900971034098224</v>
      </c>
    </row>
    <row r="92" spans="1:49" x14ac:dyDescent="0.25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97"/>
      <c r="O92" s="97"/>
      <c r="P92" s="50"/>
      <c r="Q92" s="120"/>
      <c r="R92" s="153"/>
      <c r="AV92" s="3" t="s">
        <v>48</v>
      </c>
      <c r="AW92" s="92">
        <f>SUM(AW72:AW81)/10</f>
        <v>0.13235282602649873</v>
      </c>
    </row>
    <row r="94" spans="1:49" ht="60" x14ac:dyDescent="0.25">
      <c r="A94" s="165" t="s">
        <v>19</v>
      </c>
      <c r="B94" s="111" t="s">
        <v>0</v>
      </c>
      <c r="C94" s="111" t="s">
        <v>1</v>
      </c>
      <c r="D94" s="111" t="s">
        <v>2</v>
      </c>
      <c r="E94" s="111" t="s">
        <v>3</v>
      </c>
      <c r="F94" s="111" t="s">
        <v>4</v>
      </c>
      <c r="G94" s="111" t="s">
        <v>5</v>
      </c>
      <c r="H94" s="111" t="s">
        <v>6</v>
      </c>
      <c r="I94" s="111" t="s">
        <v>7</v>
      </c>
      <c r="J94" s="111" t="s">
        <v>8</v>
      </c>
      <c r="K94" s="111" t="s">
        <v>9</v>
      </c>
      <c r="L94" s="111" t="s">
        <v>10</v>
      </c>
      <c r="M94" s="111" t="s">
        <v>11</v>
      </c>
      <c r="N94" s="112" t="s">
        <v>78</v>
      </c>
      <c r="O94" s="112" t="s">
        <v>77</v>
      </c>
      <c r="P94" s="139" t="s">
        <v>162</v>
      </c>
      <c r="Q94" s="140" t="s">
        <v>72</v>
      </c>
      <c r="R94" s="148"/>
      <c r="S94" s="165" t="s">
        <v>20</v>
      </c>
      <c r="T94" s="5" t="s">
        <v>0</v>
      </c>
      <c r="U94" s="5" t="s">
        <v>1</v>
      </c>
      <c r="V94" s="5" t="s">
        <v>2</v>
      </c>
      <c r="W94" s="5" t="s">
        <v>3</v>
      </c>
      <c r="X94" s="5" t="s">
        <v>4</v>
      </c>
      <c r="Y94" s="5" t="s">
        <v>5</v>
      </c>
      <c r="Z94" s="5" t="s">
        <v>6</v>
      </c>
      <c r="AA94" s="5" t="s">
        <v>7</v>
      </c>
      <c r="AB94" s="5" t="s">
        <v>8</v>
      </c>
      <c r="AC94" s="5" t="s">
        <v>9</v>
      </c>
      <c r="AD94" s="5" t="s">
        <v>10</v>
      </c>
      <c r="AE94" s="5" t="s">
        <v>11</v>
      </c>
      <c r="AF94" s="30" t="s">
        <v>164</v>
      </c>
      <c r="AG94" s="30" t="s">
        <v>167</v>
      </c>
      <c r="AJ94" s="165" t="s">
        <v>53</v>
      </c>
      <c r="AK94" s="5" t="s">
        <v>0</v>
      </c>
      <c r="AL94" s="5" t="s">
        <v>1</v>
      </c>
      <c r="AM94" s="5" t="s">
        <v>2</v>
      </c>
      <c r="AN94" s="5" t="s">
        <v>3</v>
      </c>
      <c r="AO94" s="5" t="s">
        <v>4</v>
      </c>
      <c r="AP94" s="5" t="s">
        <v>5</v>
      </c>
      <c r="AQ94" s="5" t="s">
        <v>6</v>
      </c>
      <c r="AR94" s="5" t="s">
        <v>7</v>
      </c>
      <c r="AS94" s="5" t="s">
        <v>8</v>
      </c>
      <c r="AT94" s="5" t="s">
        <v>9</v>
      </c>
      <c r="AU94" s="5" t="s">
        <v>10</v>
      </c>
      <c r="AV94" s="5" t="s">
        <v>11</v>
      </c>
      <c r="AW94" s="5" t="s">
        <v>49</v>
      </c>
    </row>
    <row r="95" spans="1:49" x14ac:dyDescent="0.25">
      <c r="A95" s="77">
        <v>2023</v>
      </c>
      <c r="B95" s="189">
        <v>928.2</v>
      </c>
      <c r="C95" s="189">
        <v>793.9</v>
      </c>
      <c r="D95" s="189">
        <v>751.2</v>
      </c>
      <c r="E95" s="189">
        <v>852.7</v>
      </c>
      <c r="F95" s="189">
        <v>773</v>
      </c>
      <c r="G95" s="189">
        <v>972.2</v>
      </c>
      <c r="H95" s="189">
        <v>1034.2</v>
      </c>
      <c r="I95" s="189">
        <v>1006.366</v>
      </c>
      <c r="J95" s="189">
        <v>905</v>
      </c>
      <c r="K95" s="189">
        <v>866.3</v>
      </c>
      <c r="L95" s="189">
        <v>791.8</v>
      </c>
      <c r="M95" s="189">
        <v>782.62299999999993</v>
      </c>
      <c r="N95" s="67">
        <f t="shared" ref="N95:N100" si="248">SUM(B95:G95)+SUM(H96:M96)</f>
        <v>10382.11</v>
      </c>
      <c r="O95" s="115">
        <f t="shared" ref="O95:O96" si="249">SUM(B95:M95)</f>
        <v>10457.488999999998</v>
      </c>
      <c r="P95" s="136">
        <f>SUM(O95:O99)</f>
        <v>53356.083999999995</v>
      </c>
      <c r="Q95" s="138">
        <f t="shared" ref="Q95:Q100" si="250">P95/5</f>
        <v>10671.216799999998</v>
      </c>
      <c r="R95" s="148"/>
      <c r="S95" s="77">
        <v>2023</v>
      </c>
      <c r="T95" s="189">
        <v>325</v>
      </c>
      <c r="U95" s="189">
        <v>326</v>
      </c>
      <c r="V95" s="189">
        <v>328</v>
      </c>
      <c r="W95" s="189">
        <v>329</v>
      </c>
      <c r="X95" s="189">
        <v>331</v>
      </c>
      <c r="Y95" s="189">
        <v>336</v>
      </c>
      <c r="Z95" s="189">
        <v>333</v>
      </c>
      <c r="AA95" s="189">
        <v>333</v>
      </c>
      <c r="AB95" s="189">
        <v>333</v>
      </c>
      <c r="AC95" s="189">
        <v>333</v>
      </c>
      <c r="AD95" s="189">
        <v>327</v>
      </c>
      <c r="AE95" s="189">
        <v>326</v>
      </c>
      <c r="AF95" s="88">
        <f t="shared" ref="AF95:AF100" si="251">(SUM(T95:Y95)+SUM(Z96:AE96))/12</f>
        <v>329.16666666666669</v>
      </c>
      <c r="AG95" s="6">
        <f>SUM(T95:AE95)/12</f>
        <v>330</v>
      </c>
      <c r="AJ95" s="77">
        <v>2023</v>
      </c>
      <c r="AK95" s="9">
        <f t="shared" ref="AK95:AK111" si="252">B95/T95</f>
        <v>2.8560000000000003</v>
      </c>
      <c r="AL95" s="9">
        <f t="shared" ref="AL95" si="253">C95/U95</f>
        <v>2.4352760736196317</v>
      </c>
      <c r="AM95" s="9">
        <f t="shared" ref="AM95" si="254">D95/V95</f>
        <v>2.2902439024390246</v>
      </c>
      <c r="AN95" s="9">
        <f t="shared" ref="AN95" si="255">E95/W95</f>
        <v>2.5917933130699091</v>
      </c>
      <c r="AO95" s="9">
        <f t="shared" ref="AO95" si="256">F95/X95</f>
        <v>2.3353474320241694</v>
      </c>
      <c r="AP95" s="9">
        <f t="shared" ref="AP95" si="257">G95/Y95</f>
        <v>2.8934523809523811</v>
      </c>
      <c r="AQ95" s="9">
        <f t="shared" ref="AQ95" si="258">H95/Z95</f>
        <v>3.1057057057057058</v>
      </c>
      <c r="AR95" s="9">
        <f t="shared" ref="AR95" si="259">I95/AA95</f>
        <v>3.0221201201201202</v>
      </c>
      <c r="AS95" s="9">
        <f t="shared" ref="AS95" si="260">J95/AB95</f>
        <v>2.7177177177177176</v>
      </c>
      <c r="AT95" s="9">
        <f t="shared" ref="AT95" si="261">K95/AC95</f>
        <v>2.6015015015015015</v>
      </c>
      <c r="AU95" s="9">
        <f t="shared" ref="AU95" si="262">L95/AD95</f>
        <v>2.4214067278287459</v>
      </c>
      <c r="AV95" s="9">
        <f t="shared" ref="AV95" si="263">M95/AE95</f>
        <v>2.4006840490797545</v>
      </c>
      <c r="AW95" s="90">
        <f>(SUM(AK95:AP95)+SUM(AQ95:AV95))/365.25</f>
        <v>8.671115379619071E-2</v>
      </c>
    </row>
    <row r="96" spans="1:49" x14ac:dyDescent="0.25">
      <c r="A96" s="61">
        <v>2022</v>
      </c>
      <c r="B96" s="190">
        <v>931.6</v>
      </c>
      <c r="C96" s="190">
        <v>961.78</v>
      </c>
      <c r="D96" s="190">
        <v>930.3</v>
      </c>
      <c r="E96" s="190">
        <v>714.83999999999992</v>
      </c>
      <c r="F96" s="190">
        <v>831.6</v>
      </c>
      <c r="G96" s="190">
        <v>924.7</v>
      </c>
      <c r="H96" s="190">
        <v>913.7</v>
      </c>
      <c r="I96" s="190">
        <v>902.22199999999998</v>
      </c>
      <c r="J96" s="190">
        <v>957.3</v>
      </c>
      <c r="K96" s="190">
        <v>951</v>
      </c>
      <c r="L96" s="190">
        <v>793.78800000000001</v>
      </c>
      <c r="M96" s="190">
        <v>792.9</v>
      </c>
      <c r="N96" s="67">
        <f t="shared" si="248"/>
        <v>10812.220000000001</v>
      </c>
      <c r="O96" s="115">
        <f t="shared" si="249"/>
        <v>10605.730000000001</v>
      </c>
      <c r="P96" s="136">
        <f t="shared" ref="P96:P106" si="264">SUM(O96:O100)</f>
        <v>54643.394999999997</v>
      </c>
      <c r="Q96" s="138">
        <f t="shared" si="250"/>
        <v>10928.679</v>
      </c>
      <c r="R96" s="148"/>
      <c r="S96" s="61">
        <v>2022</v>
      </c>
      <c r="T96" s="190">
        <v>320</v>
      </c>
      <c r="U96" s="190">
        <v>322</v>
      </c>
      <c r="V96" s="190">
        <v>324</v>
      </c>
      <c r="W96" s="190">
        <v>323</v>
      </c>
      <c r="X96" s="190">
        <v>326</v>
      </c>
      <c r="Y96" s="190">
        <v>328</v>
      </c>
      <c r="Z96" s="190">
        <v>329</v>
      </c>
      <c r="AA96" s="190">
        <v>329</v>
      </c>
      <c r="AB96" s="190">
        <v>330</v>
      </c>
      <c r="AC96" s="190">
        <v>332</v>
      </c>
      <c r="AD96" s="190">
        <v>327</v>
      </c>
      <c r="AE96" s="190">
        <v>328</v>
      </c>
      <c r="AF96" s="88">
        <f t="shared" si="251"/>
        <v>325.33333333333331</v>
      </c>
      <c r="AG96" s="6">
        <f t="shared" ref="AG96:AG111" si="265">SUM(T96:AE96)/12</f>
        <v>326.5</v>
      </c>
      <c r="AJ96" s="61">
        <v>2022</v>
      </c>
      <c r="AK96" s="9">
        <f t="shared" si="252"/>
        <v>2.9112499999999999</v>
      </c>
      <c r="AL96" s="9">
        <f t="shared" ref="AL96" si="266">C96/U96</f>
        <v>2.986894409937888</v>
      </c>
      <c r="AM96" s="9">
        <f t="shared" ref="AM96" si="267">D96/V96</f>
        <v>2.871296296296296</v>
      </c>
      <c r="AN96" s="9">
        <f t="shared" ref="AN96" si="268">E96/W96</f>
        <v>2.21312693498452</v>
      </c>
      <c r="AO96" s="9">
        <f t="shared" ref="AO96" si="269">F96/X96</f>
        <v>2.5509202453987729</v>
      </c>
      <c r="AP96" s="9">
        <f>G96/Y96</f>
        <v>2.8192073170731708</v>
      </c>
      <c r="AQ96" s="9">
        <f>H96/Z96</f>
        <v>2.7772036474164135</v>
      </c>
      <c r="AR96" s="9">
        <f t="shared" ref="AR96" si="270">I96/AA96</f>
        <v>2.7423161094224922</v>
      </c>
      <c r="AS96" s="9">
        <f t="shared" ref="AS96" si="271">J96/AB96</f>
        <v>2.9009090909090909</v>
      </c>
      <c r="AT96" s="9">
        <f t="shared" ref="AT96" si="272">K96/AC96</f>
        <v>2.8644578313253013</v>
      </c>
      <c r="AU96" s="9">
        <f t="shared" ref="AU96" si="273">L96/AD96</f>
        <v>2.4274862385321101</v>
      </c>
      <c r="AV96" s="9">
        <f t="shared" ref="AV96" si="274">M96/AE96</f>
        <v>2.4173780487804879</v>
      </c>
      <c r="AW96" s="90">
        <f t="shared" ref="AW96:AW111" si="275">(SUM(AK96:AP96)+SUM(AQ96:AV96))/365.25</f>
        <v>8.8932090814720172E-2</v>
      </c>
    </row>
    <row r="97" spans="1:49" x14ac:dyDescent="0.25">
      <c r="A97" s="61">
        <v>2021</v>
      </c>
      <c r="B97" s="190">
        <v>978.06499999999994</v>
      </c>
      <c r="C97" s="190">
        <v>799.8</v>
      </c>
      <c r="D97" s="190">
        <v>884.9</v>
      </c>
      <c r="E97" s="190">
        <v>874.4</v>
      </c>
      <c r="F97" s="190">
        <v>934.5</v>
      </c>
      <c r="G97" s="190">
        <v>852.9</v>
      </c>
      <c r="H97" s="190">
        <v>984.6</v>
      </c>
      <c r="I97" s="190">
        <v>963.7</v>
      </c>
      <c r="J97" s="190">
        <v>876.6</v>
      </c>
      <c r="K97" s="190">
        <v>888.6</v>
      </c>
      <c r="L97" s="190">
        <v>883.5</v>
      </c>
      <c r="M97" s="190">
        <v>920.4</v>
      </c>
      <c r="N97" s="67">
        <f t="shared" si="248"/>
        <v>10881.665000000001</v>
      </c>
      <c r="O97" s="115">
        <f>SUM(B97:M97)</f>
        <v>10841.965</v>
      </c>
      <c r="P97" s="136">
        <f t="shared" si="264"/>
        <v>55957.764999999992</v>
      </c>
      <c r="Q97" s="138">
        <f t="shared" si="250"/>
        <v>11191.552999999998</v>
      </c>
      <c r="R97" s="148"/>
      <c r="S97" s="61">
        <v>2021</v>
      </c>
      <c r="T97" s="190">
        <v>320</v>
      </c>
      <c r="U97" s="190">
        <v>320</v>
      </c>
      <c r="V97" s="190">
        <v>324</v>
      </c>
      <c r="W97" s="190">
        <v>324</v>
      </c>
      <c r="X97" s="190">
        <v>329</v>
      </c>
      <c r="Y97" s="190">
        <v>331</v>
      </c>
      <c r="Z97" s="190">
        <v>328</v>
      </c>
      <c r="AA97" s="190">
        <v>327</v>
      </c>
      <c r="AB97" s="190">
        <v>326</v>
      </c>
      <c r="AC97" s="190">
        <v>326</v>
      </c>
      <c r="AD97" s="190">
        <v>329</v>
      </c>
      <c r="AE97" s="190">
        <v>325</v>
      </c>
      <c r="AF97" s="88">
        <f t="shared" si="251"/>
        <v>324.5</v>
      </c>
      <c r="AG97" s="6">
        <f t="shared" si="265"/>
        <v>325.75</v>
      </c>
      <c r="AJ97" s="61">
        <v>2021</v>
      </c>
      <c r="AK97" s="9">
        <f t="shared" si="252"/>
        <v>3.056453125</v>
      </c>
      <c r="AL97" s="9">
        <f t="shared" ref="AL97" si="276">C97/U97</f>
        <v>2.4993749999999997</v>
      </c>
      <c r="AM97" s="9">
        <f t="shared" ref="AM97" si="277">D97/V97</f>
        <v>2.731172839506173</v>
      </c>
      <c r="AN97" s="9">
        <f t="shared" ref="AN97" si="278">E97/W97</f>
        <v>2.6987654320987655</v>
      </c>
      <c r="AO97" s="9">
        <f t="shared" ref="AO97" si="279">F97/X97</f>
        <v>2.8404255319148937</v>
      </c>
      <c r="AP97" s="9">
        <f t="shared" ref="AP97" si="280">G97/Y97</f>
        <v>2.576737160120846</v>
      </c>
      <c r="AQ97" s="9">
        <f t="shared" ref="AQ97" si="281">H97/Z97</f>
        <v>3.001829268292683</v>
      </c>
      <c r="AR97" s="9">
        <f t="shared" ref="AR97" si="282">I97/AA97</f>
        <v>2.9470948012232419</v>
      </c>
      <c r="AS97" s="9">
        <f t="shared" ref="AS97" si="283">J97/AB97</f>
        <v>2.6889570552147242</v>
      </c>
      <c r="AT97" s="9">
        <f t="shared" ref="AT97" si="284">K97/AC97</f>
        <v>2.7257668711656442</v>
      </c>
      <c r="AU97" s="9">
        <f t="shared" ref="AU97" si="285">L97/AD97</f>
        <v>2.6854103343465048</v>
      </c>
      <c r="AV97" s="9">
        <f t="shared" ref="AV97" si="286">M97/AE97</f>
        <v>2.8319999999999999</v>
      </c>
      <c r="AW97" s="90">
        <f t="shared" si="275"/>
        <v>9.1126591153685085E-2</v>
      </c>
    </row>
    <row r="98" spans="1:49" x14ac:dyDescent="0.25">
      <c r="A98" s="61">
        <v>2020</v>
      </c>
      <c r="B98" s="190">
        <v>832.3</v>
      </c>
      <c r="C98" s="190">
        <v>854.6</v>
      </c>
      <c r="D98" s="190">
        <v>740.6</v>
      </c>
      <c r="E98" s="190">
        <v>819.7</v>
      </c>
      <c r="F98" s="190">
        <v>843.9</v>
      </c>
      <c r="G98" s="190">
        <v>935.5</v>
      </c>
      <c r="H98" s="190">
        <v>900.5</v>
      </c>
      <c r="I98" s="190">
        <v>976.4</v>
      </c>
      <c r="J98" s="190">
        <v>926.5</v>
      </c>
      <c r="K98" s="190">
        <v>925.4</v>
      </c>
      <c r="L98" s="190">
        <v>1017.1</v>
      </c>
      <c r="M98" s="190">
        <v>811.2</v>
      </c>
      <c r="N98" s="67">
        <f t="shared" si="248"/>
        <v>10338.200000000001</v>
      </c>
      <c r="O98" s="115">
        <f>SUM(B98:M98)</f>
        <v>10583.7</v>
      </c>
      <c r="P98" s="136">
        <f t="shared" si="264"/>
        <v>56368.299999999996</v>
      </c>
      <c r="Q98" s="138">
        <f t="shared" si="250"/>
        <v>11273.66</v>
      </c>
      <c r="R98" s="148"/>
      <c r="S98" s="61">
        <v>2020</v>
      </c>
      <c r="T98" s="190">
        <v>317</v>
      </c>
      <c r="U98" s="190">
        <v>315</v>
      </c>
      <c r="V98" s="190">
        <v>320</v>
      </c>
      <c r="W98" s="190">
        <v>324</v>
      </c>
      <c r="X98" s="190">
        <v>327</v>
      </c>
      <c r="Y98" s="190">
        <v>325</v>
      </c>
      <c r="Z98" s="190">
        <v>324</v>
      </c>
      <c r="AA98" s="190">
        <v>328</v>
      </c>
      <c r="AB98" s="190">
        <v>325</v>
      </c>
      <c r="AC98" s="190">
        <v>324</v>
      </c>
      <c r="AD98" s="190">
        <v>324</v>
      </c>
      <c r="AE98" s="190">
        <v>321</v>
      </c>
      <c r="AF98" s="88">
        <f t="shared" si="251"/>
        <v>323</v>
      </c>
      <c r="AG98" s="6">
        <f t="shared" si="265"/>
        <v>322.83333333333331</v>
      </c>
      <c r="AJ98" s="61">
        <v>2020</v>
      </c>
      <c r="AK98" s="9">
        <f t="shared" si="252"/>
        <v>2.625552050473186</v>
      </c>
      <c r="AL98" s="9">
        <f t="shared" ref="AL98:AL111" si="287">C98/U98</f>
        <v>2.7130158730158729</v>
      </c>
      <c r="AM98" s="79">
        <f t="shared" ref="AM98:AM111" si="288">D98/V98</f>
        <v>2.3143750000000001</v>
      </c>
      <c r="AN98" s="79">
        <f t="shared" ref="AN98:AN111" si="289">E98/W98</f>
        <v>2.5299382716049386</v>
      </c>
      <c r="AO98" s="79">
        <f t="shared" ref="AO98:AO111" si="290">F98/X98</f>
        <v>2.5807339449541282</v>
      </c>
      <c r="AP98" s="79">
        <f t="shared" ref="AP98:AP111" si="291">G98/Y98</f>
        <v>2.8784615384615386</v>
      </c>
      <c r="AQ98" s="79">
        <f t="shared" ref="AQ98" si="292">H98/Z98</f>
        <v>2.7793209876543208</v>
      </c>
      <c r="AR98" s="79">
        <f t="shared" ref="AR98" si="293">I98/AA98</f>
        <v>2.9768292682926827</v>
      </c>
      <c r="AS98" s="79">
        <f t="shared" ref="AS98" si="294">J98/AB98</f>
        <v>2.8507692307692309</v>
      </c>
      <c r="AT98" s="79">
        <f t="shared" ref="AT98" si="295">K98/AC98</f>
        <v>2.856172839506173</v>
      </c>
      <c r="AU98" s="79">
        <f t="shared" ref="AU98" si="296">L98/AD98</f>
        <v>3.1391975308641977</v>
      </c>
      <c r="AV98" s="79">
        <f t="shared" ref="AV98" si="297">M98/AE98</f>
        <v>2.5271028037383179</v>
      </c>
      <c r="AW98" s="90">
        <f t="shared" si="275"/>
        <v>8.9723393126172724E-2</v>
      </c>
    </row>
    <row r="99" spans="1:49" x14ac:dyDescent="0.25">
      <c r="A99" s="61">
        <v>2019</v>
      </c>
      <c r="B99" s="125">
        <v>929.7</v>
      </c>
      <c r="C99" s="125">
        <v>897.3</v>
      </c>
      <c r="D99" s="125">
        <v>917.2</v>
      </c>
      <c r="E99" s="125">
        <v>934.7</v>
      </c>
      <c r="F99" s="125">
        <v>901.4</v>
      </c>
      <c r="G99" s="125">
        <v>975.3</v>
      </c>
      <c r="H99" s="190">
        <v>805.7</v>
      </c>
      <c r="I99" s="190">
        <v>969.8</v>
      </c>
      <c r="J99" s="190">
        <v>1001.4</v>
      </c>
      <c r="K99" s="190">
        <v>791.5</v>
      </c>
      <c r="L99" s="190">
        <v>888.4</v>
      </c>
      <c r="M99" s="190">
        <v>854.8</v>
      </c>
      <c r="N99" s="67">
        <f t="shared" si="248"/>
        <v>11516</v>
      </c>
      <c r="O99" s="115">
        <f>SUM(B99:M99)</f>
        <v>10867.199999999999</v>
      </c>
      <c r="P99" s="136">
        <f t="shared" si="264"/>
        <v>56492.999999999993</v>
      </c>
      <c r="Q99" s="138">
        <f t="shared" si="250"/>
        <v>11298.599999999999</v>
      </c>
      <c r="R99" s="108"/>
      <c r="S99" s="61">
        <v>2019</v>
      </c>
      <c r="T99" s="35">
        <v>331</v>
      </c>
      <c r="U99" s="35">
        <v>330</v>
      </c>
      <c r="V99" s="35">
        <v>333</v>
      </c>
      <c r="W99" s="35">
        <v>336</v>
      </c>
      <c r="X99" s="35">
        <v>335</v>
      </c>
      <c r="Y99" s="35">
        <v>333</v>
      </c>
      <c r="Z99" s="35">
        <v>327</v>
      </c>
      <c r="AA99" s="35">
        <v>324</v>
      </c>
      <c r="AB99" s="35">
        <v>328</v>
      </c>
      <c r="AC99" s="35">
        <v>327</v>
      </c>
      <c r="AD99" s="35">
        <v>322</v>
      </c>
      <c r="AE99" s="35">
        <v>320</v>
      </c>
      <c r="AF99" s="8">
        <f t="shared" si="251"/>
        <v>334.66666666666669</v>
      </c>
      <c r="AG99" s="6">
        <f t="shared" si="265"/>
        <v>328.83333333333331</v>
      </c>
      <c r="AJ99" s="61">
        <v>2019</v>
      </c>
      <c r="AK99" s="9">
        <f t="shared" si="252"/>
        <v>2.8087613293051361</v>
      </c>
      <c r="AL99" s="9">
        <f t="shared" si="287"/>
        <v>2.7190909090909088</v>
      </c>
      <c r="AM99" s="9">
        <f t="shared" si="288"/>
        <v>2.7543543543543545</v>
      </c>
      <c r="AN99" s="9">
        <f t="shared" si="289"/>
        <v>2.7818452380952383</v>
      </c>
      <c r="AO99" s="9">
        <f t="shared" si="290"/>
        <v>2.6907462686567163</v>
      </c>
      <c r="AP99" s="9">
        <f t="shared" si="291"/>
        <v>2.9288288288288289</v>
      </c>
      <c r="AQ99" s="11">
        <f t="shared" ref="AQ99:AQ111" si="298">H99/Z99</f>
        <v>2.4639143730886852</v>
      </c>
      <c r="AR99" s="11">
        <f t="shared" ref="AR99:AR111" si="299">I99/AA99</f>
        <v>2.9932098765432098</v>
      </c>
      <c r="AS99" s="11">
        <f t="shared" ref="AS99:AS111" si="300">J99/AB99</f>
        <v>3.0530487804878046</v>
      </c>
      <c r="AT99" s="11">
        <f t="shared" ref="AT99:AT111" si="301">K99/AC99</f>
        <v>2.4204892966360858</v>
      </c>
      <c r="AU99" s="11">
        <f t="shared" ref="AU99:AU111" si="302">L99/AD99</f>
        <v>2.7590062111801243</v>
      </c>
      <c r="AV99" s="11">
        <f t="shared" ref="AV99:AV111" si="303">M99/AE99</f>
        <v>2.6712499999999997</v>
      </c>
      <c r="AW99" s="90">
        <f t="shared" si="275"/>
        <v>9.047103481524188E-2</v>
      </c>
    </row>
    <row r="100" spans="1:49" x14ac:dyDescent="0.25">
      <c r="A100" s="61">
        <v>2018</v>
      </c>
      <c r="B100" s="116">
        <v>923.4</v>
      </c>
      <c r="C100" s="116">
        <v>1136.0999999999999</v>
      </c>
      <c r="D100" s="116">
        <v>823.2</v>
      </c>
      <c r="E100" s="116">
        <v>945.2</v>
      </c>
      <c r="F100" s="116">
        <v>892</v>
      </c>
      <c r="G100" s="116">
        <v>1064.5</v>
      </c>
      <c r="H100" s="116">
        <v>1053.9000000000001</v>
      </c>
      <c r="I100" s="116">
        <v>1035.4000000000001</v>
      </c>
      <c r="J100" s="116">
        <v>1076.4000000000001</v>
      </c>
      <c r="K100" s="116">
        <v>813.8</v>
      </c>
      <c r="L100" s="116">
        <v>979.9</v>
      </c>
      <c r="M100" s="116">
        <v>1001</v>
      </c>
      <c r="N100" s="67">
        <f t="shared" si="248"/>
        <v>12044</v>
      </c>
      <c r="O100" s="115">
        <f t="shared" ref="O100:O111" si="304">SUM(B100:M100)</f>
        <v>11744.799999999997</v>
      </c>
      <c r="P100" s="136">
        <f t="shared" si="264"/>
        <v>56278.399999999994</v>
      </c>
      <c r="Q100" s="138">
        <f t="shared" si="250"/>
        <v>11255.679999999998</v>
      </c>
      <c r="R100" s="148"/>
      <c r="S100" s="61">
        <v>2018</v>
      </c>
      <c r="T100" s="35">
        <v>321</v>
      </c>
      <c r="U100" s="35">
        <v>325</v>
      </c>
      <c r="V100" s="35">
        <v>330</v>
      </c>
      <c r="W100" s="35">
        <v>337</v>
      </c>
      <c r="X100" s="35">
        <v>343</v>
      </c>
      <c r="Y100" s="35">
        <v>343</v>
      </c>
      <c r="Z100" s="35">
        <v>337</v>
      </c>
      <c r="AA100" s="35">
        <v>343</v>
      </c>
      <c r="AB100" s="35">
        <v>339</v>
      </c>
      <c r="AC100" s="35">
        <v>339</v>
      </c>
      <c r="AD100" s="35">
        <v>330</v>
      </c>
      <c r="AE100" s="35">
        <v>330</v>
      </c>
      <c r="AF100" s="8">
        <f t="shared" si="251"/>
        <v>335.91666666666669</v>
      </c>
      <c r="AG100" s="6">
        <f t="shared" si="265"/>
        <v>334.75</v>
      </c>
      <c r="AJ100" s="61">
        <v>2018</v>
      </c>
      <c r="AK100" s="9">
        <f t="shared" si="252"/>
        <v>2.8766355140186914</v>
      </c>
      <c r="AL100" s="9">
        <f t="shared" si="287"/>
        <v>3.4956923076923072</v>
      </c>
      <c r="AM100" s="9">
        <f t="shared" si="288"/>
        <v>2.4945454545454546</v>
      </c>
      <c r="AN100" s="9">
        <f t="shared" si="289"/>
        <v>2.8047477744807123</v>
      </c>
      <c r="AO100" s="9">
        <f t="shared" si="290"/>
        <v>2.6005830903790086</v>
      </c>
      <c r="AP100" s="9">
        <f t="shared" si="291"/>
        <v>3.1034985422740524</v>
      </c>
      <c r="AQ100" s="11">
        <f t="shared" si="298"/>
        <v>3.1272997032640952</v>
      </c>
      <c r="AR100" s="11">
        <f t="shared" si="299"/>
        <v>3.01865889212828</v>
      </c>
      <c r="AS100" s="11">
        <f t="shared" si="300"/>
        <v>3.1752212389380534</v>
      </c>
      <c r="AT100" s="11">
        <f t="shared" si="301"/>
        <v>2.4005899705014748</v>
      </c>
      <c r="AU100" s="11">
        <f t="shared" si="302"/>
        <v>2.9693939393939393</v>
      </c>
      <c r="AV100" s="11">
        <f t="shared" si="303"/>
        <v>3.0333333333333332</v>
      </c>
      <c r="AW100" s="90">
        <f t="shared" si="275"/>
        <v>9.6099109544009326E-2</v>
      </c>
    </row>
    <row r="101" spans="1:49" x14ac:dyDescent="0.25">
      <c r="A101" s="3">
        <v>2017</v>
      </c>
      <c r="B101" s="66">
        <v>1007.8</v>
      </c>
      <c r="C101" s="66">
        <v>879.4</v>
      </c>
      <c r="D101" s="66">
        <v>844.1</v>
      </c>
      <c r="E101" s="66">
        <v>1033.5999999999999</v>
      </c>
      <c r="F101" s="66">
        <v>900.3</v>
      </c>
      <c r="G101" s="66">
        <v>995.3</v>
      </c>
      <c r="H101" s="116">
        <v>1201.5</v>
      </c>
      <c r="I101" s="116">
        <v>953.8</v>
      </c>
      <c r="J101" s="116">
        <v>1119.9000000000001</v>
      </c>
      <c r="K101" s="116">
        <v>999.8</v>
      </c>
      <c r="L101" s="116">
        <v>995.3</v>
      </c>
      <c r="M101" s="116">
        <v>989.3</v>
      </c>
      <c r="N101" s="67">
        <f>SUM(B101:G101)+SUM(H102:M102)</f>
        <v>11522.699999999999</v>
      </c>
      <c r="O101" s="115">
        <f t="shared" si="304"/>
        <v>11920.099999999999</v>
      </c>
      <c r="P101" s="136">
        <f t="shared" si="264"/>
        <v>56454.8</v>
      </c>
      <c r="Q101" s="138">
        <f>P101/5</f>
        <v>11290.960000000001</v>
      </c>
      <c r="R101" s="151"/>
      <c r="S101" s="3">
        <v>2017</v>
      </c>
      <c r="T101" s="70">
        <v>334</v>
      </c>
      <c r="U101" s="70">
        <v>336</v>
      </c>
      <c r="V101" s="70">
        <v>339</v>
      </c>
      <c r="W101" s="70">
        <v>342</v>
      </c>
      <c r="X101" s="70">
        <v>345</v>
      </c>
      <c r="Y101" s="70">
        <v>346</v>
      </c>
      <c r="Z101" s="70">
        <v>345</v>
      </c>
      <c r="AA101" s="70">
        <v>343</v>
      </c>
      <c r="AB101" s="70">
        <v>343</v>
      </c>
      <c r="AC101" s="70">
        <v>341</v>
      </c>
      <c r="AD101" s="70">
        <v>332</v>
      </c>
      <c r="AE101" s="70">
        <v>328</v>
      </c>
      <c r="AF101" s="8">
        <f>(SUM(T101:Y101)+SUM(Z102:AE102))/12</f>
        <v>339.25</v>
      </c>
      <c r="AG101" s="6">
        <f t="shared" si="265"/>
        <v>339.5</v>
      </c>
      <c r="AJ101" s="3">
        <v>2017</v>
      </c>
      <c r="AK101" s="9">
        <f t="shared" si="252"/>
        <v>3.0173652694610777</v>
      </c>
      <c r="AL101" s="9">
        <f t="shared" si="287"/>
        <v>2.6172619047619046</v>
      </c>
      <c r="AM101" s="9">
        <f t="shared" si="288"/>
        <v>2.4899705014749265</v>
      </c>
      <c r="AN101" s="9">
        <f t="shared" si="289"/>
        <v>3.0222222222222221</v>
      </c>
      <c r="AO101" s="9">
        <f t="shared" si="290"/>
        <v>2.6095652173913044</v>
      </c>
      <c r="AP101" s="9">
        <f t="shared" si="291"/>
        <v>2.8765895953757226</v>
      </c>
      <c r="AQ101" s="11">
        <f t="shared" si="298"/>
        <v>3.482608695652174</v>
      </c>
      <c r="AR101" s="11">
        <f t="shared" si="299"/>
        <v>2.7807580174927113</v>
      </c>
      <c r="AS101" s="11">
        <f t="shared" si="300"/>
        <v>3.2650145772594756</v>
      </c>
      <c r="AT101" s="11">
        <f t="shared" si="301"/>
        <v>2.9319648093841639</v>
      </c>
      <c r="AU101" s="11">
        <f t="shared" si="302"/>
        <v>2.9978915662650603</v>
      </c>
      <c r="AV101" s="11">
        <f t="shared" si="303"/>
        <v>3.0161585365853658</v>
      </c>
      <c r="AW101" s="90">
        <f t="shared" si="275"/>
        <v>9.6118743089188524E-2</v>
      </c>
    </row>
    <row r="102" spans="1:49" x14ac:dyDescent="0.25">
      <c r="A102" s="3">
        <v>2016</v>
      </c>
      <c r="B102" s="66">
        <v>973.2</v>
      </c>
      <c r="C102" s="66">
        <v>853</v>
      </c>
      <c r="D102" s="66">
        <v>843.3</v>
      </c>
      <c r="E102" s="66">
        <v>936</v>
      </c>
      <c r="F102" s="66">
        <v>866.5</v>
      </c>
      <c r="G102" s="66">
        <v>918.3</v>
      </c>
      <c r="H102" s="66">
        <v>1019</v>
      </c>
      <c r="I102" s="66">
        <v>912.1</v>
      </c>
      <c r="J102" s="66">
        <v>1035.5999999999999</v>
      </c>
      <c r="K102" s="66">
        <v>1057.0999999999999</v>
      </c>
      <c r="L102" s="66">
        <v>859.5</v>
      </c>
      <c r="M102" s="66">
        <v>978.9</v>
      </c>
      <c r="N102" s="67">
        <f t="shared" ref="N102:N110" si="305">SUM(B102:G102)+SUM(H103:M103)</f>
        <v>10862.7</v>
      </c>
      <c r="O102" s="115">
        <f t="shared" si="304"/>
        <v>11252.5</v>
      </c>
      <c r="P102" s="136">
        <f t="shared" si="264"/>
        <v>56446.700000000004</v>
      </c>
      <c r="Q102" s="138">
        <f t="shared" ref="Q102:Q106" si="306">P102/5</f>
        <v>11289.34</v>
      </c>
      <c r="R102" s="151"/>
      <c r="S102" s="3">
        <v>2016</v>
      </c>
      <c r="T102" s="6">
        <v>326</v>
      </c>
      <c r="U102" s="6">
        <v>327</v>
      </c>
      <c r="V102" s="6">
        <v>329</v>
      </c>
      <c r="W102" s="6">
        <v>333</v>
      </c>
      <c r="X102" s="6">
        <v>338</v>
      </c>
      <c r="Y102" s="6">
        <v>340</v>
      </c>
      <c r="Z102" s="6">
        <v>340</v>
      </c>
      <c r="AA102" s="6">
        <v>341</v>
      </c>
      <c r="AB102" s="6">
        <v>341</v>
      </c>
      <c r="AC102" s="6">
        <v>334</v>
      </c>
      <c r="AD102" s="6">
        <v>336</v>
      </c>
      <c r="AE102" s="6">
        <v>337</v>
      </c>
      <c r="AF102" s="8">
        <f t="shared" ref="AF102:AF110" si="307">(SUM(T102:Y102)+SUM(Z103:AE103))/12</f>
        <v>333.58333333333331</v>
      </c>
      <c r="AG102" s="6">
        <f t="shared" si="265"/>
        <v>335.16666666666669</v>
      </c>
      <c r="AJ102" s="3">
        <v>2016</v>
      </c>
      <c r="AK102" s="9">
        <f t="shared" si="252"/>
        <v>2.985276073619632</v>
      </c>
      <c r="AL102" s="9">
        <f t="shared" si="287"/>
        <v>2.6085626911314983</v>
      </c>
      <c r="AM102" s="9">
        <f t="shared" si="288"/>
        <v>2.5632218844984802</v>
      </c>
      <c r="AN102" s="9">
        <f t="shared" si="289"/>
        <v>2.810810810810811</v>
      </c>
      <c r="AO102" s="9">
        <f t="shared" si="290"/>
        <v>2.5636094674556213</v>
      </c>
      <c r="AP102" s="9">
        <f t="shared" si="291"/>
        <v>2.7008823529411763</v>
      </c>
      <c r="AQ102" s="11">
        <f t="shared" si="298"/>
        <v>2.9970588235294118</v>
      </c>
      <c r="AR102" s="11">
        <f t="shared" si="299"/>
        <v>2.6747800586510264</v>
      </c>
      <c r="AS102" s="11">
        <f t="shared" si="300"/>
        <v>3.0369501466275657</v>
      </c>
      <c r="AT102" s="11">
        <f t="shared" si="301"/>
        <v>3.1649700598802393</v>
      </c>
      <c r="AU102" s="11">
        <f t="shared" si="302"/>
        <v>2.5580357142857144</v>
      </c>
      <c r="AV102" s="11">
        <f t="shared" si="303"/>
        <v>2.904747774480712</v>
      </c>
      <c r="AW102" s="90">
        <f t="shared" si="275"/>
        <v>9.1906655326247463E-2</v>
      </c>
    </row>
    <row r="103" spans="1:49" x14ac:dyDescent="0.25">
      <c r="A103" s="3">
        <v>2015</v>
      </c>
      <c r="B103" s="66">
        <v>981.8</v>
      </c>
      <c r="C103" s="66">
        <v>830.1</v>
      </c>
      <c r="D103" s="66">
        <v>790.6</v>
      </c>
      <c r="E103" s="66">
        <v>888.4</v>
      </c>
      <c r="F103" s="66">
        <v>897.8</v>
      </c>
      <c r="G103" s="66">
        <v>847.3</v>
      </c>
      <c r="H103" s="66">
        <v>960</v>
      </c>
      <c r="I103" s="66">
        <v>1049.5</v>
      </c>
      <c r="J103" s="66">
        <v>846.2</v>
      </c>
      <c r="K103" s="66">
        <v>892.5</v>
      </c>
      <c r="L103" s="66">
        <v>908.2</v>
      </c>
      <c r="M103" s="66">
        <v>816</v>
      </c>
      <c r="N103" s="67">
        <f t="shared" si="305"/>
        <v>10672.3</v>
      </c>
      <c r="O103" s="115">
        <f t="shared" si="304"/>
        <v>10708.400000000001</v>
      </c>
      <c r="P103" s="136">
        <f t="shared" si="264"/>
        <v>57279.200000000004</v>
      </c>
      <c r="Q103" s="138">
        <f t="shared" si="306"/>
        <v>11455.84</v>
      </c>
      <c r="R103" s="151"/>
      <c r="S103" s="3">
        <v>2015</v>
      </c>
      <c r="T103" s="6">
        <v>329</v>
      </c>
      <c r="U103" s="6">
        <v>328</v>
      </c>
      <c r="V103" s="6">
        <v>332</v>
      </c>
      <c r="W103" s="6">
        <v>337</v>
      </c>
      <c r="X103" s="6">
        <v>335</v>
      </c>
      <c r="Y103" s="6">
        <v>336</v>
      </c>
      <c r="Z103" s="6">
        <v>337</v>
      </c>
      <c r="AA103" s="6">
        <v>339</v>
      </c>
      <c r="AB103" s="6">
        <v>341</v>
      </c>
      <c r="AC103" s="6">
        <v>334</v>
      </c>
      <c r="AD103" s="6">
        <v>330</v>
      </c>
      <c r="AE103" s="6">
        <v>329</v>
      </c>
      <c r="AF103" s="8">
        <f t="shared" si="307"/>
        <v>335.91666666666669</v>
      </c>
      <c r="AG103" s="6">
        <f t="shared" si="265"/>
        <v>333.91666666666669</v>
      </c>
      <c r="AJ103" s="3">
        <v>2015</v>
      </c>
      <c r="AK103" s="9">
        <f t="shared" si="252"/>
        <v>2.9841945288753799</v>
      </c>
      <c r="AL103" s="9">
        <f t="shared" si="287"/>
        <v>2.5307926829268292</v>
      </c>
      <c r="AM103" s="9">
        <f t="shared" si="288"/>
        <v>2.3813253012048192</v>
      </c>
      <c r="AN103" s="9">
        <f t="shared" si="289"/>
        <v>2.6362017804154303</v>
      </c>
      <c r="AO103" s="9">
        <f t="shared" si="290"/>
        <v>2.6799999999999997</v>
      </c>
      <c r="AP103" s="9">
        <f t="shared" si="291"/>
        <v>2.5217261904761905</v>
      </c>
      <c r="AQ103" s="11">
        <f t="shared" si="298"/>
        <v>2.8486646884272999</v>
      </c>
      <c r="AR103" s="11">
        <f t="shared" si="299"/>
        <v>3.0958702064896757</v>
      </c>
      <c r="AS103" s="11">
        <f t="shared" si="300"/>
        <v>2.4815249266862169</v>
      </c>
      <c r="AT103" s="11">
        <f t="shared" si="301"/>
        <v>2.6721556886227544</v>
      </c>
      <c r="AU103" s="11">
        <f t="shared" si="302"/>
        <v>2.7521212121212124</v>
      </c>
      <c r="AV103" s="11">
        <f t="shared" si="303"/>
        <v>2.4802431610942248</v>
      </c>
      <c r="AW103" s="90">
        <f t="shared" si="275"/>
        <v>8.7788693681971341E-2</v>
      </c>
    </row>
    <row r="104" spans="1:49" x14ac:dyDescent="0.25">
      <c r="A104" s="3">
        <v>2014</v>
      </c>
      <c r="B104" s="66">
        <v>806</v>
      </c>
      <c r="C104" s="66">
        <v>1068.3</v>
      </c>
      <c r="D104" s="66">
        <v>788.9</v>
      </c>
      <c r="E104" s="66">
        <v>782.7</v>
      </c>
      <c r="F104" s="66">
        <v>769.2</v>
      </c>
      <c r="G104" s="66">
        <v>1001.2</v>
      </c>
      <c r="H104" s="66">
        <v>884.8</v>
      </c>
      <c r="I104" s="66">
        <v>1005.3</v>
      </c>
      <c r="J104" s="66">
        <v>925.5</v>
      </c>
      <c r="K104" s="66">
        <v>858.4</v>
      </c>
      <c r="L104" s="66">
        <v>942.2</v>
      </c>
      <c r="M104" s="66">
        <v>820.1</v>
      </c>
      <c r="N104" s="67">
        <f t="shared" si="305"/>
        <v>11533.5</v>
      </c>
      <c r="O104" s="115">
        <f t="shared" si="304"/>
        <v>10652.6</v>
      </c>
      <c r="P104" s="136">
        <f t="shared" si="264"/>
        <v>60169.8</v>
      </c>
      <c r="Q104" s="138">
        <f t="shared" si="306"/>
        <v>12033.960000000001</v>
      </c>
      <c r="R104" s="151"/>
      <c r="S104" s="3">
        <v>2014</v>
      </c>
      <c r="T104" s="6">
        <v>325</v>
      </c>
      <c r="U104" s="6">
        <v>327</v>
      </c>
      <c r="V104" s="6">
        <v>325</v>
      </c>
      <c r="W104" s="6">
        <v>326</v>
      </c>
      <c r="X104" s="6">
        <v>335</v>
      </c>
      <c r="Y104" s="6">
        <v>338</v>
      </c>
      <c r="Z104" s="6">
        <v>343</v>
      </c>
      <c r="AA104" s="6">
        <v>340</v>
      </c>
      <c r="AB104" s="6">
        <v>343</v>
      </c>
      <c r="AC104" s="6">
        <v>341</v>
      </c>
      <c r="AD104" s="6">
        <v>335</v>
      </c>
      <c r="AE104" s="6">
        <v>332</v>
      </c>
      <c r="AF104" s="8">
        <f t="shared" si="307"/>
        <v>330.58333333333331</v>
      </c>
      <c r="AG104" s="6">
        <f t="shared" si="265"/>
        <v>334.16666666666669</v>
      </c>
      <c r="AJ104" s="3">
        <v>2014</v>
      </c>
      <c r="AK104" s="9">
        <f t="shared" si="252"/>
        <v>2.48</v>
      </c>
      <c r="AL104" s="9">
        <f t="shared" si="287"/>
        <v>3.2669724770642201</v>
      </c>
      <c r="AM104" s="9">
        <f t="shared" si="288"/>
        <v>2.4273846153846153</v>
      </c>
      <c r="AN104" s="9">
        <f t="shared" si="289"/>
        <v>2.400920245398773</v>
      </c>
      <c r="AO104" s="9">
        <f t="shared" si="290"/>
        <v>2.2961194029850747</v>
      </c>
      <c r="AP104" s="9">
        <f t="shared" si="291"/>
        <v>2.9621301775147932</v>
      </c>
      <c r="AQ104" s="11">
        <f t="shared" si="298"/>
        <v>2.5795918367346937</v>
      </c>
      <c r="AR104" s="11">
        <f t="shared" si="299"/>
        <v>2.9567647058823527</v>
      </c>
      <c r="AS104" s="11">
        <f t="shared" si="300"/>
        <v>2.6982507288629738</v>
      </c>
      <c r="AT104" s="11">
        <f t="shared" si="301"/>
        <v>2.5173020527859236</v>
      </c>
      <c r="AU104" s="11">
        <f t="shared" si="302"/>
        <v>2.812537313432836</v>
      </c>
      <c r="AV104" s="11">
        <f t="shared" si="303"/>
        <v>2.4701807228915662</v>
      </c>
      <c r="AW104" s="90">
        <f t="shared" si="275"/>
        <v>8.7250251277037158E-2</v>
      </c>
    </row>
    <row r="105" spans="1:49" x14ac:dyDescent="0.25">
      <c r="A105" s="3">
        <v>2013</v>
      </c>
      <c r="B105" s="66">
        <v>938</v>
      </c>
      <c r="C105" s="66">
        <v>1001</v>
      </c>
      <c r="D105" s="66">
        <v>832</v>
      </c>
      <c r="E105" s="66">
        <v>931</v>
      </c>
      <c r="F105" s="66">
        <v>872</v>
      </c>
      <c r="G105" s="66">
        <v>1030</v>
      </c>
      <c r="H105" s="66">
        <v>886.1</v>
      </c>
      <c r="I105" s="66">
        <v>1079.8</v>
      </c>
      <c r="J105" s="66">
        <v>1053.9000000000001</v>
      </c>
      <c r="K105" s="66">
        <v>845.50000000000114</v>
      </c>
      <c r="L105" s="66">
        <v>960</v>
      </c>
      <c r="M105" s="66">
        <v>1491.9</v>
      </c>
      <c r="N105" s="67">
        <f t="shared" si="305"/>
        <v>11588</v>
      </c>
      <c r="O105" s="115">
        <f t="shared" si="304"/>
        <v>11921.200000000003</v>
      </c>
      <c r="P105" s="136">
        <f t="shared" si="264"/>
        <v>62757.200000000004</v>
      </c>
      <c r="Q105" s="138">
        <f t="shared" si="306"/>
        <v>12551.44</v>
      </c>
      <c r="R105" s="151"/>
      <c r="S105" s="3">
        <v>2013</v>
      </c>
      <c r="T105" s="6">
        <v>319</v>
      </c>
      <c r="U105" s="6">
        <v>318</v>
      </c>
      <c r="V105" s="6">
        <v>320</v>
      </c>
      <c r="W105" s="6">
        <v>321</v>
      </c>
      <c r="X105" s="6">
        <v>326</v>
      </c>
      <c r="Y105" s="6">
        <v>332</v>
      </c>
      <c r="Z105" s="6">
        <v>334</v>
      </c>
      <c r="AA105" s="6">
        <v>333</v>
      </c>
      <c r="AB105" s="6">
        <v>337</v>
      </c>
      <c r="AC105" s="6">
        <v>332</v>
      </c>
      <c r="AD105" s="6">
        <v>328</v>
      </c>
      <c r="AE105" s="6">
        <v>327</v>
      </c>
      <c r="AF105" s="8">
        <f t="shared" si="307"/>
        <v>327.75</v>
      </c>
      <c r="AG105" s="6">
        <f t="shared" si="265"/>
        <v>327.25</v>
      </c>
      <c r="AJ105" s="3">
        <v>2013</v>
      </c>
      <c r="AK105" s="9">
        <f t="shared" si="252"/>
        <v>2.9404388714733543</v>
      </c>
      <c r="AL105" s="9">
        <f t="shared" si="287"/>
        <v>3.1477987421383649</v>
      </c>
      <c r="AM105" s="9">
        <f t="shared" si="288"/>
        <v>2.6</v>
      </c>
      <c r="AN105" s="9">
        <f t="shared" si="289"/>
        <v>2.9003115264797508</v>
      </c>
      <c r="AO105" s="9">
        <f t="shared" si="290"/>
        <v>2.6748466257668713</v>
      </c>
      <c r="AP105" s="9">
        <f t="shared" si="291"/>
        <v>3.1024096385542168</v>
      </c>
      <c r="AQ105" s="11">
        <f t="shared" si="298"/>
        <v>2.6529940119760478</v>
      </c>
      <c r="AR105" s="11">
        <f t="shared" si="299"/>
        <v>3.2426426426426427</v>
      </c>
      <c r="AS105" s="11">
        <f t="shared" si="300"/>
        <v>3.1272997032640952</v>
      </c>
      <c r="AT105" s="11">
        <f t="shared" si="301"/>
        <v>2.5466867469879553</v>
      </c>
      <c r="AU105" s="11">
        <f t="shared" si="302"/>
        <v>2.9268292682926829</v>
      </c>
      <c r="AV105" s="11">
        <f t="shared" si="303"/>
        <v>4.5623853211009173</v>
      </c>
      <c r="AW105" s="90">
        <f t="shared" si="275"/>
        <v>9.9725237778718404E-2</v>
      </c>
    </row>
    <row r="106" spans="1:49" x14ac:dyDescent="0.25">
      <c r="A106" s="3">
        <v>2012</v>
      </c>
      <c r="B106" s="66">
        <v>1037</v>
      </c>
      <c r="C106" s="66">
        <v>1053</v>
      </c>
      <c r="D106" s="66">
        <v>864</v>
      </c>
      <c r="E106" s="66">
        <v>845</v>
      </c>
      <c r="F106" s="66">
        <v>859</v>
      </c>
      <c r="G106" s="66">
        <v>1270</v>
      </c>
      <c r="H106" s="66">
        <v>1036</v>
      </c>
      <c r="I106" s="66">
        <v>971</v>
      </c>
      <c r="J106" s="66">
        <v>1094</v>
      </c>
      <c r="K106" s="66">
        <v>875</v>
      </c>
      <c r="L106" s="66">
        <v>987</v>
      </c>
      <c r="M106" s="66">
        <v>1021</v>
      </c>
      <c r="N106" s="67">
        <f t="shared" si="305"/>
        <v>12197</v>
      </c>
      <c r="O106" s="115">
        <f t="shared" si="304"/>
        <v>11912</v>
      </c>
      <c r="P106" s="136">
        <f t="shared" si="264"/>
        <v>64586</v>
      </c>
      <c r="Q106" s="138">
        <f t="shared" si="306"/>
        <v>12917.2</v>
      </c>
      <c r="R106" s="151"/>
      <c r="S106" s="3">
        <v>2012</v>
      </c>
      <c r="T106" s="6">
        <v>324</v>
      </c>
      <c r="U106" s="6">
        <v>325</v>
      </c>
      <c r="V106" s="6">
        <v>330</v>
      </c>
      <c r="W106" s="6">
        <v>330</v>
      </c>
      <c r="X106" s="6">
        <v>332</v>
      </c>
      <c r="Y106" s="6">
        <v>338</v>
      </c>
      <c r="Z106" s="6">
        <v>341</v>
      </c>
      <c r="AA106" s="6">
        <v>336</v>
      </c>
      <c r="AB106" s="6">
        <v>337</v>
      </c>
      <c r="AC106" s="6">
        <v>335</v>
      </c>
      <c r="AD106" s="6">
        <v>327</v>
      </c>
      <c r="AE106" s="6">
        <v>321</v>
      </c>
      <c r="AF106" s="8">
        <f t="shared" si="307"/>
        <v>331.75</v>
      </c>
      <c r="AG106" s="6">
        <f t="shared" si="265"/>
        <v>331.33333333333331</v>
      </c>
      <c r="AJ106" s="3">
        <v>2012</v>
      </c>
      <c r="AK106" s="9">
        <f t="shared" si="252"/>
        <v>3.2006172839506171</v>
      </c>
      <c r="AL106" s="9">
        <f t="shared" si="287"/>
        <v>3.24</v>
      </c>
      <c r="AM106" s="9">
        <f t="shared" si="288"/>
        <v>2.6181818181818182</v>
      </c>
      <c r="AN106" s="9">
        <f t="shared" si="289"/>
        <v>2.5606060606060606</v>
      </c>
      <c r="AO106" s="9">
        <f t="shared" si="290"/>
        <v>2.5873493975903616</v>
      </c>
      <c r="AP106" s="9">
        <f t="shared" si="291"/>
        <v>3.7573964497041419</v>
      </c>
      <c r="AQ106" s="11">
        <f t="shared" si="298"/>
        <v>3.0381231671554252</v>
      </c>
      <c r="AR106" s="11">
        <f t="shared" si="299"/>
        <v>2.8898809523809526</v>
      </c>
      <c r="AS106" s="11">
        <f t="shared" si="300"/>
        <v>3.2462908011869436</v>
      </c>
      <c r="AT106" s="11">
        <f t="shared" si="301"/>
        <v>2.6119402985074629</v>
      </c>
      <c r="AU106" s="11">
        <f t="shared" si="302"/>
        <v>3.0183486238532109</v>
      </c>
      <c r="AV106" s="11">
        <f t="shared" si="303"/>
        <v>3.1806853582554515</v>
      </c>
      <c r="AW106" s="90">
        <f t="shared" si="275"/>
        <v>9.8424148422648711E-2</v>
      </c>
    </row>
    <row r="107" spans="1:49" x14ac:dyDescent="0.25">
      <c r="A107" s="3">
        <v>2011</v>
      </c>
      <c r="B107" s="66">
        <v>913</v>
      </c>
      <c r="C107" s="66">
        <v>1160</v>
      </c>
      <c r="D107" s="66">
        <v>754</v>
      </c>
      <c r="E107" s="66">
        <v>1103</v>
      </c>
      <c r="F107" s="66">
        <v>922</v>
      </c>
      <c r="G107" s="66">
        <v>964</v>
      </c>
      <c r="H107" s="66">
        <v>1226</v>
      </c>
      <c r="I107" s="66">
        <v>972</v>
      </c>
      <c r="J107" s="66">
        <v>1051</v>
      </c>
      <c r="K107" s="66">
        <v>1159</v>
      </c>
      <c r="L107" s="66">
        <v>860</v>
      </c>
      <c r="M107" s="66">
        <v>1001</v>
      </c>
      <c r="N107" s="67">
        <f t="shared" si="305"/>
        <v>12419</v>
      </c>
      <c r="O107" s="115">
        <f t="shared" si="304"/>
        <v>12085</v>
      </c>
      <c r="P107" s="47"/>
      <c r="Q107" s="117"/>
      <c r="R107" s="151"/>
      <c r="S107" s="3">
        <v>2011</v>
      </c>
      <c r="T107" s="6">
        <v>331</v>
      </c>
      <c r="U107" s="6">
        <v>326</v>
      </c>
      <c r="V107" s="6">
        <v>330</v>
      </c>
      <c r="W107" s="6">
        <v>334</v>
      </c>
      <c r="X107" s="6">
        <v>338</v>
      </c>
      <c r="Y107" s="6">
        <v>335</v>
      </c>
      <c r="Z107" s="6">
        <v>340</v>
      </c>
      <c r="AA107" s="6">
        <v>340</v>
      </c>
      <c r="AB107" s="6">
        <v>337</v>
      </c>
      <c r="AC107" s="6">
        <v>334</v>
      </c>
      <c r="AD107" s="6">
        <v>326</v>
      </c>
      <c r="AE107" s="6">
        <v>325</v>
      </c>
      <c r="AF107" s="8">
        <f t="shared" si="307"/>
        <v>336.5</v>
      </c>
      <c r="AG107" s="6">
        <f t="shared" si="265"/>
        <v>333</v>
      </c>
      <c r="AJ107" s="3">
        <v>2011</v>
      </c>
      <c r="AK107" s="9">
        <f t="shared" si="252"/>
        <v>2.7583081570996977</v>
      </c>
      <c r="AL107" s="9">
        <f t="shared" si="287"/>
        <v>3.5582822085889569</v>
      </c>
      <c r="AM107" s="9">
        <f t="shared" si="288"/>
        <v>2.2848484848484847</v>
      </c>
      <c r="AN107" s="9">
        <f t="shared" si="289"/>
        <v>3.3023952095808382</v>
      </c>
      <c r="AO107" s="9">
        <f t="shared" si="290"/>
        <v>2.7278106508875739</v>
      </c>
      <c r="AP107" s="9">
        <f t="shared" si="291"/>
        <v>2.8776119402985074</v>
      </c>
      <c r="AQ107" s="11">
        <f t="shared" si="298"/>
        <v>3.6058823529411765</v>
      </c>
      <c r="AR107" s="11">
        <f t="shared" si="299"/>
        <v>2.8588235294117648</v>
      </c>
      <c r="AS107" s="11">
        <f t="shared" si="300"/>
        <v>3.1186943620178043</v>
      </c>
      <c r="AT107" s="11">
        <f t="shared" si="301"/>
        <v>3.4700598802395208</v>
      </c>
      <c r="AU107" s="11">
        <f t="shared" si="302"/>
        <v>2.6380368098159508</v>
      </c>
      <c r="AV107" s="11">
        <f t="shared" si="303"/>
        <v>3.08</v>
      </c>
      <c r="AW107" s="90">
        <f t="shared" si="275"/>
        <v>9.933128976243745E-2</v>
      </c>
    </row>
    <row r="108" spans="1:49" x14ac:dyDescent="0.25">
      <c r="A108" s="3">
        <v>2010</v>
      </c>
      <c r="B108" s="66">
        <v>1346</v>
      </c>
      <c r="C108" s="66">
        <v>1454</v>
      </c>
      <c r="D108" s="66">
        <v>962</v>
      </c>
      <c r="E108" s="66">
        <v>1209</v>
      </c>
      <c r="F108" s="66">
        <v>1008</v>
      </c>
      <c r="G108" s="66">
        <v>1017</v>
      </c>
      <c r="H108" s="66">
        <v>1298</v>
      </c>
      <c r="I108" s="66">
        <v>1015</v>
      </c>
      <c r="J108" s="66">
        <v>1250</v>
      </c>
      <c r="K108" s="66">
        <v>978</v>
      </c>
      <c r="L108" s="66">
        <v>875</v>
      </c>
      <c r="M108" s="66">
        <v>1187</v>
      </c>
      <c r="N108" s="67">
        <f t="shared" si="305"/>
        <v>13635</v>
      </c>
      <c r="O108" s="115">
        <f t="shared" si="304"/>
        <v>13599</v>
      </c>
      <c r="P108" s="47"/>
      <c r="Q108" s="117"/>
      <c r="R108" s="151"/>
      <c r="S108" s="3">
        <v>2010</v>
      </c>
      <c r="T108" s="6">
        <v>341</v>
      </c>
      <c r="U108" s="6">
        <v>341</v>
      </c>
      <c r="V108" s="6">
        <v>340</v>
      </c>
      <c r="W108" s="6">
        <v>344</v>
      </c>
      <c r="X108" s="6">
        <v>346</v>
      </c>
      <c r="Y108" s="6">
        <v>348</v>
      </c>
      <c r="Z108" s="6">
        <v>344</v>
      </c>
      <c r="AA108" s="6">
        <v>344</v>
      </c>
      <c r="AB108" s="6">
        <v>343</v>
      </c>
      <c r="AC108" s="6">
        <v>346</v>
      </c>
      <c r="AD108" s="6">
        <v>337</v>
      </c>
      <c r="AE108" s="6">
        <v>330</v>
      </c>
      <c r="AF108" s="8">
        <f t="shared" si="307"/>
        <v>346.66666666666669</v>
      </c>
      <c r="AG108" s="6">
        <f t="shared" si="265"/>
        <v>342</v>
      </c>
      <c r="AJ108" s="3">
        <v>2010</v>
      </c>
      <c r="AK108" s="9">
        <f t="shared" si="252"/>
        <v>3.9472140762463344</v>
      </c>
      <c r="AL108" s="9">
        <f t="shared" si="287"/>
        <v>4.2639296187683282</v>
      </c>
      <c r="AM108" s="9">
        <f t="shared" si="288"/>
        <v>2.8294117647058825</v>
      </c>
      <c r="AN108" s="9">
        <f t="shared" si="289"/>
        <v>3.51453488372093</v>
      </c>
      <c r="AO108" s="9">
        <f t="shared" si="290"/>
        <v>2.9132947976878611</v>
      </c>
      <c r="AP108" s="9">
        <f t="shared" si="291"/>
        <v>2.9224137931034484</v>
      </c>
      <c r="AQ108" s="11">
        <f t="shared" si="298"/>
        <v>3.7732558139534884</v>
      </c>
      <c r="AR108" s="11">
        <f t="shared" si="299"/>
        <v>2.9505813953488373</v>
      </c>
      <c r="AS108" s="11">
        <f t="shared" si="300"/>
        <v>3.6443148688046647</v>
      </c>
      <c r="AT108" s="11">
        <f t="shared" si="301"/>
        <v>2.8265895953757227</v>
      </c>
      <c r="AU108" s="11">
        <f t="shared" si="302"/>
        <v>2.5964391691394657</v>
      </c>
      <c r="AV108" s="11">
        <f t="shared" si="303"/>
        <v>3.5969696969696972</v>
      </c>
      <c r="AW108" s="90">
        <f t="shared" si="275"/>
        <v>0.10890882812819895</v>
      </c>
    </row>
    <row r="109" spans="1:49" x14ac:dyDescent="0.25">
      <c r="A109" s="3">
        <v>2009</v>
      </c>
      <c r="B109" s="66">
        <v>1319</v>
      </c>
      <c r="C109" s="66">
        <v>1086</v>
      </c>
      <c r="D109" s="66">
        <v>976</v>
      </c>
      <c r="E109" s="66">
        <v>1190</v>
      </c>
      <c r="F109" s="66">
        <v>973</v>
      </c>
      <c r="G109" s="66">
        <v>1057</v>
      </c>
      <c r="H109" s="66">
        <v>1317</v>
      </c>
      <c r="I109" s="66">
        <v>1035</v>
      </c>
      <c r="J109" s="66">
        <v>1042</v>
      </c>
      <c r="K109" s="66">
        <v>1259</v>
      </c>
      <c r="L109" s="66">
        <v>1041</v>
      </c>
      <c r="M109" s="66">
        <v>945</v>
      </c>
      <c r="N109" s="67">
        <f t="shared" si="305"/>
        <v>13228</v>
      </c>
      <c r="O109" s="115">
        <f t="shared" si="304"/>
        <v>13240</v>
      </c>
      <c r="P109" s="47"/>
      <c r="Q109" s="117"/>
      <c r="R109" s="151"/>
      <c r="S109" s="3">
        <v>2009</v>
      </c>
      <c r="T109" s="6">
        <v>348</v>
      </c>
      <c r="U109" s="6">
        <v>346</v>
      </c>
      <c r="V109" s="6">
        <v>349</v>
      </c>
      <c r="W109" s="6">
        <v>355</v>
      </c>
      <c r="X109" s="6">
        <v>358</v>
      </c>
      <c r="Y109" s="6">
        <v>358</v>
      </c>
      <c r="Z109" s="6">
        <v>360</v>
      </c>
      <c r="AA109" s="6">
        <v>355</v>
      </c>
      <c r="AB109" s="6">
        <v>350</v>
      </c>
      <c r="AC109" s="6">
        <v>350</v>
      </c>
      <c r="AD109" s="6">
        <v>345</v>
      </c>
      <c r="AE109" s="6">
        <v>340</v>
      </c>
      <c r="AF109" s="8">
        <f t="shared" si="307"/>
        <v>357.58333333333331</v>
      </c>
      <c r="AG109" s="6">
        <f t="shared" si="265"/>
        <v>351.16666666666669</v>
      </c>
      <c r="AJ109" s="3">
        <v>2009</v>
      </c>
      <c r="AK109" s="9">
        <f t="shared" si="252"/>
        <v>3.7902298850574714</v>
      </c>
      <c r="AL109" s="9">
        <f t="shared" si="287"/>
        <v>3.1387283236994219</v>
      </c>
      <c r="AM109" s="9">
        <f t="shared" si="288"/>
        <v>2.7965616045845274</v>
      </c>
      <c r="AN109" s="9">
        <f t="shared" si="289"/>
        <v>3.352112676056338</v>
      </c>
      <c r="AO109" s="9">
        <f t="shared" si="290"/>
        <v>2.7178770949720672</v>
      </c>
      <c r="AP109" s="9">
        <f t="shared" si="291"/>
        <v>2.9525139664804469</v>
      </c>
      <c r="AQ109" s="11">
        <f t="shared" si="298"/>
        <v>3.6583333333333332</v>
      </c>
      <c r="AR109" s="11">
        <f t="shared" si="299"/>
        <v>2.915492957746479</v>
      </c>
      <c r="AS109" s="11">
        <f t="shared" si="300"/>
        <v>2.9771428571428573</v>
      </c>
      <c r="AT109" s="11">
        <f t="shared" si="301"/>
        <v>3.597142857142857</v>
      </c>
      <c r="AU109" s="11">
        <f t="shared" si="302"/>
        <v>3.017391304347826</v>
      </c>
      <c r="AV109" s="11">
        <f t="shared" si="303"/>
        <v>2.7794117647058822</v>
      </c>
      <c r="AW109" s="90">
        <f t="shared" si="275"/>
        <v>0.1031976416845161</v>
      </c>
    </row>
    <row r="110" spans="1:49" x14ac:dyDescent="0.25">
      <c r="A110" s="3">
        <v>2008</v>
      </c>
      <c r="B110" s="66">
        <v>1378</v>
      </c>
      <c r="C110" s="66">
        <v>1358</v>
      </c>
      <c r="D110" s="66">
        <v>934</v>
      </c>
      <c r="E110" s="66">
        <v>1124</v>
      </c>
      <c r="F110" s="66">
        <v>1254</v>
      </c>
      <c r="G110" s="66">
        <v>1075</v>
      </c>
      <c r="H110" s="66">
        <v>1391</v>
      </c>
      <c r="I110" s="66">
        <v>1010</v>
      </c>
      <c r="J110" s="66">
        <v>1053</v>
      </c>
      <c r="K110" s="66">
        <v>1219</v>
      </c>
      <c r="L110" s="66">
        <v>949</v>
      </c>
      <c r="M110" s="66">
        <v>1005</v>
      </c>
      <c r="N110" s="67">
        <f t="shared" si="305"/>
        <v>14660.29</v>
      </c>
      <c r="O110" s="115">
        <f t="shared" si="304"/>
        <v>13750</v>
      </c>
      <c r="P110" s="47"/>
      <c r="Q110" s="117"/>
      <c r="R110" s="151"/>
      <c r="S110" s="3">
        <v>2008</v>
      </c>
      <c r="T110" s="6">
        <v>363</v>
      </c>
      <c r="U110" s="6">
        <v>359</v>
      </c>
      <c r="V110" s="6">
        <v>361</v>
      </c>
      <c r="W110" s="6">
        <v>364</v>
      </c>
      <c r="X110" s="6">
        <v>366</v>
      </c>
      <c r="Y110" s="6">
        <v>369</v>
      </c>
      <c r="Z110" s="6">
        <v>372</v>
      </c>
      <c r="AA110" s="6">
        <v>368</v>
      </c>
      <c r="AB110" s="6">
        <v>364</v>
      </c>
      <c r="AC110" s="6">
        <v>360</v>
      </c>
      <c r="AD110" s="6">
        <v>358</v>
      </c>
      <c r="AE110" s="6">
        <v>355</v>
      </c>
      <c r="AF110" s="8">
        <f t="shared" si="307"/>
        <v>367.75</v>
      </c>
      <c r="AG110" s="6">
        <f t="shared" si="265"/>
        <v>363.25</v>
      </c>
      <c r="AJ110" s="3">
        <v>2008</v>
      </c>
      <c r="AK110" s="9">
        <f t="shared" si="252"/>
        <v>3.7961432506887052</v>
      </c>
      <c r="AL110" s="9">
        <f t="shared" si="287"/>
        <v>3.7827298050139277</v>
      </c>
      <c r="AM110" s="9">
        <f t="shared" si="288"/>
        <v>2.587257617728532</v>
      </c>
      <c r="AN110" s="9">
        <f t="shared" si="289"/>
        <v>3.087912087912088</v>
      </c>
      <c r="AO110" s="9">
        <f t="shared" si="290"/>
        <v>3.4262295081967213</v>
      </c>
      <c r="AP110" s="9">
        <f t="shared" si="291"/>
        <v>2.9132791327913279</v>
      </c>
      <c r="AQ110" s="11">
        <f t="shared" si="298"/>
        <v>3.739247311827957</v>
      </c>
      <c r="AR110" s="11">
        <f t="shared" si="299"/>
        <v>2.7445652173913042</v>
      </c>
      <c r="AS110" s="11">
        <f t="shared" si="300"/>
        <v>2.8928571428571428</v>
      </c>
      <c r="AT110" s="11">
        <f t="shared" si="301"/>
        <v>3.3861111111111111</v>
      </c>
      <c r="AU110" s="11">
        <f t="shared" si="302"/>
        <v>2.6508379888268156</v>
      </c>
      <c r="AV110" s="11">
        <f t="shared" si="303"/>
        <v>2.8309859154929575</v>
      </c>
      <c r="AW110" s="90">
        <f t="shared" si="275"/>
        <v>0.1035952254341919</v>
      </c>
    </row>
    <row r="111" spans="1:49" x14ac:dyDescent="0.25">
      <c r="A111" s="3">
        <v>2007</v>
      </c>
      <c r="B111" s="66"/>
      <c r="C111" s="66"/>
      <c r="D111" s="66"/>
      <c r="E111" s="66"/>
      <c r="F111" s="66"/>
      <c r="G111" s="66"/>
      <c r="H111" s="66">
        <v>1296.9000000000001</v>
      </c>
      <c r="I111" s="66">
        <v>1303.8000000000002</v>
      </c>
      <c r="J111" s="66">
        <v>1327.1</v>
      </c>
      <c r="K111" s="66">
        <v>1151.8</v>
      </c>
      <c r="L111" s="66">
        <v>1189.99</v>
      </c>
      <c r="M111" s="66">
        <v>1267.7</v>
      </c>
      <c r="N111" s="67">
        <f>SUM(B111:G111)+SUM(H112:M112)</f>
        <v>0</v>
      </c>
      <c r="O111" s="115">
        <f t="shared" si="304"/>
        <v>7537.29</v>
      </c>
      <c r="P111" s="47"/>
      <c r="Q111" s="117"/>
      <c r="R111" s="151"/>
      <c r="S111" s="3">
        <v>2007</v>
      </c>
      <c r="T111" s="6">
        <v>368</v>
      </c>
      <c r="U111" s="6">
        <v>364</v>
      </c>
      <c r="V111" s="6">
        <v>367</v>
      </c>
      <c r="W111" s="6">
        <v>370</v>
      </c>
      <c r="X111" s="6">
        <v>369</v>
      </c>
      <c r="Y111" s="6">
        <v>374</v>
      </c>
      <c r="Z111" s="6">
        <v>374</v>
      </c>
      <c r="AA111" s="6">
        <v>376</v>
      </c>
      <c r="AB111" s="6">
        <v>375</v>
      </c>
      <c r="AC111" s="6">
        <v>372</v>
      </c>
      <c r="AD111" s="6">
        <v>369</v>
      </c>
      <c r="AE111" s="6">
        <v>365</v>
      </c>
      <c r="AF111" s="8"/>
      <c r="AG111" s="6">
        <f t="shared" si="265"/>
        <v>370.25</v>
      </c>
      <c r="AJ111" s="3">
        <v>2007</v>
      </c>
      <c r="AK111" s="9">
        <f t="shared" si="252"/>
        <v>0</v>
      </c>
      <c r="AL111" s="9">
        <f t="shared" si="287"/>
        <v>0</v>
      </c>
      <c r="AM111" s="9">
        <f t="shared" si="288"/>
        <v>0</v>
      </c>
      <c r="AN111" s="9">
        <f t="shared" si="289"/>
        <v>0</v>
      </c>
      <c r="AO111" s="9">
        <f t="shared" si="290"/>
        <v>0</v>
      </c>
      <c r="AP111" s="9">
        <f t="shared" si="291"/>
        <v>0</v>
      </c>
      <c r="AQ111" s="11">
        <f t="shared" si="298"/>
        <v>3.4676470588235295</v>
      </c>
      <c r="AR111" s="11">
        <f t="shared" si="299"/>
        <v>3.4675531914893623</v>
      </c>
      <c r="AS111" s="11">
        <f t="shared" si="300"/>
        <v>3.538933333333333</v>
      </c>
      <c r="AT111" s="11">
        <f t="shared" si="301"/>
        <v>3.0962365591397849</v>
      </c>
      <c r="AU111" s="11">
        <f t="shared" si="302"/>
        <v>3.2249051490514904</v>
      </c>
      <c r="AV111" s="11">
        <f t="shared" si="303"/>
        <v>3.473150684931507</v>
      </c>
      <c r="AW111" s="90">
        <f t="shared" si="275"/>
        <v>5.5491926014425749E-2</v>
      </c>
    </row>
    <row r="112" spans="1:49" ht="15.75" thickBot="1" x14ac:dyDescent="0.3">
      <c r="N112" s="118"/>
      <c r="O112" s="118"/>
      <c r="AW112" s="90"/>
    </row>
    <row r="113" spans="1:49" ht="15.75" thickTop="1" x14ac:dyDescent="0.25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97">
        <f>SUM(N95:N99)/5</f>
        <v>10786.039000000001</v>
      </c>
      <c r="O113" s="97">
        <f>SUM(O95:O99)/5</f>
        <v>10671.216799999998</v>
      </c>
      <c r="P113" s="50"/>
      <c r="Q113" s="120"/>
      <c r="R113" s="153"/>
      <c r="AV113" s="3" t="s">
        <v>47</v>
      </c>
      <c r="AW113" s="92">
        <f>SUM(AW95:AW99)/5</f>
        <v>8.9392852741202108E-2</v>
      </c>
    </row>
    <row r="114" spans="1:49" x14ac:dyDescent="0.25">
      <c r="A114" s="64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97"/>
      <c r="O114" s="97"/>
      <c r="P114" s="50"/>
      <c r="Q114" s="120"/>
      <c r="R114" s="153"/>
      <c r="AV114" s="63" t="s">
        <v>89</v>
      </c>
      <c r="AW114" s="93">
        <f>SUM(AW96:AW100)/5</f>
        <v>9.1270443890765843E-2</v>
      </c>
    </row>
    <row r="115" spans="1:49" x14ac:dyDescent="0.25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97"/>
      <c r="O115" s="97"/>
      <c r="P115" s="50"/>
      <c r="Q115" s="120"/>
      <c r="R115" s="153"/>
      <c r="AV115" s="3" t="s">
        <v>48</v>
      </c>
      <c r="AW115" s="92">
        <f>SUM(AW95:AW104)/10</f>
        <v>9.0612771662446426E-2</v>
      </c>
    </row>
    <row r="117" spans="1:49" ht="60" x14ac:dyDescent="0.25">
      <c r="A117" s="165" t="s">
        <v>21</v>
      </c>
      <c r="B117" s="111" t="s">
        <v>0</v>
      </c>
      <c r="C117" s="111" t="s">
        <v>1</v>
      </c>
      <c r="D117" s="111" t="s">
        <v>2</v>
      </c>
      <c r="E117" s="111" t="s">
        <v>3</v>
      </c>
      <c r="F117" s="111" t="s">
        <v>4</v>
      </c>
      <c r="G117" s="111" t="s">
        <v>5</v>
      </c>
      <c r="H117" s="111" t="s">
        <v>6</v>
      </c>
      <c r="I117" s="111" t="s">
        <v>7</v>
      </c>
      <c r="J117" s="111" t="s">
        <v>8</v>
      </c>
      <c r="K117" s="111" t="s">
        <v>9</v>
      </c>
      <c r="L117" s="111" t="s">
        <v>10</v>
      </c>
      <c r="M117" s="111" t="s">
        <v>11</v>
      </c>
      <c r="N117" s="112" t="s">
        <v>78</v>
      </c>
      <c r="O117" s="112" t="s">
        <v>77</v>
      </c>
      <c r="P117" s="139" t="s">
        <v>162</v>
      </c>
      <c r="Q117" s="140" t="s">
        <v>72</v>
      </c>
      <c r="R117" s="148"/>
      <c r="S117" s="165" t="s">
        <v>34</v>
      </c>
      <c r="T117" s="5" t="s">
        <v>0</v>
      </c>
      <c r="U117" s="5" t="s">
        <v>1</v>
      </c>
      <c r="V117" s="5" t="s">
        <v>2</v>
      </c>
      <c r="W117" s="5" t="s">
        <v>3</v>
      </c>
      <c r="X117" s="5" t="s">
        <v>4</v>
      </c>
      <c r="Y117" s="5" t="s">
        <v>5</v>
      </c>
      <c r="Z117" s="5" t="s">
        <v>6</v>
      </c>
      <c r="AA117" s="5" t="s">
        <v>7</v>
      </c>
      <c r="AB117" s="5" t="s">
        <v>8</v>
      </c>
      <c r="AC117" s="5" t="s">
        <v>9</v>
      </c>
      <c r="AD117" s="5" t="s">
        <v>10</v>
      </c>
      <c r="AE117" s="5" t="s">
        <v>11</v>
      </c>
      <c r="AF117" s="30" t="s">
        <v>164</v>
      </c>
      <c r="AG117" s="30" t="s">
        <v>167</v>
      </c>
      <c r="AJ117" s="165" t="s">
        <v>54</v>
      </c>
      <c r="AK117" s="5" t="s">
        <v>0</v>
      </c>
      <c r="AL117" s="5" t="s">
        <v>1</v>
      </c>
      <c r="AM117" s="5" t="s">
        <v>2</v>
      </c>
      <c r="AN117" s="5" t="s">
        <v>3</v>
      </c>
      <c r="AO117" s="5" t="s">
        <v>4</v>
      </c>
      <c r="AP117" s="5" t="s">
        <v>5</v>
      </c>
      <c r="AQ117" s="5" t="s">
        <v>6</v>
      </c>
      <c r="AR117" s="5" t="s">
        <v>7</v>
      </c>
      <c r="AS117" s="5" t="s">
        <v>8</v>
      </c>
      <c r="AT117" s="5" t="s">
        <v>9</v>
      </c>
      <c r="AU117" s="5" t="s">
        <v>10</v>
      </c>
      <c r="AV117" s="5" t="s">
        <v>11</v>
      </c>
      <c r="AW117" s="5" t="s">
        <v>49</v>
      </c>
    </row>
    <row r="118" spans="1:49" x14ac:dyDescent="0.25">
      <c r="A118" s="77">
        <v>2023</v>
      </c>
      <c r="B118" s="189">
        <v>129076.02900000001</v>
      </c>
      <c r="C118" s="189">
        <v>129089.59699999999</v>
      </c>
      <c r="D118" s="189">
        <v>134012.71799999999</v>
      </c>
      <c r="E118" s="189">
        <v>119179.62299999999</v>
      </c>
      <c r="F118" s="189">
        <v>160260.14499999999</v>
      </c>
      <c r="G118" s="189">
        <v>287765.549</v>
      </c>
      <c r="H118" s="189">
        <v>265611.26199999999</v>
      </c>
      <c r="I118" s="189">
        <v>243869.78999999998</v>
      </c>
      <c r="J118" s="189">
        <v>234231.08599999998</v>
      </c>
      <c r="K118" s="189">
        <v>234106.68900000001</v>
      </c>
      <c r="L118" s="189">
        <v>146042.386</v>
      </c>
      <c r="M118" s="189">
        <v>133869.40299999999</v>
      </c>
      <c r="N118" s="67">
        <f t="shared" ref="N118:N123" si="308">SUM(B118:G118)+SUM(H119:M119)</f>
        <v>2252446.0926510268</v>
      </c>
      <c r="O118" s="115">
        <f t="shared" ref="O118:O121" si="309">SUM(B118:M118)</f>
        <v>2217114.2769999998</v>
      </c>
      <c r="P118" s="136">
        <f>SUM(O118:O122)</f>
        <v>10654937.555473339</v>
      </c>
      <c r="Q118" s="138">
        <f t="shared" ref="Q118:Q123" si="310">P118/5</f>
        <v>2130987.5110946679</v>
      </c>
      <c r="R118" s="148"/>
      <c r="S118" s="77">
        <v>2023</v>
      </c>
      <c r="T118" s="189">
        <v>30499</v>
      </c>
      <c r="U118" s="189">
        <v>30875</v>
      </c>
      <c r="V118" s="189">
        <v>30909</v>
      </c>
      <c r="W118" s="189">
        <v>30986</v>
      </c>
      <c r="X118" s="189">
        <v>31007</v>
      </c>
      <c r="Y118" s="189">
        <v>31027</v>
      </c>
      <c r="Z118" s="189">
        <v>31043</v>
      </c>
      <c r="AA118" s="189">
        <v>31067</v>
      </c>
      <c r="AB118" s="189">
        <v>31091</v>
      </c>
      <c r="AC118" s="189">
        <v>31097</v>
      </c>
      <c r="AD118" s="189">
        <v>31117</v>
      </c>
      <c r="AE118" s="189">
        <v>31114</v>
      </c>
      <c r="AF118" s="88">
        <f t="shared" ref="AF118:AF123" si="311">(SUM(T118:Y118)+SUM(Z119:AE119))/12</f>
        <v>30701.333333333332</v>
      </c>
      <c r="AG118" s="6">
        <f>SUM(T118:AE118)/12</f>
        <v>30986</v>
      </c>
      <c r="AJ118" s="77">
        <v>2023</v>
      </c>
      <c r="AK118" s="9">
        <f t="shared" ref="AK118:AK134" si="312">B118/T118</f>
        <v>4.2321397094986724</v>
      </c>
      <c r="AL118" s="9">
        <f t="shared" ref="AL118" si="313">C118/U118</f>
        <v>4.1810395789473684</v>
      </c>
      <c r="AM118" s="9">
        <f t="shared" ref="AM118" si="314">D118/V118</f>
        <v>4.3357183344656898</v>
      </c>
      <c r="AN118" s="9">
        <f t="shared" ref="AN118" si="315">E118/W118</f>
        <v>3.8462409797973276</v>
      </c>
      <c r="AO118" s="9">
        <f t="shared" ref="AO118" si="316">F118/X118</f>
        <v>5.1685150127390589</v>
      </c>
      <c r="AP118" s="9">
        <f t="shared" ref="AP118" si="317">G118/Y118</f>
        <v>9.2746816965868444</v>
      </c>
      <c r="AQ118" s="9">
        <f t="shared" ref="AQ118" si="318">H118/Z118</f>
        <v>8.5562368972070999</v>
      </c>
      <c r="AR118" s="9">
        <f t="shared" ref="AR118" si="319">I118/AA118</f>
        <v>7.8498017188656766</v>
      </c>
      <c r="AS118" s="9">
        <f t="shared" ref="AS118" si="320">J118/AB118</f>
        <v>7.5337263516773341</v>
      </c>
      <c r="AT118" s="9">
        <f t="shared" ref="AT118" si="321">K118/AC118</f>
        <v>7.5282724700131851</v>
      </c>
      <c r="AU118" s="9">
        <f t="shared" ref="AU118" si="322">L118/AD118</f>
        <v>4.6933311694572097</v>
      </c>
      <c r="AV118" s="9">
        <f t="shared" ref="AV118" si="323">M118/AE118</f>
        <v>4.3025455743395256</v>
      </c>
      <c r="AW118" s="90">
        <f>(SUM(AK118:AP118)+SUM(AQ118:AV118))/365.25</f>
        <v>0.19576249005775498</v>
      </c>
    </row>
    <row r="119" spans="1:49" x14ac:dyDescent="0.25">
      <c r="A119" s="61">
        <v>2022</v>
      </c>
      <c r="B119" s="190">
        <v>153744.421</v>
      </c>
      <c r="C119" s="190">
        <v>122455.03899999999</v>
      </c>
      <c r="D119" s="190">
        <v>138716.473</v>
      </c>
      <c r="E119" s="190">
        <v>119553.83200000001</v>
      </c>
      <c r="F119" s="190">
        <v>142391.772</v>
      </c>
      <c r="G119" s="190">
        <v>199051.11000000002</v>
      </c>
      <c r="H119" s="190">
        <v>287058.10200000001</v>
      </c>
      <c r="I119" s="190">
        <v>254286.15899999999</v>
      </c>
      <c r="J119" s="190">
        <v>238342.02665102691</v>
      </c>
      <c r="K119" s="190">
        <v>235965.28900000002</v>
      </c>
      <c r="L119" s="190">
        <v>145855.22399999999</v>
      </c>
      <c r="M119" s="190">
        <v>131555.63099999999</v>
      </c>
      <c r="N119" s="67">
        <f t="shared" si="308"/>
        <v>2077715.9948223117</v>
      </c>
      <c r="O119" s="115">
        <f t="shared" si="309"/>
        <v>2168975.0786510268</v>
      </c>
      <c r="P119" s="136">
        <f t="shared" ref="P119:P129" si="324">SUM(O119:O123)</f>
        <v>10745049.378473338</v>
      </c>
      <c r="Q119" s="138">
        <f t="shared" si="310"/>
        <v>2149009.8756946675</v>
      </c>
      <c r="R119" s="148"/>
      <c r="S119" s="61">
        <v>2022</v>
      </c>
      <c r="T119" s="190">
        <v>30456</v>
      </c>
      <c r="U119" s="190">
        <v>30462</v>
      </c>
      <c r="V119" s="190">
        <v>30465</v>
      </c>
      <c r="W119" s="190">
        <v>30520</v>
      </c>
      <c r="X119" s="190">
        <v>30538</v>
      </c>
      <c r="Y119" s="190">
        <v>30542</v>
      </c>
      <c r="Z119" s="190">
        <v>30539</v>
      </c>
      <c r="AA119" s="190">
        <v>30550</v>
      </c>
      <c r="AB119" s="190">
        <v>30553</v>
      </c>
      <c r="AC119" s="190">
        <v>30494</v>
      </c>
      <c r="AD119" s="190">
        <v>30485</v>
      </c>
      <c r="AE119" s="190">
        <v>30492</v>
      </c>
      <c r="AF119" s="88">
        <f t="shared" si="311"/>
        <v>30494.333333333332</v>
      </c>
      <c r="AG119" s="6">
        <f t="shared" ref="AG119:AG134" si="325">SUM(T119:AE119)/12</f>
        <v>30508</v>
      </c>
      <c r="AJ119" s="61">
        <v>2022</v>
      </c>
      <c r="AK119" s="9">
        <f t="shared" si="312"/>
        <v>5.0480831691620702</v>
      </c>
      <c r="AL119" s="9">
        <f t="shared" ref="AL119" si="326">C119/U119</f>
        <v>4.0199277460442513</v>
      </c>
      <c r="AM119" s="9">
        <f t="shared" ref="AM119" si="327">D119/V119</f>
        <v>4.5533061874281966</v>
      </c>
      <c r="AN119" s="9">
        <f t="shared" ref="AN119" si="328">E119/W119</f>
        <v>3.9172290956749674</v>
      </c>
      <c r="AO119" s="9">
        <f t="shared" ref="AO119" si="329">F119/X119</f>
        <v>4.6627733315868749</v>
      </c>
      <c r="AP119" s="9">
        <f t="shared" ref="AP119" si="330">G119/Y119</f>
        <v>6.5172912710366058</v>
      </c>
      <c r="AQ119" s="9">
        <f t="shared" ref="AQ119" si="331">H119/Z119</f>
        <v>9.3997217328661709</v>
      </c>
      <c r="AR119" s="9">
        <f t="shared" ref="AR119" si="332">I119/AA119</f>
        <v>8.3236058592471345</v>
      </c>
      <c r="AS119" s="9">
        <f t="shared" ref="AS119" si="333">J119/AB119</f>
        <v>7.8009369505785653</v>
      </c>
      <c r="AT119" s="9">
        <f t="shared" ref="AT119" si="334">K119/AC119</f>
        <v>7.7380890994949834</v>
      </c>
      <c r="AU119" s="9">
        <f t="shared" ref="AU119" si="335">L119/AD119</f>
        <v>4.7844915204198779</v>
      </c>
      <c r="AV119" s="9">
        <f t="shared" ref="AV119" si="336">M119/AE119</f>
        <v>4.3144310310901215</v>
      </c>
      <c r="AW119" s="90">
        <f t="shared" ref="AW119:AW134" si="337">(SUM(AK119:AP119)+SUM(AQ119:AV119))/365.25</f>
        <v>0.19460612455750806</v>
      </c>
    </row>
    <row r="120" spans="1:49" x14ac:dyDescent="0.25">
      <c r="A120" s="61">
        <v>2021</v>
      </c>
      <c r="B120" s="190">
        <v>140963.016</v>
      </c>
      <c r="C120" s="190">
        <v>126230.48000000001</v>
      </c>
      <c r="D120" s="190">
        <v>138431.01299999998</v>
      </c>
      <c r="E120" s="190">
        <v>142655.57800000001</v>
      </c>
      <c r="F120" s="190">
        <v>127006.61799999999</v>
      </c>
      <c r="G120" s="190">
        <v>226598.435</v>
      </c>
      <c r="H120" s="190">
        <v>225171.78400000004</v>
      </c>
      <c r="I120" s="190">
        <v>246309.788</v>
      </c>
      <c r="J120" s="190">
        <v>251041.76299999998</v>
      </c>
      <c r="K120" s="190">
        <v>216468.33</v>
      </c>
      <c r="L120" s="190">
        <v>127826.20982231188</v>
      </c>
      <c r="M120" s="190">
        <v>134985.473</v>
      </c>
      <c r="N120" s="67">
        <f t="shared" si="308"/>
        <v>2205821.909</v>
      </c>
      <c r="O120" s="115">
        <f t="shared" si="309"/>
        <v>2103688.4878223119</v>
      </c>
      <c r="P120" s="136">
        <f t="shared" si="324"/>
        <v>10923861.239822313</v>
      </c>
      <c r="Q120" s="138">
        <f t="shared" si="310"/>
        <v>2184772.2479644627</v>
      </c>
      <c r="R120" s="148"/>
      <c r="S120" s="61">
        <v>2021</v>
      </c>
      <c r="T120" s="190">
        <v>30412</v>
      </c>
      <c r="U120" s="190">
        <v>30410</v>
      </c>
      <c r="V120" s="190">
        <v>30420</v>
      </c>
      <c r="W120" s="190">
        <v>30494</v>
      </c>
      <c r="X120" s="190">
        <v>30487</v>
      </c>
      <c r="Y120" s="190">
        <v>30493</v>
      </c>
      <c r="Z120" s="190">
        <v>30505</v>
      </c>
      <c r="AA120" s="190">
        <v>30509</v>
      </c>
      <c r="AB120" s="190">
        <v>30495</v>
      </c>
      <c r="AC120" s="190">
        <v>30490</v>
      </c>
      <c r="AD120" s="190">
        <v>30482</v>
      </c>
      <c r="AE120" s="190">
        <v>30468</v>
      </c>
      <c r="AF120" s="88">
        <f t="shared" si="311"/>
        <v>30450.083333333332</v>
      </c>
      <c r="AG120" s="6">
        <f t="shared" si="325"/>
        <v>30472.083333333332</v>
      </c>
      <c r="AJ120" s="61">
        <v>2021</v>
      </c>
      <c r="AK120" s="9">
        <f t="shared" si="312"/>
        <v>4.6351116664474548</v>
      </c>
      <c r="AL120" s="9">
        <f t="shared" ref="AL120" si="338">C120/U120</f>
        <v>4.1509529759947386</v>
      </c>
      <c r="AM120" s="9">
        <f t="shared" ref="AM120" si="339">D120/V120</f>
        <v>4.5506578895463505</v>
      </c>
      <c r="AN120" s="9">
        <f t="shared" ref="AN120" si="340">E120/W120</f>
        <v>4.6781523578408875</v>
      </c>
      <c r="AO120" s="9">
        <f t="shared" ref="AO120" si="341">F120/X120</f>
        <v>4.1659270508741431</v>
      </c>
      <c r="AP120" s="9">
        <f t="shared" ref="AP120" si="342">G120/Y120</f>
        <v>7.4311623979273929</v>
      </c>
      <c r="AQ120" s="9">
        <f t="shared" ref="AQ120" si="343">H120/Z120</f>
        <v>7.3814713653499444</v>
      </c>
      <c r="AR120" s="9">
        <f t="shared" ref="AR120" si="344">I120/AA120</f>
        <v>8.0733484545543934</v>
      </c>
      <c r="AS120" s="9">
        <f t="shared" ref="AS120" si="345">J120/AB120</f>
        <v>8.2322270208230854</v>
      </c>
      <c r="AT120" s="9">
        <f t="shared" ref="AT120" si="346">K120/AC120</f>
        <v>7.0996500491964571</v>
      </c>
      <c r="AU120" s="9">
        <f t="shared" ref="AU120" si="347">L120/AD120</f>
        <v>4.1934981242146803</v>
      </c>
      <c r="AV120" s="9">
        <f t="shared" ref="AV120" si="348">M120/AE120</f>
        <v>4.4304015032164896</v>
      </c>
      <c r="AW120" s="90">
        <f t="shared" si="337"/>
        <v>0.18897347256943467</v>
      </c>
    </row>
    <row r="121" spans="1:49" x14ac:dyDescent="0.25">
      <c r="A121" s="61">
        <v>2020</v>
      </c>
      <c r="B121" s="190">
        <v>143439.29999999999</v>
      </c>
      <c r="C121" s="190">
        <v>125526.561</v>
      </c>
      <c r="D121" s="190">
        <v>120835.755</v>
      </c>
      <c r="E121" s="190">
        <v>149772.51500000001</v>
      </c>
      <c r="F121" s="190">
        <v>155005.50899999999</v>
      </c>
      <c r="G121" s="190">
        <v>194996.40299999999</v>
      </c>
      <c r="H121" s="190">
        <v>289958.35700000002</v>
      </c>
      <c r="I121" s="190">
        <v>238003.008</v>
      </c>
      <c r="J121" s="190">
        <v>246583.57399999999</v>
      </c>
      <c r="K121" s="190">
        <v>235972.02299999999</v>
      </c>
      <c r="L121" s="190">
        <v>155141.774</v>
      </c>
      <c r="M121" s="190">
        <v>138278.033</v>
      </c>
      <c r="N121" s="67">
        <f t="shared" si="308"/>
        <v>2017513.0430000001</v>
      </c>
      <c r="O121" s="115">
        <f t="shared" si="309"/>
        <v>2193512.8119999999</v>
      </c>
      <c r="P121" s="136">
        <f t="shared" si="324"/>
        <v>11013444.041999999</v>
      </c>
      <c r="Q121" s="138">
        <f t="shared" si="310"/>
        <v>2202688.8084</v>
      </c>
      <c r="R121" s="148"/>
      <c r="S121" s="61">
        <v>2020</v>
      </c>
      <c r="T121" s="190">
        <v>30296</v>
      </c>
      <c r="U121" s="190">
        <v>30308</v>
      </c>
      <c r="V121" s="190">
        <v>30362</v>
      </c>
      <c r="W121" s="190">
        <v>30419</v>
      </c>
      <c r="X121" s="190">
        <v>30435</v>
      </c>
      <c r="Y121" s="190">
        <v>30453</v>
      </c>
      <c r="Z121" s="190">
        <v>30458</v>
      </c>
      <c r="AA121" s="190">
        <v>30476</v>
      </c>
      <c r="AB121" s="190">
        <v>30490</v>
      </c>
      <c r="AC121" s="190">
        <v>30459</v>
      </c>
      <c r="AD121" s="190">
        <v>30400</v>
      </c>
      <c r="AE121" s="190">
        <v>30402</v>
      </c>
      <c r="AF121" s="88">
        <f t="shared" si="311"/>
        <v>30359.916666666668</v>
      </c>
      <c r="AG121" s="6">
        <f t="shared" si="325"/>
        <v>30413.166666666668</v>
      </c>
      <c r="AJ121" s="61">
        <v>2020</v>
      </c>
      <c r="AK121" s="9">
        <f t="shared" si="312"/>
        <v>4.7345953261156586</v>
      </c>
      <c r="AL121" s="9">
        <f t="shared" ref="AL121:AL134" si="349">C121/U121</f>
        <v>4.1416972746469582</v>
      </c>
      <c r="AM121" s="79">
        <f t="shared" ref="AM121:AM134" si="350">D121/V121</f>
        <v>3.979835155786839</v>
      </c>
      <c r="AN121" s="79">
        <f t="shared" ref="AN121:AN134" si="351">E121/W121</f>
        <v>4.9236501857391763</v>
      </c>
      <c r="AO121" s="79">
        <f t="shared" ref="AO121:AO134" si="352">F121/X121</f>
        <v>5.0930017742730405</v>
      </c>
      <c r="AP121" s="79">
        <f t="shared" ref="AP121:AP134" si="353">G121/Y121</f>
        <v>6.4031919022756378</v>
      </c>
      <c r="AQ121" s="79">
        <f t="shared" ref="AQ121" si="354">H121/Z121</f>
        <v>9.5199408037297264</v>
      </c>
      <c r="AR121" s="79">
        <f t="shared" ref="AR121" si="355">I121/AA121</f>
        <v>7.8095225095156842</v>
      </c>
      <c r="AS121" s="79">
        <f t="shared" ref="AS121" si="356">J121/AB121</f>
        <v>8.0873589373565107</v>
      </c>
      <c r="AT121" s="79">
        <f t="shared" ref="AT121" si="357">K121/AC121</f>
        <v>7.7472019107652903</v>
      </c>
      <c r="AU121" s="79">
        <f t="shared" ref="AU121" si="358">L121/AD121</f>
        <v>5.1033478289473688</v>
      </c>
      <c r="AV121" s="79">
        <f t="shared" ref="AV121" si="359">M121/AE121</f>
        <v>4.5483202749819087</v>
      </c>
      <c r="AW121" s="90">
        <f t="shared" si="337"/>
        <v>0.19737621871083863</v>
      </c>
    </row>
    <row r="122" spans="1:49" x14ac:dyDescent="0.25">
      <c r="A122" s="61">
        <v>2019</v>
      </c>
      <c r="B122" s="125">
        <v>144147</v>
      </c>
      <c r="C122" s="125">
        <v>127261.5</v>
      </c>
      <c r="D122" s="125">
        <v>132730.79999999999</v>
      </c>
      <c r="E122" s="125">
        <v>137246.79999999999</v>
      </c>
      <c r="F122" s="125">
        <v>137941.70000000001</v>
      </c>
      <c r="G122" s="125">
        <v>164382.1</v>
      </c>
      <c r="H122" s="190">
        <v>213095.7</v>
      </c>
      <c r="I122" s="190">
        <v>220861.9</v>
      </c>
      <c r="J122" s="190">
        <v>197329.7</v>
      </c>
      <c r="K122" s="190">
        <v>218736.7</v>
      </c>
      <c r="L122" s="190">
        <v>137095.6</v>
      </c>
      <c r="M122" s="190">
        <v>140817.4</v>
      </c>
      <c r="N122" s="67">
        <f t="shared" si="308"/>
        <v>2168881.2999999998</v>
      </c>
      <c r="O122" s="115">
        <f>SUM(B122:M122)</f>
        <v>1971646.9</v>
      </c>
      <c r="P122" s="136">
        <f t="shared" si="324"/>
        <v>11001265.585000001</v>
      </c>
      <c r="Q122" s="138">
        <f t="shared" si="310"/>
        <v>2200253.1170000001</v>
      </c>
      <c r="R122" s="108"/>
      <c r="S122" s="61">
        <v>2019</v>
      </c>
      <c r="T122" s="190">
        <v>30208</v>
      </c>
      <c r="U122" s="190">
        <v>30216</v>
      </c>
      <c r="V122" s="190">
        <v>30248</v>
      </c>
      <c r="W122" s="190">
        <v>30314</v>
      </c>
      <c r="X122" s="190">
        <v>30337</v>
      </c>
      <c r="Y122" s="190">
        <v>30343</v>
      </c>
      <c r="Z122" s="190">
        <v>30370</v>
      </c>
      <c r="AA122" s="190">
        <v>30358</v>
      </c>
      <c r="AB122" s="190">
        <v>30360</v>
      </c>
      <c r="AC122" s="190">
        <v>30359</v>
      </c>
      <c r="AD122" s="190">
        <v>30316</v>
      </c>
      <c r="AE122" s="190">
        <v>30283</v>
      </c>
      <c r="AF122" s="8">
        <f t="shared" si="311"/>
        <v>30266.333333333332</v>
      </c>
      <c r="AG122" s="6">
        <f t="shared" si="325"/>
        <v>30309.333333333332</v>
      </c>
      <c r="AJ122" s="61">
        <v>2019</v>
      </c>
      <c r="AK122" s="9">
        <f t="shared" si="312"/>
        <v>4.7718154131355934</v>
      </c>
      <c r="AL122" s="9">
        <f t="shared" si="349"/>
        <v>4.2117255758538521</v>
      </c>
      <c r="AM122" s="9">
        <f t="shared" si="350"/>
        <v>4.3880851626553818</v>
      </c>
      <c r="AN122" s="9">
        <f t="shared" si="351"/>
        <v>4.5275054430296233</v>
      </c>
      <c r="AO122" s="9">
        <f t="shared" si="352"/>
        <v>4.5469789366120583</v>
      </c>
      <c r="AP122" s="9">
        <f t="shared" si="353"/>
        <v>5.4174636654253039</v>
      </c>
      <c r="AQ122" s="9">
        <f t="shared" ref="AQ122:AQ133" si="360">H122/Z122</f>
        <v>7.0166513006256181</v>
      </c>
      <c r="AR122" s="9">
        <f t="shared" ref="AR122:AR133" si="361">I122/AA122</f>
        <v>7.2752454048356281</v>
      </c>
      <c r="AS122" s="9">
        <f t="shared" ref="AS122:AS133" si="362">J122/AB122</f>
        <v>6.4996607378129125</v>
      </c>
      <c r="AT122" s="9">
        <f t="shared" ref="AT122:AT133" si="363">K122/AC122</f>
        <v>7.2050034586119445</v>
      </c>
      <c r="AU122" s="9">
        <f t="shared" ref="AU122:AU133" si="364">L122/AD122</f>
        <v>4.522219290143819</v>
      </c>
      <c r="AV122" s="9">
        <f t="shared" ref="AV122:AV133" si="365">M122/AE122</f>
        <v>4.6500478816497699</v>
      </c>
      <c r="AW122" s="90">
        <f t="shared" si="337"/>
        <v>0.17804901374508283</v>
      </c>
    </row>
    <row r="123" spans="1:49" x14ac:dyDescent="0.25">
      <c r="A123" s="61">
        <v>2018</v>
      </c>
      <c r="B123" s="116">
        <v>158418.9</v>
      </c>
      <c r="C123" s="116">
        <v>138744.20000000001</v>
      </c>
      <c r="D123" s="116">
        <v>114264.6</v>
      </c>
      <c r="E123" s="116">
        <v>147144.79999999999</v>
      </c>
      <c r="F123" s="116">
        <v>148644.4</v>
      </c>
      <c r="G123" s="116">
        <v>274837.8</v>
      </c>
      <c r="H123" s="116">
        <v>305647.40000000002</v>
      </c>
      <c r="I123" s="116">
        <v>302047.8</v>
      </c>
      <c r="J123" s="116">
        <v>223367</v>
      </c>
      <c r="K123" s="116">
        <v>215711.2</v>
      </c>
      <c r="L123" s="116">
        <v>153192.5</v>
      </c>
      <c r="M123" s="116">
        <v>125205.5</v>
      </c>
      <c r="N123" s="67">
        <f t="shared" si="308"/>
        <v>2404555.4</v>
      </c>
      <c r="O123" s="115">
        <f t="shared" ref="O123:O134" si="366">SUM(B123:M123)</f>
        <v>2307226.1</v>
      </c>
      <c r="P123" s="136">
        <f t="shared" si="324"/>
        <v>11276681.775000002</v>
      </c>
      <c r="Q123" s="138">
        <f t="shared" si="310"/>
        <v>2255336.3550000004</v>
      </c>
      <c r="R123" s="148"/>
      <c r="S123" s="61">
        <v>2018</v>
      </c>
      <c r="T123" s="35">
        <v>30136</v>
      </c>
      <c r="U123" s="35">
        <v>30144</v>
      </c>
      <c r="V123" s="35">
        <v>30154</v>
      </c>
      <c r="W123" s="35">
        <v>30235</v>
      </c>
      <c r="X123" s="35">
        <v>30253</v>
      </c>
      <c r="Y123" s="35">
        <v>30246</v>
      </c>
      <c r="Z123" s="35">
        <v>30281</v>
      </c>
      <c r="AA123" s="35">
        <v>30292</v>
      </c>
      <c r="AB123" s="35">
        <v>30293</v>
      </c>
      <c r="AC123" s="35">
        <v>30254</v>
      </c>
      <c r="AD123" s="35">
        <v>30211</v>
      </c>
      <c r="AE123" s="35">
        <v>30199</v>
      </c>
      <c r="AF123" s="8">
        <f t="shared" si="311"/>
        <v>30181.083333333332</v>
      </c>
      <c r="AG123" s="6">
        <f t="shared" si="325"/>
        <v>30224.833333333332</v>
      </c>
      <c r="AJ123" s="61">
        <v>2018</v>
      </c>
      <c r="AK123" s="9">
        <f t="shared" si="312"/>
        <v>5.2567991770639768</v>
      </c>
      <c r="AL123" s="9">
        <f t="shared" si="349"/>
        <v>4.6027136411889602</v>
      </c>
      <c r="AM123" s="9">
        <f t="shared" si="350"/>
        <v>3.7893679113882075</v>
      </c>
      <c r="AN123" s="9">
        <f t="shared" si="351"/>
        <v>4.8667041508185873</v>
      </c>
      <c r="AO123" s="9">
        <f t="shared" si="352"/>
        <v>4.9133771857336459</v>
      </c>
      <c r="AP123" s="9">
        <f t="shared" si="353"/>
        <v>9.0867486609799641</v>
      </c>
      <c r="AQ123" s="9">
        <f t="shared" si="360"/>
        <v>10.093702321587795</v>
      </c>
      <c r="AR123" s="9">
        <f t="shared" si="361"/>
        <v>9.9712069193186323</v>
      </c>
      <c r="AS123" s="9">
        <f t="shared" si="362"/>
        <v>7.3735516455946915</v>
      </c>
      <c r="AT123" s="9">
        <f t="shared" si="363"/>
        <v>7.1300059496264963</v>
      </c>
      <c r="AU123" s="9">
        <f t="shared" si="364"/>
        <v>5.0707523749627619</v>
      </c>
      <c r="AV123" s="9">
        <f t="shared" si="365"/>
        <v>4.1460147687009501</v>
      </c>
      <c r="AW123" s="90">
        <f t="shared" si="337"/>
        <v>0.20890060152488615</v>
      </c>
    </row>
    <row r="124" spans="1:49" x14ac:dyDescent="0.25">
      <c r="A124" s="3">
        <v>2017</v>
      </c>
      <c r="B124" s="66">
        <v>158916.44</v>
      </c>
      <c r="C124" s="66">
        <v>130598.5</v>
      </c>
      <c r="D124" s="66">
        <v>118504.5</v>
      </c>
      <c r="E124" s="66">
        <v>123254.3</v>
      </c>
      <c r="F124" s="66">
        <v>173738.2</v>
      </c>
      <c r="G124" s="66">
        <v>220274.3</v>
      </c>
      <c r="H124" s="116">
        <v>303178.40000000002</v>
      </c>
      <c r="I124" s="116">
        <v>322241.8</v>
      </c>
      <c r="J124" s="116">
        <v>252103.2</v>
      </c>
      <c r="K124" s="116">
        <v>254886</v>
      </c>
      <c r="L124" s="116">
        <v>161065.1</v>
      </c>
      <c r="M124" s="116">
        <v>129026.2</v>
      </c>
      <c r="N124" s="67">
        <f>SUM(B124:G124)+SUM(H125:M125)</f>
        <v>2198015.5159999998</v>
      </c>
      <c r="O124" s="115">
        <f t="shared" si="366"/>
        <v>2347786.9400000004</v>
      </c>
      <c r="P124" s="136">
        <f t="shared" si="324"/>
        <v>11271723.189000001</v>
      </c>
      <c r="Q124" s="138">
        <f>P124/5</f>
        <v>2254344.6378000001</v>
      </c>
      <c r="R124" s="151"/>
      <c r="S124" s="3">
        <v>2017</v>
      </c>
      <c r="T124" s="6">
        <v>30021</v>
      </c>
      <c r="U124" s="6">
        <v>30027</v>
      </c>
      <c r="V124" s="6">
        <v>30084</v>
      </c>
      <c r="W124" s="6">
        <v>30126</v>
      </c>
      <c r="X124" s="6">
        <v>30144</v>
      </c>
      <c r="Y124" s="6">
        <v>30159</v>
      </c>
      <c r="Z124" s="6">
        <v>30190</v>
      </c>
      <c r="AA124" s="6">
        <v>30203</v>
      </c>
      <c r="AB124" s="6">
        <v>30186</v>
      </c>
      <c r="AC124" s="6">
        <v>30176</v>
      </c>
      <c r="AD124" s="6">
        <v>30125</v>
      </c>
      <c r="AE124" s="6">
        <v>30125</v>
      </c>
      <c r="AF124" s="8">
        <f>(SUM(T124:Y124)+SUM(Z125:AE125))/12</f>
        <v>30061.416666666668</v>
      </c>
      <c r="AG124" s="6">
        <f t="shared" si="325"/>
        <v>30130.5</v>
      </c>
      <c r="AJ124" s="3">
        <v>2017</v>
      </c>
      <c r="AK124" s="9">
        <f t="shared" si="312"/>
        <v>5.2935092102195132</v>
      </c>
      <c r="AL124" s="9">
        <f t="shared" si="349"/>
        <v>4.3493689013221433</v>
      </c>
      <c r="AM124" s="9">
        <f t="shared" si="350"/>
        <v>3.9391204627044276</v>
      </c>
      <c r="AN124" s="9">
        <f t="shared" si="351"/>
        <v>4.0912932350793332</v>
      </c>
      <c r="AO124" s="9">
        <f t="shared" si="352"/>
        <v>5.7636080148619957</v>
      </c>
      <c r="AP124" s="9">
        <f t="shared" si="353"/>
        <v>7.303766703140024</v>
      </c>
      <c r="AQ124" s="9">
        <f t="shared" si="360"/>
        <v>10.042345147399802</v>
      </c>
      <c r="AR124" s="9">
        <f t="shared" si="361"/>
        <v>10.669198423997615</v>
      </c>
      <c r="AS124" s="9">
        <f t="shared" si="362"/>
        <v>8.3516597097992449</v>
      </c>
      <c r="AT124" s="9">
        <f t="shared" si="363"/>
        <v>8.4466463414634152</v>
      </c>
      <c r="AU124" s="9">
        <f t="shared" si="364"/>
        <v>5.3465593360995856</v>
      </c>
      <c r="AV124" s="9">
        <f t="shared" si="365"/>
        <v>4.2830273858921162</v>
      </c>
      <c r="AW124" s="90">
        <f t="shared" si="337"/>
        <v>0.21322410094997732</v>
      </c>
    </row>
    <row r="125" spans="1:49" x14ac:dyDescent="0.25">
      <c r="A125" s="3">
        <v>2016</v>
      </c>
      <c r="B125" s="66">
        <f>130097.939</f>
        <v>130097.939</v>
      </c>
      <c r="C125" s="66">
        <v>135140.32699999999</v>
      </c>
      <c r="D125" s="66">
        <v>136250.83600000001</v>
      </c>
      <c r="E125" s="66">
        <v>148546.44</v>
      </c>
      <c r="F125" s="66">
        <v>152279.872</v>
      </c>
      <c r="G125" s="66">
        <v>218226.6</v>
      </c>
      <c r="H125" s="66">
        <v>280839.32</v>
      </c>
      <c r="I125" s="66">
        <v>242808.5</v>
      </c>
      <c r="J125" s="66">
        <v>229779.1</v>
      </c>
      <c r="K125" s="66">
        <v>210273.99600000001</v>
      </c>
      <c r="L125" s="66">
        <v>166827.98800000001</v>
      </c>
      <c r="M125" s="66">
        <v>142200.372</v>
      </c>
      <c r="N125" s="67">
        <f t="shared" ref="N125:N134" si="367">SUM(B125:G125)+SUM(H126:M126)</f>
        <v>2177773.2489999998</v>
      </c>
      <c r="O125" s="115">
        <f t="shared" si="366"/>
        <v>2193271.29</v>
      </c>
      <c r="P125" s="136">
        <f t="shared" si="324"/>
        <v>11729343.249000002</v>
      </c>
      <c r="Q125" s="138">
        <f t="shared" ref="Q125:Q129" si="368">P125/5</f>
        <v>2345868.6498000002</v>
      </c>
      <c r="R125" s="151"/>
      <c r="S125" s="3">
        <v>2016</v>
      </c>
      <c r="T125" s="6">
        <v>29864</v>
      </c>
      <c r="U125" s="6">
        <v>29886</v>
      </c>
      <c r="V125" s="6">
        <v>29921</v>
      </c>
      <c r="W125" s="6">
        <v>29954</v>
      </c>
      <c r="X125" s="6">
        <v>29984</v>
      </c>
      <c r="Y125" s="6">
        <v>30001</v>
      </c>
      <c r="Z125" s="6">
        <v>30021</v>
      </c>
      <c r="AA125" s="6">
        <v>30066</v>
      </c>
      <c r="AB125" s="6">
        <v>30058</v>
      </c>
      <c r="AC125" s="6">
        <v>30034</v>
      </c>
      <c r="AD125" s="6">
        <v>29993</v>
      </c>
      <c r="AE125" s="6">
        <v>30004</v>
      </c>
      <c r="AF125" s="8">
        <f t="shared" ref="AF125:AF133" si="369">(SUM(T125:Y125)+SUM(Z126:AE126))/12</f>
        <v>29901.083333333332</v>
      </c>
      <c r="AG125" s="6">
        <f t="shared" si="325"/>
        <v>29982.166666666668</v>
      </c>
      <c r="AJ125" s="3">
        <v>2016</v>
      </c>
      <c r="AK125" s="9">
        <f t="shared" si="312"/>
        <v>4.3563467385480843</v>
      </c>
      <c r="AL125" s="9">
        <f t="shared" si="349"/>
        <v>4.5218606370875989</v>
      </c>
      <c r="AM125" s="9">
        <f t="shared" si="350"/>
        <v>4.5536859062197124</v>
      </c>
      <c r="AN125" s="9">
        <f t="shared" si="351"/>
        <v>4.959152033117447</v>
      </c>
      <c r="AO125" s="9">
        <f t="shared" si="352"/>
        <v>5.0787043756670229</v>
      </c>
      <c r="AP125" s="9">
        <f t="shared" si="353"/>
        <v>7.2739775340821975</v>
      </c>
      <c r="AQ125" s="9">
        <f t="shared" si="360"/>
        <v>9.354762333033543</v>
      </c>
      <c r="AR125" s="9">
        <f t="shared" si="361"/>
        <v>8.0758497971130172</v>
      </c>
      <c r="AS125" s="9">
        <f t="shared" si="362"/>
        <v>7.6445239204205206</v>
      </c>
      <c r="AT125" s="9">
        <f t="shared" si="363"/>
        <v>7.0011985083571959</v>
      </c>
      <c r="AU125" s="9">
        <f t="shared" si="364"/>
        <v>5.5622307871836769</v>
      </c>
      <c r="AV125" s="9">
        <f t="shared" si="365"/>
        <v>4.7393804826023196</v>
      </c>
      <c r="AW125" s="90">
        <f t="shared" si="337"/>
        <v>0.20019623012575591</v>
      </c>
    </row>
    <row r="126" spans="1:49" x14ac:dyDescent="0.25">
      <c r="A126" s="3">
        <v>2015</v>
      </c>
      <c r="B126" s="66">
        <v>155478.9</v>
      </c>
      <c r="C126" s="66">
        <v>133132.5</v>
      </c>
      <c r="D126" s="66">
        <v>139990.5</v>
      </c>
      <c r="E126" s="66">
        <v>150030.20000000001</v>
      </c>
      <c r="F126" s="66">
        <v>165744.22700000001</v>
      </c>
      <c r="G126" s="66">
        <v>179726.79300000001</v>
      </c>
      <c r="H126" s="66">
        <v>184843.05</v>
      </c>
      <c r="I126" s="66">
        <v>229274.31700000001</v>
      </c>
      <c r="J126" s="66">
        <v>269233.44400000002</v>
      </c>
      <c r="K126" s="66">
        <v>245809</v>
      </c>
      <c r="L126" s="66">
        <v>171197.88399999999</v>
      </c>
      <c r="M126" s="66">
        <v>156873.54</v>
      </c>
      <c r="N126" s="67">
        <f t="shared" si="367"/>
        <v>2197229.52</v>
      </c>
      <c r="O126" s="115">
        <f t="shared" si="366"/>
        <v>2181334.3550000004</v>
      </c>
      <c r="P126" s="136">
        <f t="shared" si="324"/>
        <v>12120200.959000001</v>
      </c>
      <c r="Q126" s="138">
        <f t="shared" si="368"/>
        <v>2424040.1918000001</v>
      </c>
      <c r="R126" s="151"/>
      <c r="S126" s="3">
        <v>2015</v>
      </c>
      <c r="T126" s="6">
        <v>29714</v>
      </c>
      <c r="U126" s="6">
        <v>29724</v>
      </c>
      <c r="V126" s="6">
        <v>29750</v>
      </c>
      <c r="W126" s="6">
        <v>29805</v>
      </c>
      <c r="X126" s="6">
        <v>29819</v>
      </c>
      <c r="Y126" s="6">
        <v>29852</v>
      </c>
      <c r="Z126" s="6">
        <v>29856</v>
      </c>
      <c r="AA126" s="6">
        <v>29865</v>
      </c>
      <c r="AB126" s="6">
        <v>29884</v>
      </c>
      <c r="AC126" s="6">
        <v>29861</v>
      </c>
      <c r="AD126" s="6">
        <v>29870</v>
      </c>
      <c r="AE126" s="6">
        <v>29867</v>
      </c>
      <c r="AF126" s="8">
        <f t="shared" si="369"/>
        <v>29747.666666666668</v>
      </c>
      <c r="AG126" s="6">
        <f t="shared" si="325"/>
        <v>29822.25</v>
      </c>
      <c r="AJ126" s="3">
        <v>2015</v>
      </c>
      <c r="AK126" s="9">
        <f t="shared" si="312"/>
        <v>5.2325132933970515</v>
      </c>
      <c r="AL126" s="9">
        <f t="shared" si="349"/>
        <v>4.4789563988696006</v>
      </c>
      <c r="AM126" s="9">
        <f t="shared" si="350"/>
        <v>4.7055630252100844</v>
      </c>
      <c r="AN126" s="9">
        <f t="shared" si="351"/>
        <v>5.0337258849186384</v>
      </c>
      <c r="AO126" s="9">
        <f t="shared" si="352"/>
        <v>5.5583429021764648</v>
      </c>
      <c r="AP126" s="9">
        <f t="shared" si="353"/>
        <v>6.0205947005225786</v>
      </c>
      <c r="AQ126" s="9">
        <f t="shared" si="360"/>
        <v>6.1911525321543408</v>
      </c>
      <c r="AR126" s="9">
        <f t="shared" si="361"/>
        <v>7.6770238406161058</v>
      </c>
      <c r="AS126" s="9">
        <f t="shared" si="362"/>
        <v>9.0092840315888107</v>
      </c>
      <c r="AT126" s="9">
        <f t="shared" si="363"/>
        <v>8.2317738856702718</v>
      </c>
      <c r="AU126" s="9">
        <f t="shared" si="364"/>
        <v>5.7314323401406089</v>
      </c>
      <c r="AV126" s="9">
        <f t="shared" si="365"/>
        <v>5.2524036562091947</v>
      </c>
      <c r="AW126" s="90">
        <f t="shared" si="337"/>
        <v>0.20019922379595825</v>
      </c>
    </row>
    <row r="127" spans="1:49" x14ac:dyDescent="0.25">
      <c r="A127" s="3">
        <v>2014</v>
      </c>
      <c r="B127" s="66">
        <v>171907.8</v>
      </c>
      <c r="C127" s="66">
        <v>138844.19399999999</v>
      </c>
      <c r="D127" s="66">
        <v>140986.609</v>
      </c>
      <c r="E127" s="66">
        <v>152141.136</v>
      </c>
      <c r="F127" s="66">
        <v>165986.451</v>
      </c>
      <c r="G127" s="66">
        <v>204070.5</v>
      </c>
      <c r="H127" s="66">
        <v>268231.3</v>
      </c>
      <c r="I127" s="66">
        <v>282991.3</v>
      </c>
      <c r="J127" s="66">
        <v>227881.7</v>
      </c>
      <c r="K127" s="66">
        <v>203389.1</v>
      </c>
      <c r="L127" s="66">
        <v>134844.5</v>
      </c>
      <c r="M127" s="66">
        <v>155788.5</v>
      </c>
      <c r="N127" s="67">
        <f t="shared" si="367"/>
        <v>2342521.4139999999</v>
      </c>
      <c r="O127" s="115">
        <f t="shared" si="366"/>
        <v>2247063.09</v>
      </c>
      <c r="P127" s="136">
        <f t="shared" si="324"/>
        <v>12420932.604</v>
      </c>
      <c r="Q127" s="138">
        <f t="shared" si="368"/>
        <v>2484186.5208000001</v>
      </c>
      <c r="R127" s="151"/>
      <c r="S127" s="3">
        <v>2014</v>
      </c>
      <c r="T127" s="6">
        <v>29541</v>
      </c>
      <c r="U127" s="6">
        <v>29559</v>
      </c>
      <c r="V127" s="6">
        <v>29576</v>
      </c>
      <c r="W127" s="6">
        <v>29616</v>
      </c>
      <c r="X127" s="6">
        <v>29657</v>
      </c>
      <c r="Y127" s="6">
        <v>29679</v>
      </c>
      <c r="Z127" s="6">
        <v>29714</v>
      </c>
      <c r="AA127" s="6">
        <v>29731</v>
      </c>
      <c r="AB127" s="6">
        <v>29742</v>
      </c>
      <c r="AC127" s="6">
        <v>29741</v>
      </c>
      <c r="AD127" s="6">
        <v>29694</v>
      </c>
      <c r="AE127" s="6">
        <v>29686</v>
      </c>
      <c r="AF127" s="8">
        <f t="shared" si="369"/>
        <v>29598.25</v>
      </c>
      <c r="AG127" s="6">
        <f t="shared" si="325"/>
        <v>29661.333333333332</v>
      </c>
      <c r="AJ127" s="3">
        <v>2014</v>
      </c>
      <c r="AK127" s="9">
        <f t="shared" si="312"/>
        <v>5.819295216817304</v>
      </c>
      <c r="AL127" s="9">
        <f t="shared" si="349"/>
        <v>4.6971884705165934</v>
      </c>
      <c r="AM127" s="9">
        <f t="shared" si="350"/>
        <v>4.7669261901541793</v>
      </c>
      <c r="AN127" s="9">
        <f t="shared" si="351"/>
        <v>5.1371264181523504</v>
      </c>
      <c r="AO127" s="9">
        <f t="shared" si="352"/>
        <v>5.5968726101763497</v>
      </c>
      <c r="AP127" s="9">
        <f t="shared" si="353"/>
        <v>6.8759223693520672</v>
      </c>
      <c r="AQ127" s="9">
        <f t="shared" si="360"/>
        <v>9.027101702900989</v>
      </c>
      <c r="AR127" s="9">
        <f t="shared" si="361"/>
        <v>9.5183915778144019</v>
      </c>
      <c r="AS127" s="9">
        <f t="shared" si="362"/>
        <v>7.6619494317799752</v>
      </c>
      <c r="AT127" s="9">
        <f t="shared" si="363"/>
        <v>6.8386772468982215</v>
      </c>
      <c r="AU127" s="9">
        <f t="shared" si="364"/>
        <v>4.5411362564827913</v>
      </c>
      <c r="AV127" s="9">
        <f t="shared" si="365"/>
        <v>5.2478777875092639</v>
      </c>
      <c r="AW127" s="90">
        <f t="shared" si="337"/>
        <v>0.20733323827119643</v>
      </c>
    </row>
    <row r="128" spans="1:49" x14ac:dyDescent="0.25">
      <c r="A128" s="3">
        <v>2013</v>
      </c>
      <c r="B128" s="66">
        <v>164961.9</v>
      </c>
      <c r="C128" s="66">
        <v>145069.4</v>
      </c>
      <c r="D128" s="66">
        <v>136126.6</v>
      </c>
      <c r="E128" s="66">
        <v>148052.19</v>
      </c>
      <c r="F128" s="66">
        <v>166096</v>
      </c>
      <c r="G128" s="66">
        <v>173376.7</v>
      </c>
      <c r="H128" s="66">
        <v>229540.2</v>
      </c>
      <c r="I128" s="66">
        <v>270558.02399999998</v>
      </c>
      <c r="J128" s="66">
        <v>306313</v>
      </c>
      <c r="K128" s="66">
        <v>253821.3</v>
      </c>
      <c r="L128" s="66">
        <v>160182</v>
      </c>
      <c r="M128" s="66">
        <v>148170.20000000001</v>
      </c>
      <c r="N128" s="67">
        <f t="shared" si="367"/>
        <v>2592336.79</v>
      </c>
      <c r="O128" s="115">
        <f t="shared" si="366"/>
        <v>2302267.5140000004</v>
      </c>
      <c r="P128" s="136">
        <f t="shared" si="324"/>
        <v>12434146.514</v>
      </c>
      <c r="Q128" s="138">
        <f t="shared" si="368"/>
        <v>2486829.3028000002</v>
      </c>
      <c r="R128" s="151"/>
      <c r="S128" s="3">
        <v>2013</v>
      </c>
      <c r="T128" s="6">
        <v>29363</v>
      </c>
      <c r="U128" s="6">
        <v>29366</v>
      </c>
      <c r="V128" s="6">
        <v>29385</v>
      </c>
      <c r="W128" s="6">
        <v>29457</v>
      </c>
      <c r="X128" s="6">
        <v>26084</v>
      </c>
      <c r="Y128" s="6">
        <v>29520</v>
      </c>
      <c r="Z128" s="6">
        <v>29815</v>
      </c>
      <c r="AA128" s="6">
        <v>29545</v>
      </c>
      <c r="AB128" s="6">
        <v>29568</v>
      </c>
      <c r="AC128" s="6">
        <v>29578</v>
      </c>
      <c r="AD128" s="6">
        <v>29516</v>
      </c>
      <c r="AE128" s="6">
        <v>29529</v>
      </c>
      <c r="AF128" s="8">
        <f t="shared" si="369"/>
        <v>29115</v>
      </c>
      <c r="AG128" s="6">
        <f t="shared" si="325"/>
        <v>29227.166666666668</v>
      </c>
      <c r="AJ128" s="3">
        <v>2013</v>
      </c>
      <c r="AK128" s="9">
        <f t="shared" si="312"/>
        <v>5.6180192759595409</v>
      </c>
      <c r="AL128" s="9">
        <f t="shared" si="349"/>
        <v>4.9400463120615674</v>
      </c>
      <c r="AM128" s="9">
        <f t="shared" si="350"/>
        <v>4.6325199931938066</v>
      </c>
      <c r="AN128" s="9">
        <f t="shared" si="351"/>
        <v>5.0260444037070986</v>
      </c>
      <c r="AO128" s="9">
        <f t="shared" si="352"/>
        <v>6.3677350099677961</v>
      </c>
      <c r="AP128" s="9">
        <f t="shared" si="353"/>
        <v>5.8731944444444446</v>
      </c>
      <c r="AQ128" s="9">
        <f t="shared" si="360"/>
        <v>7.6988160321985584</v>
      </c>
      <c r="AR128" s="9">
        <f t="shared" si="361"/>
        <v>9.1574893890675231</v>
      </c>
      <c r="AS128" s="9">
        <f t="shared" si="362"/>
        <v>10.359611742424242</v>
      </c>
      <c r="AT128" s="9">
        <f t="shared" si="363"/>
        <v>8.5814220028399486</v>
      </c>
      <c r="AU128" s="9">
        <f t="shared" si="364"/>
        <v>5.4269548719338667</v>
      </c>
      <c r="AV128" s="9">
        <f t="shared" si="365"/>
        <v>5.0177859053811513</v>
      </c>
      <c r="AW128" s="90">
        <f t="shared" si="337"/>
        <v>0.21546786963225065</v>
      </c>
    </row>
    <row r="129" spans="1:49" x14ac:dyDescent="0.25">
      <c r="A129" s="3">
        <v>2012</v>
      </c>
      <c r="B129" s="66">
        <v>165970</v>
      </c>
      <c r="C129" s="66">
        <v>150006</v>
      </c>
      <c r="D129" s="66">
        <v>153652</v>
      </c>
      <c r="E129" s="66">
        <v>158391</v>
      </c>
      <c r="F129" s="66">
        <v>184078</v>
      </c>
      <c r="G129" s="66">
        <v>334656</v>
      </c>
      <c r="H129" s="66">
        <v>461868</v>
      </c>
      <c r="I129" s="66">
        <v>442665</v>
      </c>
      <c r="J129" s="66">
        <v>255526</v>
      </c>
      <c r="K129" s="66">
        <v>194001</v>
      </c>
      <c r="L129" s="66">
        <v>158187</v>
      </c>
      <c r="M129" s="66">
        <v>146407</v>
      </c>
      <c r="N129" s="67">
        <f t="shared" si="367"/>
        <v>2714292</v>
      </c>
      <c r="O129" s="115">
        <f t="shared" si="366"/>
        <v>2805407</v>
      </c>
      <c r="P129" s="136">
        <f t="shared" si="324"/>
        <v>12496398</v>
      </c>
      <c r="Q129" s="138">
        <f t="shared" si="368"/>
        <v>2499279.6</v>
      </c>
      <c r="R129" s="151"/>
      <c r="S129" s="3">
        <v>2012</v>
      </c>
      <c r="T129" s="6">
        <v>29211</v>
      </c>
      <c r="U129" s="6">
        <v>29205</v>
      </c>
      <c r="V129" s="6">
        <v>29253</v>
      </c>
      <c r="W129" s="6">
        <v>29287</v>
      </c>
      <c r="X129" s="6">
        <v>29330</v>
      </c>
      <c r="Y129" s="6">
        <v>29369</v>
      </c>
      <c r="Z129" s="6">
        <v>29386</v>
      </c>
      <c r="AA129" s="6">
        <v>29393</v>
      </c>
      <c r="AB129" s="6">
        <v>29391</v>
      </c>
      <c r="AC129" s="6">
        <v>29358</v>
      </c>
      <c r="AD129" s="6">
        <v>29335</v>
      </c>
      <c r="AE129" s="6">
        <v>29342</v>
      </c>
      <c r="AF129" s="8">
        <f t="shared" si="369"/>
        <v>29268.25</v>
      </c>
      <c r="AG129" s="6">
        <f t="shared" si="325"/>
        <v>29321.666666666668</v>
      </c>
      <c r="AJ129" s="3">
        <v>2012</v>
      </c>
      <c r="AK129" s="9">
        <f t="shared" si="312"/>
        <v>5.6817637191468968</v>
      </c>
      <c r="AL129" s="9">
        <f t="shared" si="349"/>
        <v>5.1363122752953263</v>
      </c>
      <c r="AM129" s="9">
        <f t="shared" si="350"/>
        <v>5.252521108946091</v>
      </c>
      <c r="AN129" s="9">
        <f t="shared" si="351"/>
        <v>5.4082357359920783</v>
      </c>
      <c r="AO129" s="9">
        <f t="shared" si="352"/>
        <v>6.2760995567678144</v>
      </c>
      <c r="AP129" s="9">
        <f t="shared" si="353"/>
        <v>11.394872144097517</v>
      </c>
      <c r="AQ129" s="9">
        <f t="shared" si="360"/>
        <v>15.717280337575716</v>
      </c>
      <c r="AR129" s="9">
        <f t="shared" si="361"/>
        <v>15.060218419351546</v>
      </c>
      <c r="AS129" s="9">
        <f t="shared" si="362"/>
        <v>8.6940219795175402</v>
      </c>
      <c r="AT129" s="9">
        <f t="shared" si="363"/>
        <v>6.6081136317187816</v>
      </c>
      <c r="AU129" s="9">
        <f t="shared" si="364"/>
        <v>5.3924322481677178</v>
      </c>
      <c r="AV129" s="9">
        <f t="shared" si="365"/>
        <v>4.9896735055551771</v>
      </c>
      <c r="AW129" s="90">
        <f t="shared" si="337"/>
        <v>0.26177014281213468</v>
      </c>
    </row>
    <row r="130" spans="1:49" x14ac:dyDescent="0.25">
      <c r="A130" s="3">
        <v>2011</v>
      </c>
      <c r="B130" s="66">
        <v>174393</v>
      </c>
      <c r="C130" s="66">
        <v>152354</v>
      </c>
      <c r="D130" s="66">
        <v>149197</v>
      </c>
      <c r="E130" s="66">
        <v>146070</v>
      </c>
      <c r="F130" s="66">
        <v>161472</v>
      </c>
      <c r="G130" s="66">
        <v>233104</v>
      </c>
      <c r="H130" s="66">
        <v>262290</v>
      </c>
      <c r="I130" s="66">
        <v>388230</v>
      </c>
      <c r="J130" s="66">
        <v>339929</v>
      </c>
      <c r="K130" s="66">
        <v>247261</v>
      </c>
      <c r="L130" s="66">
        <v>178647</v>
      </c>
      <c r="M130" s="66">
        <v>151182</v>
      </c>
      <c r="N130" s="67">
        <f t="shared" si="367"/>
        <v>2463223</v>
      </c>
      <c r="O130" s="115">
        <f t="shared" si="366"/>
        <v>2584129</v>
      </c>
      <c r="P130" s="47"/>
      <c r="Q130" s="117"/>
      <c r="R130" s="151"/>
      <c r="S130" s="3">
        <v>2011</v>
      </c>
      <c r="T130" s="6">
        <v>29128</v>
      </c>
      <c r="U130" s="6">
        <v>29127</v>
      </c>
      <c r="V130" s="6">
        <v>29140</v>
      </c>
      <c r="W130" s="6">
        <v>29185</v>
      </c>
      <c r="X130" s="6">
        <v>29221</v>
      </c>
      <c r="Y130" s="6">
        <v>29247</v>
      </c>
      <c r="Z130" s="6">
        <v>29268</v>
      </c>
      <c r="AA130" s="6">
        <v>29266</v>
      </c>
      <c r="AB130" s="6">
        <v>29294</v>
      </c>
      <c r="AC130" s="6">
        <v>29265</v>
      </c>
      <c r="AD130" s="6">
        <v>29245</v>
      </c>
      <c r="AE130" s="6">
        <v>29226</v>
      </c>
      <c r="AF130" s="8">
        <f t="shared" si="369"/>
        <v>29167.333333333332</v>
      </c>
      <c r="AG130" s="6">
        <f t="shared" si="325"/>
        <v>29217.666666666668</v>
      </c>
      <c r="AJ130" s="3">
        <v>2011</v>
      </c>
      <c r="AK130" s="9">
        <f t="shared" si="312"/>
        <v>5.9871257896182364</v>
      </c>
      <c r="AL130" s="9">
        <f t="shared" si="349"/>
        <v>5.2306794383218316</v>
      </c>
      <c r="AM130" s="9">
        <f t="shared" si="350"/>
        <v>5.1200068634179825</v>
      </c>
      <c r="AN130" s="9">
        <f t="shared" si="351"/>
        <v>5.0049683056364573</v>
      </c>
      <c r="AO130" s="9">
        <f t="shared" si="352"/>
        <v>5.5258889155059716</v>
      </c>
      <c r="AP130" s="9">
        <f t="shared" si="353"/>
        <v>7.9701849762368786</v>
      </c>
      <c r="AQ130" s="9">
        <f t="shared" si="360"/>
        <v>8.961664616646166</v>
      </c>
      <c r="AR130" s="9">
        <f t="shared" si="361"/>
        <v>13.265564135857309</v>
      </c>
      <c r="AS130" s="9">
        <f t="shared" si="362"/>
        <v>11.60404861063699</v>
      </c>
      <c r="AT130" s="9">
        <f t="shared" si="363"/>
        <v>8.4490346830685112</v>
      </c>
      <c r="AU130" s="9">
        <f t="shared" si="364"/>
        <v>6.1086339545221406</v>
      </c>
      <c r="AV130" s="9">
        <f t="shared" si="365"/>
        <v>5.1728597823855473</v>
      </c>
      <c r="AW130" s="90">
        <f t="shared" si="337"/>
        <v>0.24202781676072285</v>
      </c>
    </row>
    <row r="131" spans="1:49" x14ac:dyDescent="0.25">
      <c r="A131" s="3">
        <v>2010</v>
      </c>
      <c r="B131" s="66">
        <v>172202</v>
      </c>
      <c r="C131" s="66">
        <v>135702</v>
      </c>
      <c r="D131" s="66">
        <v>149603</v>
      </c>
      <c r="E131" s="66">
        <v>167400</v>
      </c>
      <c r="F131" s="66">
        <v>179166</v>
      </c>
      <c r="G131" s="66">
        <v>231360</v>
      </c>
      <c r="H131" s="66">
        <v>293827</v>
      </c>
      <c r="I131" s="66">
        <v>290259</v>
      </c>
      <c r="J131" s="66">
        <v>275933</v>
      </c>
      <c r="K131" s="66">
        <v>229190</v>
      </c>
      <c r="L131" s="66">
        <v>194010</v>
      </c>
      <c r="M131" s="66">
        <v>163414</v>
      </c>
      <c r="N131" s="67">
        <f t="shared" si="367"/>
        <v>2300642</v>
      </c>
      <c r="O131" s="115">
        <f t="shared" si="366"/>
        <v>2482066</v>
      </c>
      <c r="P131" s="47"/>
      <c r="Q131" s="117"/>
      <c r="R131" s="151"/>
      <c r="S131" s="3">
        <v>2010</v>
      </c>
      <c r="T131" s="6">
        <v>28825</v>
      </c>
      <c r="U131" s="6">
        <v>28833</v>
      </c>
      <c r="V131" s="6">
        <v>29090</v>
      </c>
      <c r="W131" s="6">
        <v>29110</v>
      </c>
      <c r="X131" s="6">
        <v>29142</v>
      </c>
      <c r="Y131" s="6">
        <v>29164</v>
      </c>
      <c r="Z131" s="6">
        <v>29177</v>
      </c>
      <c r="AA131" s="6">
        <v>29169</v>
      </c>
      <c r="AB131" s="6">
        <v>29176</v>
      </c>
      <c r="AC131" s="6">
        <v>29161</v>
      </c>
      <c r="AD131" s="6">
        <v>29139</v>
      </c>
      <c r="AE131" s="6">
        <v>29138</v>
      </c>
      <c r="AF131" s="8">
        <f t="shared" si="369"/>
        <v>28934.75</v>
      </c>
      <c r="AG131" s="6">
        <f t="shared" si="325"/>
        <v>29093.666666666668</v>
      </c>
      <c r="AJ131" s="3">
        <v>2010</v>
      </c>
      <c r="AK131" s="9">
        <f t="shared" si="312"/>
        <v>5.9740503035559414</v>
      </c>
      <c r="AL131" s="9">
        <f t="shared" si="349"/>
        <v>4.7064821558630738</v>
      </c>
      <c r="AM131" s="9">
        <f t="shared" si="350"/>
        <v>5.1427638363698867</v>
      </c>
      <c r="AN131" s="9">
        <f t="shared" si="351"/>
        <v>5.7506011679835112</v>
      </c>
      <c r="AO131" s="9">
        <f t="shared" si="352"/>
        <v>6.1480337656989912</v>
      </c>
      <c r="AP131" s="9">
        <f t="shared" si="353"/>
        <v>7.9330681662323412</v>
      </c>
      <c r="AQ131" s="9">
        <f t="shared" si="360"/>
        <v>10.07050073688179</v>
      </c>
      <c r="AR131" s="9">
        <f t="shared" si="361"/>
        <v>9.9509410675717369</v>
      </c>
      <c r="AS131" s="9">
        <f t="shared" si="362"/>
        <v>9.4575335892514403</v>
      </c>
      <c r="AT131" s="9">
        <f t="shared" si="363"/>
        <v>7.8594698398545999</v>
      </c>
      <c r="AU131" s="9">
        <f t="shared" si="364"/>
        <v>6.658087099763204</v>
      </c>
      <c r="AV131" s="9">
        <f t="shared" si="365"/>
        <v>5.60827785022994</v>
      </c>
      <c r="AW131" s="90">
        <f t="shared" si="337"/>
        <v>0.23342863676730036</v>
      </c>
    </row>
    <row r="132" spans="1:49" x14ac:dyDescent="0.25">
      <c r="A132" s="3">
        <v>2009</v>
      </c>
      <c r="B132" s="66">
        <v>177892</v>
      </c>
      <c r="C132" s="66">
        <v>146574</v>
      </c>
      <c r="D132" s="66">
        <v>146394</v>
      </c>
      <c r="E132" s="66">
        <v>137708</v>
      </c>
      <c r="F132" s="66">
        <v>179067</v>
      </c>
      <c r="G132" s="66">
        <v>207433</v>
      </c>
      <c r="H132" s="66">
        <v>270503</v>
      </c>
      <c r="I132" s="66">
        <v>261013</v>
      </c>
      <c r="J132" s="66">
        <v>246130</v>
      </c>
      <c r="K132" s="66">
        <v>195823</v>
      </c>
      <c r="L132" s="66">
        <v>142582</v>
      </c>
      <c r="M132" s="66">
        <v>149158</v>
      </c>
      <c r="N132" s="67">
        <f t="shared" si="367"/>
        <v>2355031</v>
      </c>
      <c r="O132" s="115">
        <f t="shared" si="366"/>
        <v>2260277</v>
      </c>
      <c r="P132" s="47"/>
      <c r="Q132" s="117"/>
      <c r="R132" s="151"/>
      <c r="S132" s="3">
        <v>2009</v>
      </c>
      <c r="T132" s="6">
        <v>28758</v>
      </c>
      <c r="U132" s="6">
        <v>28753</v>
      </c>
      <c r="V132" s="6">
        <v>28767</v>
      </c>
      <c r="W132" s="6">
        <v>28811</v>
      </c>
      <c r="X132" s="6">
        <v>28837</v>
      </c>
      <c r="Y132" s="6">
        <v>28845</v>
      </c>
      <c r="Z132" s="6">
        <v>28867</v>
      </c>
      <c r="AA132" s="6">
        <v>28868</v>
      </c>
      <c r="AB132" s="6">
        <v>28851</v>
      </c>
      <c r="AC132" s="6">
        <v>28816</v>
      </c>
      <c r="AD132" s="6">
        <v>28827</v>
      </c>
      <c r="AE132" s="6">
        <v>28824</v>
      </c>
      <c r="AF132" s="8">
        <f t="shared" si="369"/>
        <v>28800.75</v>
      </c>
      <c r="AG132" s="6">
        <f t="shared" si="325"/>
        <v>28818.666666666668</v>
      </c>
      <c r="AJ132" s="3">
        <v>2009</v>
      </c>
      <c r="AK132" s="9">
        <f t="shared" si="312"/>
        <v>6.1858265526114469</v>
      </c>
      <c r="AL132" s="9">
        <f t="shared" si="349"/>
        <v>5.0976941536535314</v>
      </c>
      <c r="AM132" s="9">
        <f t="shared" si="350"/>
        <v>5.0889560955261235</v>
      </c>
      <c r="AN132" s="9">
        <f t="shared" si="351"/>
        <v>4.7797021970775049</v>
      </c>
      <c r="AO132" s="9">
        <f t="shared" si="352"/>
        <v>6.209626521482817</v>
      </c>
      <c r="AP132" s="9">
        <f t="shared" si="353"/>
        <v>7.1912983185994106</v>
      </c>
      <c r="AQ132" s="9">
        <f t="shared" si="360"/>
        <v>9.3706654657567459</v>
      </c>
      <c r="AR132" s="9">
        <f t="shared" si="361"/>
        <v>9.0416031592074262</v>
      </c>
      <c r="AS132" s="9">
        <f t="shared" si="362"/>
        <v>8.5310734463276834</v>
      </c>
      <c r="AT132" s="9">
        <f t="shared" si="363"/>
        <v>6.7956343697945583</v>
      </c>
      <c r="AU132" s="9">
        <f t="shared" si="364"/>
        <v>4.9461268949248964</v>
      </c>
      <c r="AV132" s="9">
        <f t="shared" si="365"/>
        <v>5.1747849014709963</v>
      </c>
      <c r="AW132" s="90">
        <f t="shared" si="337"/>
        <v>0.21468307207784565</v>
      </c>
    </row>
    <row r="133" spans="1:49" x14ac:dyDescent="0.25">
      <c r="A133" s="3">
        <v>2008</v>
      </c>
      <c r="B133" s="66">
        <v>193261</v>
      </c>
      <c r="C133" s="66">
        <v>148820</v>
      </c>
      <c r="D133" s="66">
        <v>148596</v>
      </c>
      <c r="E133" s="66">
        <v>160852</v>
      </c>
      <c r="F133" s="66">
        <v>150881</v>
      </c>
      <c r="G133" s="66">
        <v>202146</v>
      </c>
      <c r="H133" s="66">
        <v>298894</v>
      </c>
      <c r="I133" s="66">
        <v>290159</v>
      </c>
      <c r="J133" s="66">
        <v>236875</v>
      </c>
      <c r="K133" s="66">
        <v>224138</v>
      </c>
      <c r="L133" s="66">
        <v>135370</v>
      </c>
      <c r="M133" s="66">
        <v>174527</v>
      </c>
      <c r="N133" s="67">
        <f t="shared" si="367"/>
        <v>2799938.62</v>
      </c>
      <c r="O133" s="115">
        <f t="shared" si="366"/>
        <v>2364519</v>
      </c>
      <c r="P133" s="47"/>
      <c r="Q133" s="117"/>
      <c r="R133" s="151"/>
      <c r="S133" s="3">
        <v>2008</v>
      </c>
      <c r="T133" s="6">
        <v>28749</v>
      </c>
      <c r="U133" s="6">
        <v>28758</v>
      </c>
      <c r="V133" s="6">
        <v>28768</v>
      </c>
      <c r="W133" s="6">
        <v>28752</v>
      </c>
      <c r="X133" s="6">
        <v>28788</v>
      </c>
      <c r="Y133" s="6">
        <v>28792</v>
      </c>
      <c r="Z133" s="6">
        <v>28811</v>
      </c>
      <c r="AA133" s="6">
        <v>28810</v>
      </c>
      <c r="AB133" s="6">
        <v>28807</v>
      </c>
      <c r="AC133" s="6">
        <v>28818</v>
      </c>
      <c r="AD133" s="6">
        <v>28819</v>
      </c>
      <c r="AE133" s="6">
        <v>28773</v>
      </c>
      <c r="AF133" s="8">
        <f t="shared" si="369"/>
        <v>28756.25</v>
      </c>
      <c r="AG133" s="6">
        <f t="shared" si="325"/>
        <v>28787.083333333332</v>
      </c>
      <c r="AJ133" s="3">
        <v>2008</v>
      </c>
      <c r="AK133" s="9">
        <f t="shared" si="312"/>
        <v>6.7223555601933977</v>
      </c>
      <c r="AL133" s="9">
        <f t="shared" si="349"/>
        <v>5.1749078517282143</v>
      </c>
      <c r="AM133" s="9">
        <f t="shared" si="350"/>
        <v>5.165322580645161</v>
      </c>
      <c r="AN133" s="9">
        <f t="shared" si="351"/>
        <v>5.594462993878687</v>
      </c>
      <c r="AO133" s="9">
        <f t="shared" si="352"/>
        <v>5.2411074058635538</v>
      </c>
      <c r="AP133" s="9">
        <f t="shared" si="353"/>
        <v>7.0209085857182547</v>
      </c>
      <c r="AQ133" s="9">
        <f t="shared" si="360"/>
        <v>10.37430148207282</v>
      </c>
      <c r="AR133" s="9">
        <f t="shared" si="361"/>
        <v>10.071468240194378</v>
      </c>
      <c r="AS133" s="9">
        <f t="shared" si="362"/>
        <v>8.2228277849133899</v>
      </c>
      <c r="AT133" s="9">
        <f t="shared" si="363"/>
        <v>7.7777083767090014</v>
      </c>
      <c r="AU133" s="9">
        <f t="shared" si="364"/>
        <v>4.6972483431069785</v>
      </c>
      <c r="AV133" s="9">
        <f t="shared" si="365"/>
        <v>6.065651826364995</v>
      </c>
      <c r="AW133" s="90">
        <f t="shared" si="337"/>
        <v>0.22485495148908644</v>
      </c>
    </row>
    <row r="134" spans="1:49" x14ac:dyDescent="0.25">
      <c r="A134" s="3">
        <v>2007</v>
      </c>
      <c r="B134" s="66"/>
      <c r="C134" s="66"/>
      <c r="D134" s="66"/>
      <c r="E134" s="66"/>
      <c r="F134" s="66"/>
      <c r="G134" s="66"/>
      <c r="H134" s="66">
        <v>368037.66</v>
      </c>
      <c r="I134" s="66">
        <v>425250.38</v>
      </c>
      <c r="J134" s="66">
        <v>340500.99000000005</v>
      </c>
      <c r="K134" s="66">
        <v>305272.05</v>
      </c>
      <c r="L134" s="66">
        <v>210608.34999999998</v>
      </c>
      <c r="M134" s="66">
        <v>145713.19000000003</v>
      </c>
      <c r="N134" s="67">
        <f t="shared" si="367"/>
        <v>0</v>
      </c>
      <c r="O134" s="115">
        <f t="shared" si="366"/>
        <v>1795382.62</v>
      </c>
      <c r="P134" s="47"/>
      <c r="Q134" s="117"/>
      <c r="R134" s="151"/>
      <c r="S134" s="3">
        <v>2007</v>
      </c>
      <c r="T134" s="6">
        <v>28556</v>
      </c>
      <c r="U134" s="6">
        <v>28594</v>
      </c>
      <c r="V134" s="6">
        <v>28638</v>
      </c>
      <c r="W134" s="6">
        <v>28678</v>
      </c>
      <c r="X134" s="6">
        <v>28695</v>
      </c>
      <c r="Y134" s="6">
        <v>28708</v>
      </c>
      <c r="Z134" s="6">
        <v>28743</v>
      </c>
      <c r="AA134" s="6">
        <v>28745</v>
      </c>
      <c r="AB134" s="6">
        <v>28757</v>
      </c>
      <c r="AC134" s="6">
        <v>28738</v>
      </c>
      <c r="AD134" s="6">
        <v>28738</v>
      </c>
      <c r="AE134" s="6">
        <v>28747</v>
      </c>
      <c r="AF134" s="8"/>
      <c r="AG134" s="6">
        <f t="shared" si="325"/>
        <v>28694.75</v>
      </c>
      <c r="AJ134" s="3">
        <v>2007</v>
      </c>
      <c r="AK134" s="9">
        <f t="shared" si="312"/>
        <v>0</v>
      </c>
      <c r="AL134" s="9">
        <f t="shared" si="349"/>
        <v>0</v>
      </c>
      <c r="AM134" s="9">
        <f t="shared" si="350"/>
        <v>0</v>
      </c>
      <c r="AN134" s="9">
        <f t="shared" si="351"/>
        <v>0</v>
      </c>
      <c r="AO134" s="9">
        <f t="shared" si="352"/>
        <v>0</v>
      </c>
      <c r="AP134" s="9">
        <f t="shared" si="353"/>
        <v>0</v>
      </c>
      <c r="AQ134" s="42">
        <f>AVERAGE(AQ129:AQ133)</f>
        <v>10.898882527786649</v>
      </c>
      <c r="AR134" s="9">
        <f>I134/AA134</f>
        <v>14.793890415724475</v>
      </c>
      <c r="AS134" s="9">
        <f>J134/AB134</f>
        <v>11.84062975971068</v>
      </c>
      <c r="AT134" s="9">
        <f>K134/AC134</f>
        <v>10.622592038416034</v>
      </c>
      <c r="AU134" s="9">
        <f>L134/AD134</f>
        <v>7.3285667061034161</v>
      </c>
      <c r="AV134" s="9">
        <f>M134/AE134</f>
        <v>5.0688137892649676</v>
      </c>
      <c r="AW134" s="90">
        <f t="shared" si="337"/>
        <v>0.16578610605614297</v>
      </c>
    </row>
    <row r="135" spans="1:49" ht="15.75" thickBot="1" x14ac:dyDescent="0.3">
      <c r="N135" s="118"/>
      <c r="O135" s="118"/>
    </row>
    <row r="136" spans="1:49" ht="15.75" thickTop="1" x14ac:dyDescent="0.25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97">
        <f>SUM(N118:N122)/5</f>
        <v>2144475.6678946675</v>
      </c>
      <c r="O136" s="97">
        <f>SUM(O118:O122)/5</f>
        <v>2130987.5110946679</v>
      </c>
      <c r="P136" s="50"/>
      <c r="Q136" s="120"/>
      <c r="R136" s="153"/>
      <c r="T136" s="70"/>
      <c r="U136" s="70"/>
      <c r="V136" s="35"/>
      <c r="W136" s="35"/>
      <c r="X136" s="35"/>
      <c r="Y136" s="35"/>
      <c r="Z136" s="70"/>
      <c r="AA136" s="70"/>
      <c r="AB136" s="70"/>
      <c r="AC136" s="70"/>
      <c r="AD136" s="70"/>
      <c r="AE136" s="70"/>
      <c r="AV136" s="3" t="s">
        <v>47</v>
      </c>
      <c r="AW136" s="92">
        <f>SUM(AW118:AW122)/5</f>
        <v>0.19095346392812385</v>
      </c>
    </row>
    <row r="137" spans="1:49" x14ac:dyDescent="0.25">
      <c r="A137" s="64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97"/>
      <c r="O137" s="97"/>
      <c r="P137" s="50"/>
      <c r="Q137" s="120"/>
      <c r="R137" s="153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V137" s="63" t="s">
        <v>89</v>
      </c>
      <c r="AW137" s="93">
        <f>SUM(AW119:AW123)/5</f>
        <v>0.19358108622155007</v>
      </c>
    </row>
    <row r="138" spans="1:49" x14ac:dyDescent="0.25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97"/>
      <c r="O138" s="97"/>
      <c r="P138" s="50"/>
      <c r="Q138" s="120"/>
      <c r="R138" s="153"/>
      <c r="AV138" s="3" t="s">
        <v>48</v>
      </c>
      <c r="AW138" s="92">
        <f>SUM(AW118:AW127)/10</f>
        <v>0.19846207143083933</v>
      </c>
    </row>
    <row r="140" spans="1:49" ht="60" x14ac:dyDescent="0.25">
      <c r="A140" s="165" t="s">
        <v>22</v>
      </c>
      <c r="B140" s="111" t="s">
        <v>0</v>
      </c>
      <c r="C140" s="111" t="s">
        <v>1</v>
      </c>
      <c r="D140" s="111" t="s">
        <v>2</v>
      </c>
      <c r="E140" s="111" t="s">
        <v>3</v>
      </c>
      <c r="F140" s="111" t="s">
        <v>4</v>
      </c>
      <c r="G140" s="111" t="s">
        <v>5</v>
      </c>
      <c r="H140" s="111" t="s">
        <v>6</v>
      </c>
      <c r="I140" s="111" t="s">
        <v>7</v>
      </c>
      <c r="J140" s="111" t="s">
        <v>8</v>
      </c>
      <c r="K140" s="111" t="s">
        <v>9</v>
      </c>
      <c r="L140" s="111" t="s">
        <v>10</v>
      </c>
      <c r="M140" s="111" t="s">
        <v>11</v>
      </c>
      <c r="N140" s="112" t="s">
        <v>78</v>
      </c>
      <c r="O140" s="112" t="s">
        <v>77</v>
      </c>
      <c r="P140" s="139" t="s">
        <v>162</v>
      </c>
      <c r="Q140" s="140" t="s">
        <v>72</v>
      </c>
      <c r="R140" s="148"/>
      <c r="S140" s="165" t="s">
        <v>35</v>
      </c>
      <c r="T140" s="5" t="s">
        <v>0</v>
      </c>
      <c r="U140" s="5" t="s">
        <v>1</v>
      </c>
      <c r="V140" s="5" t="s">
        <v>2</v>
      </c>
      <c r="W140" s="5" t="s">
        <v>3</v>
      </c>
      <c r="X140" s="5" t="s">
        <v>4</v>
      </c>
      <c r="Y140" s="5" t="s">
        <v>5</v>
      </c>
      <c r="Z140" s="5" t="s">
        <v>6</v>
      </c>
      <c r="AA140" s="5" t="s">
        <v>7</v>
      </c>
      <c r="AB140" s="5" t="s">
        <v>8</v>
      </c>
      <c r="AC140" s="5" t="s">
        <v>9</v>
      </c>
      <c r="AD140" s="5" t="s">
        <v>10</v>
      </c>
      <c r="AE140" s="5" t="s">
        <v>11</v>
      </c>
      <c r="AF140" s="30" t="s">
        <v>164</v>
      </c>
      <c r="AG140" s="30" t="s">
        <v>167</v>
      </c>
      <c r="AJ140" s="165" t="s">
        <v>55</v>
      </c>
      <c r="AK140" s="5" t="s">
        <v>0</v>
      </c>
      <c r="AL140" s="5" t="s">
        <v>1</v>
      </c>
      <c r="AM140" s="5" t="s">
        <v>2</v>
      </c>
      <c r="AN140" s="5" t="s">
        <v>3</v>
      </c>
      <c r="AO140" s="5" t="s">
        <v>4</v>
      </c>
      <c r="AP140" s="5" t="s">
        <v>5</v>
      </c>
      <c r="AQ140" s="5" t="s">
        <v>6</v>
      </c>
      <c r="AR140" s="5" t="s">
        <v>7</v>
      </c>
      <c r="AS140" s="5" t="s">
        <v>8</v>
      </c>
      <c r="AT140" s="5" t="s">
        <v>9</v>
      </c>
      <c r="AU140" s="5" t="s">
        <v>10</v>
      </c>
      <c r="AV140" s="5" t="s">
        <v>11</v>
      </c>
      <c r="AW140" s="5" t="s">
        <v>49</v>
      </c>
    </row>
    <row r="141" spans="1:49" x14ac:dyDescent="0.25">
      <c r="A141" s="77">
        <v>2023</v>
      </c>
      <c r="B141" s="189">
        <v>16404.996999999999</v>
      </c>
      <c r="C141" s="189">
        <v>12915.257000000001</v>
      </c>
      <c r="D141" s="189">
        <v>11927.424000000001</v>
      </c>
      <c r="E141" s="189">
        <v>14446.102999999999</v>
      </c>
      <c r="F141" s="189">
        <v>13419.39</v>
      </c>
      <c r="G141" s="189">
        <v>15330.09</v>
      </c>
      <c r="H141" s="189">
        <v>17674.260000000002</v>
      </c>
      <c r="I141" s="189">
        <v>14342.807000000001</v>
      </c>
      <c r="J141" s="189">
        <v>15942.985000000001</v>
      </c>
      <c r="K141" s="189">
        <v>13516.034</v>
      </c>
      <c r="L141" s="189">
        <v>14253.635</v>
      </c>
      <c r="M141" s="189">
        <v>13015.4</v>
      </c>
      <c r="N141" s="67">
        <f t="shared" ref="N141:N146" si="370">SUM(B141:G141)+SUM(H142:M142)</f>
        <v>173852.42700000003</v>
      </c>
      <c r="O141" s="115">
        <f t="shared" ref="O141:O144" si="371">SUM(B141:M141)</f>
        <v>173188.38200000001</v>
      </c>
      <c r="P141" s="136">
        <f>SUM(O141:O145)</f>
        <v>873793.79999999993</v>
      </c>
      <c r="Q141" s="138">
        <f t="shared" ref="Q141:Q146" si="372">P141/5</f>
        <v>174758.75999999998</v>
      </c>
      <c r="R141" s="148"/>
      <c r="S141" s="77">
        <v>2023</v>
      </c>
      <c r="T141" s="189">
        <v>4324</v>
      </c>
      <c r="U141" s="189">
        <v>4334</v>
      </c>
      <c r="V141" s="189">
        <v>4339</v>
      </c>
      <c r="W141" s="189">
        <v>4338</v>
      </c>
      <c r="X141" s="189">
        <v>4340</v>
      </c>
      <c r="Y141" s="189">
        <v>4341</v>
      </c>
      <c r="Z141" s="189">
        <v>4343</v>
      </c>
      <c r="AA141" s="189">
        <v>4340</v>
      </c>
      <c r="AB141" s="189">
        <v>4335</v>
      </c>
      <c r="AC141" s="189">
        <v>4357</v>
      </c>
      <c r="AD141" s="189">
        <v>4351</v>
      </c>
      <c r="AE141" s="189">
        <v>4357</v>
      </c>
      <c r="AF141" s="88">
        <f t="shared" ref="AF141:AF146" si="373">(SUM(T141:Y141)+SUM(Z142:AE142))/12</f>
        <v>4332.583333333333</v>
      </c>
      <c r="AG141" s="6">
        <f>SUM(T141:AE141)/12</f>
        <v>4341.583333333333</v>
      </c>
      <c r="AJ141" s="77">
        <v>2023</v>
      </c>
      <c r="AK141" s="9">
        <f t="shared" ref="AK141:AK157" si="374">B141/T141</f>
        <v>3.7939401017576317</v>
      </c>
      <c r="AL141" s="9">
        <f t="shared" ref="AL141" si="375">C141/U141</f>
        <v>2.979985463774804</v>
      </c>
      <c r="AM141" s="9">
        <f t="shared" ref="AM141" si="376">D141/V141</f>
        <v>2.7488877621571794</v>
      </c>
      <c r="AN141" s="9">
        <f t="shared" ref="AN141" si="377">E141/W141</f>
        <v>3.330129783310281</v>
      </c>
      <c r="AO141" s="9">
        <f t="shared" ref="AO141" si="378">F141/X141</f>
        <v>3.0920253456221198</v>
      </c>
      <c r="AP141" s="9">
        <f t="shared" ref="AP141" si="379">G141/Y141</f>
        <v>3.5314651002073254</v>
      </c>
      <c r="AQ141" s="9">
        <f t="shared" ref="AQ141" si="380">H141/Z141</f>
        <v>4.069597052728529</v>
      </c>
      <c r="AR141" s="9">
        <f t="shared" ref="AR141" si="381">I141/AA141</f>
        <v>3.3047942396313368</v>
      </c>
      <c r="AS141" s="9">
        <f t="shared" ref="AS141" si="382">J141/AB141</f>
        <v>3.6777358708189158</v>
      </c>
      <c r="AT141" s="9">
        <f t="shared" ref="AT141" si="383">K141/AC141</f>
        <v>3.1021422997475327</v>
      </c>
      <c r="AU141" s="9">
        <f t="shared" ref="AU141" si="384">L141/AD141</f>
        <v>3.275944610434383</v>
      </c>
      <c r="AV141" s="9">
        <f t="shared" ref="AV141" si="385">M141/AE141</f>
        <v>2.9872389258664218</v>
      </c>
      <c r="AW141" s="90">
        <f>(SUM(AK141:AP141)+SUM(AQ141:AV141))/365.25</f>
        <v>0.10922350870925793</v>
      </c>
    </row>
    <row r="142" spans="1:49" x14ac:dyDescent="0.25">
      <c r="A142" s="61">
        <v>2022</v>
      </c>
      <c r="B142" s="190">
        <v>15244.871999999998</v>
      </c>
      <c r="C142" s="190">
        <v>13411.140999999998</v>
      </c>
      <c r="D142" s="190">
        <v>12984.874</v>
      </c>
      <c r="E142" s="190">
        <v>14750.529</v>
      </c>
      <c r="F142" s="190">
        <v>13434.071</v>
      </c>
      <c r="G142" s="190">
        <v>15060.997999999998</v>
      </c>
      <c r="H142" s="190">
        <v>16722.397000000001</v>
      </c>
      <c r="I142" s="190">
        <v>14693.539999999999</v>
      </c>
      <c r="J142" s="190">
        <v>16272.89</v>
      </c>
      <c r="K142" s="190">
        <v>13974.236999999999</v>
      </c>
      <c r="L142" s="190">
        <v>13767.604000000001</v>
      </c>
      <c r="M142" s="190">
        <v>13978.498000000001</v>
      </c>
      <c r="N142" s="67">
        <f t="shared" si="370"/>
        <v>173093.109</v>
      </c>
      <c r="O142" s="115">
        <f t="shared" si="371"/>
        <v>174295.65099999995</v>
      </c>
      <c r="P142" s="136">
        <f t="shared" ref="P142:P152" si="386">SUM(O142:O146)</f>
        <v>884038.81799999997</v>
      </c>
      <c r="Q142" s="138">
        <f t="shared" si="372"/>
        <v>176807.76360000001</v>
      </c>
      <c r="R142" s="148"/>
      <c r="S142" s="61">
        <v>2022</v>
      </c>
      <c r="T142" s="190">
        <v>4347</v>
      </c>
      <c r="U142" s="190">
        <v>4348</v>
      </c>
      <c r="V142" s="190">
        <v>4352</v>
      </c>
      <c r="W142" s="190">
        <v>4356</v>
      </c>
      <c r="X142" s="190">
        <v>4349</v>
      </c>
      <c r="Y142" s="190">
        <v>4340</v>
      </c>
      <c r="Z142" s="190">
        <v>4345</v>
      </c>
      <c r="AA142" s="190">
        <v>4329</v>
      </c>
      <c r="AB142" s="190">
        <v>4327</v>
      </c>
      <c r="AC142" s="190">
        <v>4323</v>
      </c>
      <c r="AD142" s="190">
        <v>4330</v>
      </c>
      <c r="AE142" s="190">
        <v>4321</v>
      </c>
      <c r="AF142" s="88">
        <f t="shared" si="373"/>
        <v>4351.166666666667</v>
      </c>
      <c r="AG142" s="6">
        <f t="shared" ref="AG142:AG157" si="387">SUM(T142:AE142)/12</f>
        <v>4338.916666666667</v>
      </c>
      <c r="AJ142" s="61">
        <v>2022</v>
      </c>
      <c r="AK142" s="9">
        <f t="shared" si="374"/>
        <v>3.5069868875086261</v>
      </c>
      <c r="AL142" s="9">
        <f t="shared" ref="AL142" si="388">C142/U142</f>
        <v>3.0844390524379022</v>
      </c>
      <c r="AM142" s="9">
        <f t="shared" ref="AM142" si="389">D142/V142</f>
        <v>2.9836567095588236</v>
      </c>
      <c r="AN142" s="9">
        <f t="shared" ref="AN142" si="390">E142/W142</f>
        <v>3.3862555096418734</v>
      </c>
      <c r="AO142" s="9">
        <f t="shared" ref="AO142" si="391">F142/X142</f>
        <v>3.0890022993791675</v>
      </c>
      <c r="AP142" s="9">
        <f t="shared" ref="AP142" si="392">G142/Y142</f>
        <v>3.470276036866359</v>
      </c>
      <c r="AQ142" s="9">
        <f t="shared" ref="AQ142" si="393">H142/Z142</f>
        <v>3.8486529344073648</v>
      </c>
      <c r="AR142" s="9">
        <f t="shared" ref="AR142" si="394">I142/AA142</f>
        <v>3.3942111342111341</v>
      </c>
      <c r="AS142" s="9">
        <f t="shared" ref="AS142" si="395">J142/AB142</f>
        <v>3.760778830598567</v>
      </c>
      <c r="AT142" s="9">
        <f t="shared" ref="AT142" si="396">K142/AC142</f>
        <v>3.2325322692574598</v>
      </c>
      <c r="AU142" s="9">
        <f t="shared" ref="AU142" si="397">L142/AD142</f>
        <v>3.1795852193995384</v>
      </c>
      <c r="AV142" s="9">
        <f t="shared" ref="AV142" si="398">M142/AE142</f>
        <v>3.2350145799583432</v>
      </c>
      <c r="AW142" s="90">
        <f t="shared" ref="AW142:AW157" si="399">(SUM(AK142:AP142)+SUM(AQ142:AV142))/365.25</f>
        <v>0.10998327573778278</v>
      </c>
    </row>
    <row r="143" spans="1:49" x14ac:dyDescent="0.25">
      <c r="A143" s="61">
        <v>2021</v>
      </c>
      <c r="B143" s="190">
        <v>16652.018</v>
      </c>
      <c r="C143" s="190">
        <v>13348.685000000001</v>
      </c>
      <c r="D143" s="190">
        <v>14246.634</v>
      </c>
      <c r="E143" s="190">
        <v>14962.369000000001</v>
      </c>
      <c r="F143" s="190">
        <v>13526.789999999999</v>
      </c>
      <c r="G143" s="190">
        <v>14517.814000000002</v>
      </c>
      <c r="H143" s="190">
        <v>16448.228000000003</v>
      </c>
      <c r="I143" s="190">
        <v>14693.358000000002</v>
      </c>
      <c r="J143" s="190">
        <v>16205.080000000002</v>
      </c>
      <c r="K143" s="190">
        <v>14097.973000000002</v>
      </c>
      <c r="L143" s="190">
        <v>13479.258000000002</v>
      </c>
      <c r="M143" s="190">
        <v>13282.726999999999</v>
      </c>
      <c r="N143" s="67">
        <f t="shared" si="370"/>
        <v>177790.06200000001</v>
      </c>
      <c r="O143" s="115">
        <f t="shared" si="371"/>
        <v>175460.93400000001</v>
      </c>
      <c r="P143" s="136">
        <f t="shared" si="386"/>
        <v>890866.07000000007</v>
      </c>
      <c r="Q143" s="138">
        <f t="shared" si="372"/>
        <v>178173.21400000001</v>
      </c>
      <c r="R143" s="148"/>
      <c r="S143" s="61">
        <v>2021</v>
      </c>
      <c r="T143" s="190">
        <v>4336</v>
      </c>
      <c r="U143" s="190">
        <v>4334</v>
      </c>
      <c r="V143" s="190">
        <v>4336</v>
      </c>
      <c r="W143" s="190">
        <v>4348</v>
      </c>
      <c r="X143" s="190">
        <v>4346</v>
      </c>
      <c r="Y143" s="190">
        <v>4357</v>
      </c>
      <c r="Z143" s="190">
        <v>4365</v>
      </c>
      <c r="AA143" s="190">
        <v>4361</v>
      </c>
      <c r="AB143" s="190">
        <v>4351</v>
      </c>
      <c r="AC143" s="190">
        <v>4350</v>
      </c>
      <c r="AD143" s="190">
        <v>4351</v>
      </c>
      <c r="AE143" s="190">
        <v>4344</v>
      </c>
      <c r="AF143" s="88">
        <f t="shared" si="373"/>
        <v>4339.333333333333</v>
      </c>
      <c r="AG143" s="6">
        <f t="shared" si="387"/>
        <v>4348.25</v>
      </c>
      <c r="AJ143" s="61">
        <v>2021</v>
      </c>
      <c r="AK143" s="9">
        <f t="shared" si="374"/>
        <v>3.8404100553505534</v>
      </c>
      <c r="AL143" s="9">
        <f t="shared" ref="AL143" si="400">C143/U143</f>
        <v>3.0799919243193359</v>
      </c>
      <c r="AM143" s="9">
        <f t="shared" ref="AM143" si="401">D143/V143</f>
        <v>3.285662822878229</v>
      </c>
      <c r="AN143" s="9">
        <f t="shared" ref="AN143" si="402">E143/W143</f>
        <v>3.4412072217111316</v>
      </c>
      <c r="AO143" s="9">
        <f t="shared" ref="AO143" si="403">F143/X143</f>
        <v>3.1124689369535203</v>
      </c>
      <c r="AP143" s="9">
        <f t="shared" ref="AP143" si="404">G143/Y143</f>
        <v>3.3320665595593302</v>
      </c>
      <c r="AQ143" s="9">
        <f t="shared" ref="AQ143" si="405">H143/Z143</f>
        <v>3.7682080183276065</v>
      </c>
      <c r="AR143" s="9">
        <f t="shared" ref="AR143" si="406">I143/AA143</f>
        <v>3.3692634716808074</v>
      </c>
      <c r="AS143" s="9">
        <f t="shared" ref="AS143" si="407">J143/AB143</f>
        <v>3.7244495518271665</v>
      </c>
      <c r="AT143" s="9">
        <f t="shared" ref="AT143" si="408">K143/AC143</f>
        <v>3.2409133333333338</v>
      </c>
      <c r="AU143" s="9">
        <f t="shared" ref="AU143" si="409">L143/AD143</f>
        <v>3.0979678234888537</v>
      </c>
      <c r="AV143" s="9">
        <f t="shared" ref="AV143" si="410">M143/AE143</f>
        <v>3.0577180018416206</v>
      </c>
      <c r="AW143" s="90">
        <f t="shared" si="399"/>
        <v>0.1104731765127214</v>
      </c>
    </row>
    <row r="144" spans="1:49" x14ac:dyDescent="0.25">
      <c r="A144" s="61">
        <v>2020</v>
      </c>
      <c r="B144" s="190">
        <v>14647.291999999999</v>
      </c>
      <c r="C144" s="190">
        <v>14115.984</v>
      </c>
      <c r="D144" s="190">
        <v>12864.842000000001</v>
      </c>
      <c r="E144" s="190">
        <v>15069.317999999999</v>
      </c>
      <c r="F144" s="190">
        <v>14568.749</v>
      </c>
      <c r="G144" s="190">
        <v>15506.638999999999</v>
      </c>
      <c r="H144" s="190">
        <v>16576.412</v>
      </c>
      <c r="I144" s="190">
        <v>15944.485000000001</v>
      </c>
      <c r="J144" s="190">
        <v>15231.242</v>
      </c>
      <c r="K144" s="190">
        <v>14272.824000000001</v>
      </c>
      <c r="L144" s="190">
        <v>14694.773999999999</v>
      </c>
      <c r="M144" s="190">
        <v>13816.014999999999</v>
      </c>
      <c r="N144" s="67">
        <f t="shared" si="370"/>
        <v>175605.70399999997</v>
      </c>
      <c r="O144" s="115">
        <f t="shared" si="371"/>
        <v>177308.576</v>
      </c>
      <c r="P144" s="136">
        <f t="shared" si="386"/>
        <v>895077.34899999993</v>
      </c>
      <c r="Q144" s="138">
        <f t="shared" si="372"/>
        <v>179015.46979999999</v>
      </c>
      <c r="R144" s="148"/>
      <c r="S144" s="61">
        <v>2020</v>
      </c>
      <c r="T144" s="190">
        <v>4311</v>
      </c>
      <c r="U144" s="190">
        <v>4308</v>
      </c>
      <c r="V144" s="190">
        <v>4329</v>
      </c>
      <c r="W144" s="190">
        <v>4333</v>
      </c>
      <c r="X144" s="190">
        <v>4338</v>
      </c>
      <c r="Y144" s="190">
        <v>4351</v>
      </c>
      <c r="Z144" s="190">
        <v>4352</v>
      </c>
      <c r="AA144" s="190">
        <v>4347</v>
      </c>
      <c r="AB144" s="190">
        <v>4340</v>
      </c>
      <c r="AC144" s="190">
        <v>4319</v>
      </c>
      <c r="AD144" s="190">
        <v>4320</v>
      </c>
      <c r="AE144" s="190">
        <v>4337</v>
      </c>
      <c r="AF144" s="88">
        <f t="shared" si="373"/>
        <v>4318.833333333333</v>
      </c>
      <c r="AG144" s="6">
        <f t="shared" si="387"/>
        <v>4332.083333333333</v>
      </c>
      <c r="AJ144" s="61">
        <v>2020</v>
      </c>
      <c r="AK144" s="9">
        <f t="shared" si="374"/>
        <v>3.3976553003943399</v>
      </c>
      <c r="AL144" s="9">
        <f t="shared" ref="AL144:AL157" si="411">C144/U144</f>
        <v>3.2766908077994428</v>
      </c>
      <c r="AM144" s="79">
        <f t="shared" ref="AM144:AM157" si="412">D144/V144</f>
        <v>2.9717814737814741</v>
      </c>
      <c r="AN144" s="79">
        <f t="shared" ref="AN144:AN157" si="413">E144/W144</f>
        <v>3.4778024463420261</v>
      </c>
      <c r="AO144" s="79">
        <f t="shared" ref="AO144:AO157" si="414">F144/X144</f>
        <v>3.3584022591055787</v>
      </c>
      <c r="AP144" s="79">
        <f t="shared" ref="AP144:AP157" si="415">G144/Y144</f>
        <v>3.5639253045276944</v>
      </c>
      <c r="AQ144" s="79">
        <f t="shared" ref="AQ144" si="416">H144/Z144</f>
        <v>3.8089181985294118</v>
      </c>
      <c r="AR144" s="79">
        <f t="shared" ref="AR144" si="417">I144/AA144</f>
        <v>3.6679284564067176</v>
      </c>
      <c r="AS144" s="79">
        <f t="shared" ref="AS144" si="418">J144/AB144</f>
        <v>3.5095027649769586</v>
      </c>
      <c r="AT144" s="79">
        <f t="shared" ref="AT144" si="419">K144/AC144</f>
        <v>3.3046594119009032</v>
      </c>
      <c r="AU144" s="79">
        <f t="shared" ref="AU144" si="420">L144/AD144</f>
        <v>3.4015680555555554</v>
      </c>
      <c r="AV144" s="79">
        <f t="shared" ref="AV144" si="421">M144/AE144</f>
        <v>3.1856156329259857</v>
      </c>
      <c r="AW144" s="90">
        <f t="shared" si="399"/>
        <v>0.11204503795276137</v>
      </c>
    </row>
    <row r="145" spans="1:49" x14ac:dyDescent="0.25">
      <c r="A145" s="61">
        <v>2019</v>
      </c>
      <c r="B145" s="125">
        <v>14352.937999999998</v>
      </c>
      <c r="C145" s="125">
        <v>14636.824999999997</v>
      </c>
      <c r="D145" s="125">
        <v>12832.131000000001</v>
      </c>
      <c r="E145" s="125">
        <v>13499.172</v>
      </c>
      <c r="F145" s="125">
        <v>13739.944</v>
      </c>
      <c r="G145" s="125">
        <v>15646.366999999998</v>
      </c>
      <c r="H145" s="190">
        <v>15115.171000000002</v>
      </c>
      <c r="I145" s="190">
        <v>15438.197</v>
      </c>
      <c r="J145" s="190">
        <v>15861.731999999998</v>
      </c>
      <c r="K145" s="190">
        <v>13920.788</v>
      </c>
      <c r="L145" s="190">
        <v>15226.186000000002</v>
      </c>
      <c r="M145" s="190">
        <v>13270.806000000002</v>
      </c>
      <c r="N145" s="67">
        <f t="shared" si="370"/>
        <v>177295.97700000001</v>
      </c>
      <c r="O145" s="115">
        <f>SUM(B145:M145)</f>
        <v>173540.25700000001</v>
      </c>
      <c r="P145" s="136">
        <f t="shared" si="386"/>
        <v>910114.65600000008</v>
      </c>
      <c r="Q145" s="138">
        <f t="shared" si="372"/>
        <v>182022.93120000002</v>
      </c>
      <c r="R145" s="108"/>
      <c r="S145" s="61">
        <v>2019</v>
      </c>
      <c r="T145" s="35">
        <v>4275</v>
      </c>
      <c r="U145" s="35">
        <v>4277</v>
      </c>
      <c r="V145" s="35">
        <v>4289</v>
      </c>
      <c r="W145" s="35">
        <v>4285</v>
      </c>
      <c r="X145" s="35">
        <v>4290</v>
      </c>
      <c r="Y145" s="35">
        <v>4285</v>
      </c>
      <c r="Z145" s="35">
        <v>4299</v>
      </c>
      <c r="AA145" s="35">
        <v>4305</v>
      </c>
      <c r="AB145" s="35">
        <v>4307</v>
      </c>
      <c r="AC145" s="35">
        <v>4312</v>
      </c>
      <c r="AD145" s="35">
        <v>4317</v>
      </c>
      <c r="AE145" s="35">
        <v>4316</v>
      </c>
      <c r="AF145" s="8">
        <f t="shared" si="373"/>
        <v>4272.916666666667</v>
      </c>
      <c r="AG145" s="6">
        <f t="shared" si="387"/>
        <v>4296.416666666667</v>
      </c>
      <c r="AJ145" s="61">
        <v>2019</v>
      </c>
      <c r="AK145" s="9">
        <f t="shared" si="374"/>
        <v>3.3574123976608181</v>
      </c>
      <c r="AL145" s="9">
        <f t="shared" si="411"/>
        <v>3.4222176759410794</v>
      </c>
      <c r="AM145" s="9">
        <f t="shared" si="412"/>
        <v>2.9918701328981117</v>
      </c>
      <c r="AN145" s="9">
        <f t="shared" si="413"/>
        <v>3.1503318553092181</v>
      </c>
      <c r="AO145" s="9">
        <f t="shared" si="414"/>
        <v>3.2027841491841489</v>
      </c>
      <c r="AP145" s="9">
        <f t="shared" si="415"/>
        <v>3.6514275379229866</v>
      </c>
      <c r="AQ145" s="11">
        <f t="shared" ref="AQ145:AQ157" si="422">H145/Z145</f>
        <v>3.5159737148173997</v>
      </c>
      <c r="AR145" s="11">
        <f t="shared" ref="AR145:AR157" si="423">I145/AA145</f>
        <v>3.5861084785133568</v>
      </c>
      <c r="AS145" s="11">
        <f t="shared" ref="AS145:AS157" si="424">J145/AB145</f>
        <v>3.6827796610169488</v>
      </c>
      <c r="AT145" s="11">
        <f t="shared" ref="AT145:AT157" si="425">K145/AC145</f>
        <v>3.228383116883117</v>
      </c>
      <c r="AU145" s="11">
        <f t="shared" ref="AU145:AU157" si="426">L145/AD145</f>
        <v>3.5270294185777162</v>
      </c>
      <c r="AV145" s="11">
        <f t="shared" ref="AV145:AV157" si="427">M145/AE145</f>
        <v>3.074792863762744</v>
      </c>
      <c r="AW145" s="90">
        <f t="shared" si="399"/>
        <v>0.11058483505130089</v>
      </c>
    </row>
    <row r="146" spans="1:49" x14ac:dyDescent="0.25">
      <c r="A146" s="61">
        <v>2018</v>
      </c>
      <c r="B146" s="116">
        <v>15890.6</v>
      </c>
      <c r="C146" s="116">
        <v>15687.6</v>
      </c>
      <c r="D146" s="116">
        <v>12667.1</v>
      </c>
      <c r="E146" s="116">
        <v>14394.9</v>
      </c>
      <c r="F146" s="116">
        <v>14490.9</v>
      </c>
      <c r="G146" s="116">
        <v>17713.7</v>
      </c>
      <c r="H146" s="116">
        <v>17164.2</v>
      </c>
      <c r="I146" s="116">
        <v>16309.7</v>
      </c>
      <c r="J146" s="116">
        <v>16840.400000000001</v>
      </c>
      <c r="K146" s="116">
        <v>13339.8</v>
      </c>
      <c r="L146" s="116">
        <v>14870</v>
      </c>
      <c r="M146" s="116">
        <v>14064.5</v>
      </c>
      <c r="N146" s="67">
        <f t="shared" si="370"/>
        <v>184011.89199999999</v>
      </c>
      <c r="O146" s="115">
        <f t="shared" ref="O146:O157" si="428">SUM(B146:M146)</f>
        <v>183433.4</v>
      </c>
      <c r="P146" s="136">
        <f t="shared" si="386"/>
        <v>919987.978</v>
      </c>
      <c r="Q146" s="138">
        <f t="shared" si="372"/>
        <v>183997.5956</v>
      </c>
      <c r="R146" s="148"/>
      <c r="S146" s="61">
        <v>2018</v>
      </c>
      <c r="T146" s="35">
        <v>4279</v>
      </c>
      <c r="U146" s="35">
        <v>4274</v>
      </c>
      <c r="V146" s="35">
        <v>4276</v>
      </c>
      <c r="W146" s="35">
        <v>4266</v>
      </c>
      <c r="X146" s="35">
        <v>4268</v>
      </c>
      <c r="Y146" s="35">
        <v>4264</v>
      </c>
      <c r="Z146" s="35">
        <v>4257</v>
      </c>
      <c r="AA146" s="35">
        <v>4268</v>
      </c>
      <c r="AB146" s="35">
        <v>4258</v>
      </c>
      <c r="AC146" s="35">
        <v>4262</v>
      </c>
      <c r="AD146" s="35">
        <v>4263</v>
      </c>
      <c r="AE146" s="35">
        <v>4266</v>
      </c>
      <c r="AF146" s="8">
        <f t="shared" si="373"/>
        <v>4279.666666666667</v>
      </c>
      <c r="AG146" s="6">
        <f t="shared" si="387"/>
        <v>4266.75</v>
      </c>
      <c r="AJ146" s="61">
        <v>2018</v>
      </c>
      <c r="AK146" s="9">
        <f t="shared" si="374"/>
        <v>3.7136246786632392</v>
      </c>
      <c r="AL146" s="9">
        <f t="shared" si="411"/>
        <v>3.6704726251754796</v>
      </c>
      <c r="AM146" s="9">
        <f t="shared" si="412"/>
        <v>2.9623713751169318</v>
      </c>
      <c r="AN146" s="9">
        <f t="shared" si="413"/>
        <v>3.3743319268635723</v>
      </c>
      <c r="AO146" s="9">
        <f t="shared" si="414"/>
        <v>3.3952436738519212</v>
      </c>
      <c r="AP146" s="9">
        <f t="shared" si="415"/>
        <v>4.1542448405253287</v>
      </c>
      <c r="AQ146" s="11">
        <f t="shared" si="422"/>
        <v>4.0319943622269205</v>
      </c>
      <c r="AR146" s="11">
        <f t="shared" si="423"/>
        <v>3.8213917525773198</v>
      </c>
      <c r="AS146" s="11">
        <f t="shared" si="424"/>
        <v>3.9550023485204324</v>
      </c>
      <c r="AT146" s="11">
        <f t="shared" si="425"/>
        <v>3.1299389957766306</v>
      </c>
      <c r="AU146" s="11">
        <f t="shared" si="426"/>
        <v>3.4881538822425524</v>
      </c>
      <c r="AV146" s="11">
        <f t="shared" si="427"/>
        <v>3.2968823253633381</v>
      </c>
      <c r="AW146" s="90">
        <f t="shared" si="399"/>
        <v>0.11771020612430846</v>
      </c>
    </row>
    <row r="147" spans="1:49" x14ac:dyDescent="0.25">
      <c r="A147" s="3">
        <v>2017</v>
      </c>
      <c r="B147" s="66">
        <v>16557.727999999999</v>
      </c>
      <c r="C147" s="66">
        <v>13633.796</v>
      </c>
      <c r="D147" s="66">
        <v>12990.619000000001</v>
      </c>
      <c r="E147" s="66">
        <v>14583.892</v>
      </c>
      <c r="F147" s="66">
        <v>13962.343999999999</v>
      </c>
      <c r="G147" s="66">
        <v>16227.432000000001</v>
      </c>
      <c r="H147" s="116">
        <v>16919.511999999999</v>
      </c>
      <c r="I147" s="116">
        <v>15091.06</v>
      </c>
      <c r="J147" s="116">
        <v>17061.387999999999</v>
      </c>
      <c r="K147" s="116">
        <v>14555.82</v>
      </c>
      <c r="L147" s="116">
        <v>14763.936</v>
      </c>
      <c r="M147" s="116">
        <v>14775.376</v>
      </c>
      <c r="N147" s="67">
        <f>SUM(B147:G147)+SUM(H148:M148)</f>
        <v>179454.91100000002</v>
      </c>
      <c r="O147" s="115">
        <f t="shared" si="428"/>
        <v>181122.90299999999</v>
      </c>
      <c r="P147" s="136">
        <f t="shared" si="386"/>
        <v>949834.68715000001</v>
      </c>
      <c r="Q147" s="138">
        <f>P147/5</f>
        <v>189966.93742999999</v>
      </c>
      <c r="R147" s="151"/>
      <c r="S147" s="3">
        <v>2017</v>
      </c>
      <c r="T147" s="6">
        <v>4268</v>
      </c>
      <c r="U147" s="6">
        <v>4269</v>
      </c>
      <c r="V147" s="6">
        <v>4288</v>
      </c>
      <c r="W147" s="6">
        <v>4301</v>
      </c>
      <c r="X147" s="6">
        <v>4303</v>
      </c>
      <c r="Y147" s="6">
        <v>4296</v>
      </c>
      <c r="Z147" s="6">
        <v>4289</v>
      </c>
      <c r="AA147" s="6">
        <v>4293</v>
      </c>
      <c r="AB147" s="6">
        <v>4291</v>
      </c>
      <c r="AC147" s="6">
        <v>4291</v>
      </c>
      <c r="AD147" s="6">
        <v>4286</v>
      </c>
      <c r="AE147" s="6">
        <v>4279</v>
      </c>
      <c r="AF147" s="8">
        <f>(SUM(T147:Y147)+SUM(Z148:AE148))/12</f>
        <v>4284.416666666667</v>
      </c>
      <c r="AG147" s="6">
        <f t="shared" si="387"/>
        <v>4287.833333333333</v>
      </c>
      <c r="AJ147" s="3">
        <v>2017</v>
      </c>
      <c r="AK147" s="9">
        <f t="shared" si="374"/>
        <v>3.8795051546391752</v>
      </c>
      <c r="AL147" s="9">
        <f t="shared" si="411"/>
        <v>3.1936743968142425</v>
      </c>
      <c r="AM147" s="9">
        <f t="shared" si="412"/>
        <v>3.0295286847014928</v>
      </c>
      <c r="AN147" s="9">
        <f t="shared" si="413"/>
        <v>3.390814229249012</v>
      </c>
      <c r="AO147" s="9">
        <f t="shared" si="414"/>
        <v>3.2447929351615152</v>
      </c>
      <c r="AP147" s="9">
        <f t="shared" si="415"/>
        <v>3.7773351955307266</v>
      </c>
      <c r="AQ147" s="11">
        <f t="shared" si="422"/>
        <v>3.9448617393331777</v>
      </c>
      <c r="AR147" s="11">
        <f t="shared" si="423"/>
        <v>3.5152713720009316</v>
      </c>
      <c r="AS147" s="11">
        <f t="shared" si="424"/>
        <v>3.9760866930785363</v>
      </c>
      <c r="AT147" s="11">
        <f t="shared" si="425"/>
        <v>3.3921743183407131</v>
      </c>
      <c r="AU147" s="11">
        <f t="shared" si="426"/>
        <v>3.4446887540830611</v>
      </c>
      <c r="AV147" s="11">
        <f t="shared" si="427"/>
        <v>3.4529974293059125</v>
      </c>
      <c r="AW147" s="90">
        <f t="shared" si="399"/>
        <v>0.11565155620051609</v>
      </c>
    </row>
    <row r="148" spans="1:49" x14ac:dyDescent="0.25">
      <c r="A148" s="3">
        <v>2016</v>
      </c>
      <c r="B148" s="66">
        <v>16614.559000000001</v>
      </c>
      <c r="C148" s="66">
        <v>13246.504000000001</v>
      </c>
      <c r="D148" s="66">
        <v>13244.088</v>
      </c>
      <c r="E148" s="66">
        <v>15265.15</v>
      </c>
      <c r="F148" s="66">
        <v>14174.1</v>
      </c>
      <c r="G148" s="66">
        <v>15628.712</v>
      </c>
      <c r="H148" s="66">
        <v>17255.917000000001</v>
      </c>
      <c r="I148" s="66">
        <v>14727.815000000001</v>
      </c>
      <c r="J148" s="66">
        <v>15752.132</v>
      </c>
      <c r="K148" s="66">
        <v>14669.028</v>
      </c>
      <c r="L148" s="66">
        <v>14161.884</v>
      </c>
      <c r="M148" s="66">
        <v>14932.324000000001</v>
      </c>
      <c r="N148" s="67">
        <f t="shared" ref="N148:N157" si="429">SUM(B148:G148)+SUM(H149:M149)</f>
        <v>190694.552</v>
      </c>
      <c r="O148" s="115">
        <f t="shared" si="428"/>
        <v>179672.21299999999</v>
      </c>
      <c r="P148" s="136">
        <f t="shared" si="386"/>
        <v>972724.78415000008</v>
      </c>
      <c r="Q148" s="138">
        <f t="shared" ref="Q148:Q152" si="430">P148/5</f>
        <v>194544.95683000001</v>
      </c>
      <c r="R148" s="151"/>
      <c r="S148" s="3">
        <v>2016</v>
      </c>
      <c r="T148" s="6">
        <v>4281</v>
      </c>
      <c r="U148" s="6">
        <v>4284</v>
      </c>
      <c r="V148" s="6">
        <v>4293</v>
      </c>
      <c r="W148" s="6">
        <v>4290</v>
      </c>
      <c r="X148" s="6">
        <v>4272</v>
      </c>
      <c r="Y148" s="6">
        <v>4277</v>
      </c>
      <c r="Z148" s="6">
        <v>4290</v>
      </c>
      <c r="AA148" s="6">
        <v>4287</v>
      </c>
      <c r="AB148" s="6">
        <v>4283</v>
      </c>
      <c r="AC148" s="6">
        <v>4281</v>
      </c>
      <c r="AD148" s="6">
        <v>4271</v>
      </c>
      <c r="AE148" s="6">
        <v>4276</v>
      </c>
      <c r="AF148" s="8">
        <f t="shared" ref="AF148:AF156" si="431">(SUM(T148:Y148)+SUM(Z149:AE149))/12</f>
        <v>4287.416666666667</v>
      </c>
      <c r="AG148" s="6">
        <f t="shared" si="387"/>
        <v>4282.083333333333</v>
      </c>
      <c r="AJ148" s="3">
        <v>2016</v>
      </c>
      <c r="AK148" s="9">
        <f t="shared" si="374"/>
        <v>3.8809995328194349</v>
      </c>
      <c r="AL148" s="9">
        <f t="shared" si="411"/>
        <v>3.09208776844071</v>
      </c>
      <c r="AM148" s="9">
        <f t="shared" si="412"/>
        <v>3.0850426275331935</v>
      </c>
      <c r="AN148" s="9">
        <f t="shared" si="413"/>
        <v>3.5583100233100233</v>
      </c>
      <c r="AO148" s="9">
        <f t="shared" si="414"/>
        <v>3.3179073033707867</v>
      </c>
      <c r="AP148" s="9">
        <f t="shared" si="415"/>
        <v>3.6541295300444236</v>
      </c>
      <c r="AQ148" s="11">
        <f t="shared" si="422"/>
        <v>4.0223582750582754</v>
      </c>
      <c r="AR148" s="11">
        <f t="shared" si="423"/>
        <v>3.4354595288080243</v>
      </c>
      <c r="AS148" s="11">
        <f t="shared" si="424"/>
        <v>3.6778267569460659</v>
      </c>
      <c r="AT148" s="11">
        <f t="shared" si="425"/>
        <v>3.4265423966362998</v>
      </c>
      <c r="AU148" s="11">
        <f t="shared" si="426"/>
        <v>3.3158239288222897</v>
      </c>
      <c r="AV148" s="11">
        <f t="shared" si="427"/>
        <v>3.4921244153414408</v>
      </c>
      <c r="AW148" s="90">
        <f t="shared" si="399"/>
        <v>0.11487641912972203</v>
      </c>
    </row>
    <row r="149" spans="1:49" x14ac:dyDescent="0.25">
      <c r="A149" s="3">
        <v>2015</v>
      </c>
      <c r="B149" s="66">
        <v>16995.592000000001</v>
      </c>
      <c r="C149" s="66">
        <v>14176.933000000001</v>
      </c>
      <c r="D149" s="66">
        <v>14055.947</v>
      </c>
      <c r="E149" s="66">
        <v>15002.261</v>
      </c>
      <c r="F149" s="66">
        <v>14924.700999999999</v>
      </c>
      <c r="G149" s="66">
        <v>14669.01</v>
      </c>
      <c r="H149" s="66">
        <v>16294.057000000001</v>
      </c>
      <c r="I149" s="66">
        <v>16181.460999999999</v>
      </c>
      <c r="J149" s="66">
        <v>23550.125</v>
      </c>
      <c r="K149" s="66">
        <v>16068.124</v>
      </c>
      <c r="L149" s="66">
        <v>15456.672</v>
      </c>
      <c r="M149" s="66">
        <v>14971</v>
      </c>
      <c r="N149" s="67">
        <f t="shared" si="429"/>
        <v>183056.02899999998</v>
      </c>
      <c r="O149" s="115">
        <f t="shared" si="428"/>
        <v>192345.883</v>
      </c>
      <c r="P149" s="136">
        <f t="shared" si="386"/>
        <v>988306.57115000009</v>
      </c>
      <c r="Q149" s="138">
        <f t="shared" si="430"/>
        <v>197661.31423000002</v>
      </c>
      <c r="R149" s="151"/>
      <c r="S149" s="3">
        <v>2015</v>
      </c>
      <c r="T149" s="6">
        <v>4272</v>
      </c>
      <c r="U149" s="6">
        <v>4272</v>
      </c>
      <c r="V149" s="6">
        <v>4293</v>
      </c>
      <c r="W149" s="6">
        <v>4297</v>
      </c>
      <c r="X149" s="6">
        <v>4289</v>
      </c>
      <c r="Y149" s="6">
        <v>4305</v>
      </c>
      <c r="Z149" s="6">
        <v>4297</v>
      </c>
      <c r="AA149" s="6">
        <v>4305</v>
      </c>
      <c r="AB149" s="6">
        <v>4294</v>
      </c>
      <c r="AC149" s="6">
        <v>4283</v>
      </c>
      <c r="AD149" s="6">
        <v>4287</v>
      </c>
      <c r="AE149" s="6">
        <v>4286</v>
      </c>
      <c r="AF149" s="8">
        <f t="shared" si="431"/>
        <v>4282.25</v>
      </c>
      <c r="AG149" s="6">
        <f t="shared" si="387"/>
        <v>4290</v>
      </c>
      <c r="AJ149" s="3">
        <v>2015</v>
      </c>
      <c r="AK149" s="9">
        <f t="shared" si="374"/>
        <v>3.9783689138576781</v>
      </c>
      <c r="AL149" s="9">
        <f t="shared" si="411"/>
        <v>3.3185704588014984</v>
      </c>
      <c r="AM149" s="9">
        <f t="shared" si="412"/>
        <v>3.274154903331004</v>
      </c>
      <c r="AN149" s="9">
        <f t="shared" si="413"/>
        <v>3.4913337212008377</v>
      </c>
      <c r="AO149" s="9">
        <f t="shared" si="414"/>
        <v>3.4797624154814639</v>
      </c>
      <c r="AP149" s="9">
        <f t="shared" si="415"/>
        <v>3.4074355400696863</v>
      </c>
      <c r="AQ149" s="11">
        <f t="shared" si="422"/>
        <v>3.7919611356760532</v>
      </c>
      <c r="AR149" s="11">
        <f t="shared" si="423"/>
        <v>3.7587598141695699</v>
      </c>
      <c r="AS149" s="11">
        <f t="shared" si="424"/>
        <v>5.4844259431765252</v>
      </c>
      <c r="AT149" s="11">
        <f t="shared" si="425"/>
        <v>3.7516049498015409</v>
      </c>
      <c r="AU149" s="11">
        <f t="shared" si="426"/>
        <v>3.6054751574527644</v>
      </c>
      <c r="AV149" s="11">
        <f t="shared" si="427"/>
        <v>3.4930004666355576</v>
      </c>
      <c r="AW149" s="90">
        <f t="shared" si="399"/>
        <v>0.12275113872595259</v>
      </c>
    </row>
    <row r="150" spans="1:49" x14ac:dyDescent="0.25">
      <c r="A150" s="3">
        <v>2014</v>
      </c>
      <c r="B150" s="66">
        <v>11409.474</v>
      </c>
      <c r="C150" s="66">
        <v>18291.199000000001</v>
      </c>
      <c r="D150" s="66">
        <v>13985.413</v>
      </c>
      <c r="E150" s="66">
        <v>14983.472</v>
      </c>
      <c r="F150" s="66">
        <v>14440.297</v>
      </c>
      <c r="G150" s="66">
        <v>17072.138999999999</v>
      </c>
      <c r="H150" s="66">
        <v>16757.611000000001</v>
      </c>
      <c r="I150" s="66">
        <v>17429.973999999998</v>
      </c>
      <c r="J150" s="66">
        <v>15779.203</v>
      </c>
      <c r="K150" s="66">
        <v>15519.861000000001</v>
      </c>
      <c r="L150" s="66">
        <v>12827.72</v>
      </c>
      <c r="M150" s="66">
        <v>14917.216</v>
      </c>
      <c r="N150" s="67">
        <f t="shared" si="429"/>
        <v>196727.55800000002</v>
      </c>
      <c r="O150" s="115">
        <f t="shared" si="428"/>
        <v>183413.57900000003</v>
      </c>
      <c r="P150" s="136">
        <f t="shared" si="386"/>
        <v>996101.68815000006</v>
      </c>
      <c r="Q150" s="138">
        <f t="shared" si="430"/>
        <v>199220.33763000002</v>
      </c>
      <c r="R150" s="151"/>
      <c r="S150" s="3">
        <v>2014</v>
      </c>
      <c r="T150" s="6">
        <v>4254</v>
      </c>
      <c r="U150" s="6">
        <v>4259</v>
      </c>
      <c r="V150" s="6">
        <v>4277</v>
      </c>
      <c r="W150" s="6">
        <v>4277</v>
      </c>
      <c r="X150" s="6">
        <v>4280</v>
      </c>
      <c r="Y150" s="6">
        <v>4287</v>
      </c>
      <c r="Z150" s="6">
        <v>4278</v>
      </c>
      <c r="AA150" s="6">
        <v>4293</v>
      </c>
      <c r="AB150" s="6">
        <v>4270</v>
      </c>
      <c r="AC150" s="6">
        <v>4274</v>
      </c>
      <c r="AD150" s="6">
        <v>4269</v>
      </c>
      <c r="AE150" s="6">
        <v>4275</v>
      </c>
      <c r="AF150" s="8">
        <f t="shared" si="431"/>
        <v>4294.166666666667</v>
      </c>
      <c r="AG150" s="6">
        <f t="shared" si="387"/>
        <v>4274.416666666667</v>
      </c>
      <c r="AJ150" s="3">
        <v>2014</v>
      </c>
      <c r="AK150" s="9">
        <f t="shared" si="374"/>
        <v>2.6820578279266574</v>
      </c>
      <c r="AL150" s="9">
        <f t="shared" si="411"/>
        <v>4.2947168349377787</v>
      </c>
      <c r="AM150" s="9">
        <f t="shared" si="412"/>
        <v>3.2699118541033436</v>
      </c>
      <c r="AN150" s="9">
        <f t="shared" si="413"/>
        <v>3.5032667757774139</v>
      </c>
      <c r="AO150" s="9">
        <f t="shared" si="414"/>
        <v>3.373901168224299</v>
      </c>
      <c r="AP150" s="9">
        <f t="shared" si="415"/>
        <v>3.9823044086773964</v>
      </c>
      <c r="AQ150" s="11">
        <f t="shared" si="422"/>
        <v>3.9171601215521274</v>
      </c>
      <c r="AR150" s="11">
        <f t="shared" si="423"/>
        <v>4.0600917773119027</v>
      </c>
      <c r="AS150" s="11">
        <f t="shared" si="424"/>
        <v>3.6953637002341919</v>
      </c>
      <c r="AT150" s="11">
        <f t="shared" si="425"/>
        <v>3.6312262517547964</v>
      </c>
      <c r="AU150" s="11">
        <f t="shared" si="426"/>
        <v>3.0048535956898568</v>
      </c>
      <c r="AV150" s="11">
        <f t="shared" si="427"/>
        <v>3.4894072514619885</v>
      </c>
      <c r="AW150" s="90">
        <f t="shared" si="399"/>
        <v>0.11746546630431691</v>
      </c>
    </row>
    <row r="151" spans="1:49" x14ac:dyDescent="0.25">
      <c r="A151" s="3">
        <v>2013</v>
      </c>
      <c r="B151" s="66">
        <v>15659</v>
      </c>
      <c r="C151" s="66">
        <v>15097</v>
      </c>
      <c r="D151" s="66">
        <v>14179</v>
      </c>
      <c r="E151" s="66">
        <v>14802</v>
      </c>
      <c r="F151" s="66">
        <v>30402.524150000001</v>
      </c>
      <c r="G151" s="66">
        <v>16595.021000000001</v>
      </c>
      <c r="H151" s="66">
        <v>17962.646000000001</v>
      </c>
      <c r="I151" s="66">
        <v>18400.197</v>
      </c>
      <c r="J151" s="66">
        <v>21287.971000000001</v>
      </c>
      <c r="K151" s="66">
        <v>16399.11</v>
      </c>
      <c r="L151" s="66">
        <v>17820.080000000002</v>
      </c>
      <c r="M151" s="66">
        <v>14675.56</v>
      </c>
      <c r="N151" s="67">
        <f t="shared" si="429"/>
        <v>214633.54514999999</v>
      </c>
      <c r="O151" s="115">
        <f t="shared" si="428"/>
        <v>213280.10915000003</v>
      </c>
      <c r="P151" s="136">
        <f t="shared" si="386"/>
        <v>1017464.10915</v>
      </c>
      <c r="Q151" s="138">
        <f t="shared" si="430"/>
        <v>203492.82183</v>
      </c>
      <c r="R151" s="151"/>
      <c r="S151" s="3">
        <v>2013</v>
      </c>
      <c r="T151" s="6">
        <v>4268</v>
      </c>
      <c r="U151" s="6">
        <v>4272</v>
      </c>
      <c r="V151" s="6">
        <v>4269</v>
      </c>
      <c r="W151" s="6">
        <v>4270</v>
      </c>
      <c r="X151" s="6">
        <v>4281</v>
      </c>
      <c r="Y151" s="6">
        <v>4309</v>
      </c>
      <c r="Z151" s="6">
        <v>4435</v>
      </c>
      <c r="AA151" s="6">
        <v>4312</v>
      </c>
      <c r="AB151" s="6">
        <v>4295</v>
      </c>
      <c r="AC151" s="6">
        <v>4305</v>
      </c>
      <c r="AD151" s="6">
        <v>4275</v>
      </c>
      <c r="AE151" s="6">
        <v>4274</v>
      </c>
      <c r="AF151" s="8">
        <f t="shared" si="431"/>
        <v>4277.916666666667</v>
      </c>
      <c r="AG151" s="6">
        <f t="shared" si="387"/>
        <v>4297.083333333333</v>
      </c>
      <c r="AJ151" s="3">
        <v>2013</v>
      </c>
      <c r="AK151" s="9">
        <f t="shared" si="374"/>
        <v>3.6689315838800374</v>
      </c>
      <c r="AL151" s="9">
        <f t="shared" si="411"/>
        <v>3.5339419475655429</v>
      </c>
      <c r="AM151" s="9">
        <f t="shared" si="412"/>
        <v>3.3213867416256733</v>
      </c>
      <c r="AN151" s="9">
        <f t="shared" si="413"/>
        <v>3.4665105386416863</v>
      </c>
      <c r="AO151" s="9">
        <f t="shared" si="414"/>
        <v>7.1017342092968931</v>
      </c>
      <c r="AP151" s="9">
        <f t="shared" si="415"/>
        <v>3.8512464608957995</v>
      </c>
      <c r="AQ151" s="11">
        <f t="shared" si="422"/>
        <v>4.0502020293122891</v>
      </c>
      <c r="AR151" s="11">
        <f t="shared" si="423"/>
        <v>4.2672070964749533</v>
      </c>
      <c r="AS151" s="11">
        <f t="shared" si="424"/>
        <v>4.9564542491268924</v>
      </c>
      <c r="AT151" s="11">
        <f t="shared" si="425"/>
        <v>3.8093170731707318</v>
      </c>
      <c r="AU151" s="11">
        <f t="shared" si="426"/>
        <v>4.1684397660818719</v>
      </c>
      <c r="AV151" s="11">
        <f t="shared" si="427"/>
        <v>3.4336827328029949</v>
      </c>
      <c r="AW151" s="90">
        <f t="shared" si="399"/>
        <v>0.1358769457327183</v>
      </c>
    </row>
    <row r="152" spans="1:49" x14ac:dyDescent="0.25">
      <c r="A152" s="3">
        <v>2012</v>
      </c>
      <c r="B152" s="66">
        <v>17351</v>
      </c>
      <c r="C152" s="66">
        <v>14998</v>
      </c>
      <c r="D152" s="66">
        <v>13829</v>
      </c>
      <c r="E152" s="66">
        <v>14292</v>
      </c>
      <c r="F152" s="66">
        <v>15362</v>
      </c>
      <c r="G152" s="66">
        <v>20282</v>
      </c>
      <c r="H152" s="66">
        <v>21287</v>
      </c>
      <c r="I152" s="66">
        <v>20467</v>
      </c>
      <c r="J152" s="66">
        <v>19805</v>
      </c>
      <c r="K152" s="66">
        <v>15477</v>
      </c>
      <c r="L152" s="66">
        <v>15242</v>
      </c>
      <c r="M152" s="66">
        <v>15621</v>
      </c>
      <c r="N152" s="67">
        <f t="shared" si="429"/>
        <v>199419</v>
      </c>
      <c r="O152" s="115">
        <f t="shared" si="428"/>
        <v>204013</v>
      </c>
      <c r="P152" s="136">
        <f t="shared" si="386"/>
        <v>1005764</v>
      </c>
      <c r="Q152" s="138">
        <f t="shared" si="430"/>
        <v>201152.8</v>
      </c>
      <c r="R152" s="151"/>
      <c r="S152" s="3">
        <v>2012</v>
      </c>
      <c r="T152" s="6">
        <v>4263</v>
      </c>
      <c r="U152" s="6">
        <v>4271</v>
      </c>
      <c r="V152" s="6">
        <v>4281</v>
      </c>
      <c r="W152" s="6">
        <v>4299</v>
      </c>
      <c r="X152" s="6">
        <v>4305</v>
      </c>
      <c r="Y152" s="6">
        <v>4294</v>
      </c>
      <c r="Z152" s="6">
        <v>4280</v>
      </c>
      <c r="AA152" s="6">
        <v>4284</v>
      </c>
      <c r="AB152" s="6">
        <v>4282</v>
      </c>
      <c r="AC152" s="6">
        <v>4284</v>
      </c>
      <c r="AD152" s="6">
        <v>4273</v>
      </c>
      <c r="AE152" s="6">
        <v>4263</v>
      </c>
      <c r="AF152" s="8">
        <f t="shared" si="431"/>
        <v>4274.75</v>
      </c>
      <c r="AG152" s="6">
        <f t="shared" si="387"/>
        <v>4281.583333333333</v>
      </c>
      <c r="AJ152" s="3">
        <v>2012</v>
      </c>
      <c r="AK152" s="9">
        <f t="shared" si="374"/>
        <v>4.0701384001876617</v>
      </c>
      <c r="AL152" s="9">
        <f t="shared" si="411"/>
        <v>3.511589791617888</v>
      </c>
      <c r="AM152" s="9">
        <f t="shared" si="412"/>
        <v>3.2303200186872227</v>
      </c>
      <c r="AN152" s="9">
        <f t="shared" si="413"/>
        <v>3.3244940683879971</v>
      </c>
      <c r="AO152" s="9">
        <f t="shared" si="414"/>
        <v>3.5684088269454124</v>
      </c>
      <c r="AP152" s="9">
        <f t="shared" si="415"/>
        <v>4.7233348858872848</v>
      </c>
      <c r="AQ152" s="11">
        <f t="shared" si="422"/>
        <v>4.9735981308411219</v>
      </c>
      <c r="AR152" s="11">
        <f t="shared" si="423"/>
        <v>4.7775443510737627</v>
      </c>
      <c r="AS152" s="11">
        <f t="shared" si="424"/>
        <v>4.6251751517982251</v>
      </c>
      <c r="AT152" s="11">
        <f t="shared" si="425"/>
        <v>3.6127450980392157</v>
      </c>
      <c r="AU152" s="11">
        <f t="shared" si="426"/>
        <v>3.5670489117715891</v>
      </c>
      <c r="AV152" s="11">
        <f t="shared" si="427"/>
        <v>3.6643209007741029</v>
      </c>
      <c r="AW152" s="90">
        <f t="shared" si="399"/>
        <v>0.13045508154965499</v>
      </c>
    </row>
    <row r="153" spans="1:49" x14ac:dyDescent="0.25">
      <c r="A153" s="3">
        <v>2011</v>
      </c>
      <c r="B153" s="66">
        <v>18840</v>
      </c>
      <c r="C153" s="66">
        <v>15088</v>
      </c>
      <c r="D153" s="66">
        <v>14698</v>
      </c>
      <c r="E153" s="66">
        <v>16916</v>
      </c>
      <c r="F153" s="66">
        <v>15276</v>
      </c>
      <c r="G153" s="66">
        <v>11131</v>
      </c>
      <c r="H153" s="66">
        <v>18103</v>
      </c>
      <c r="I153" s="66">
        <v>17724</v>
      </c>
      <c r="J153" s="66">
        <v>19574</v>
      </c>
      <c r="K153" s="66">
        <v>16676</v>
      </c>
      <c r="L153" s="66">
        <v>15311</v>
      </c>
      <c r="M153" s="66">
        <v>15917</v>
      </c>
      <c r="N153" s="67">
        <f t="shared" si="429"/>
        <v>192255</v>
      </c>
      <c r="O153" s="115">
        <f t="shared" si="428"/>
        <v>195254</v>
      </c>
      <c r="P153" s="47"/>
      <c r="Q153" s="117"/>
      <c r="R153" s="151"/>
      <c r="S153" s="3">
        <v>2011</v>
      </c>
      <c r="T153" s="6">
        <v>4268</v>
      </c>
      <c r="U153" s="6">
        <v>4269</v>
      </c>
      <c r="V153" s="6">
        <v>4272</v>
      </c>
      <c r="W153" s="6">
        <v>4280</v>
      </c>
      <c r="X153" s="6">
        <v>4274</v>
      </c>
      <c r="Y153" s="6">
        <v>4260</v>
      </c>
      <c r="Z153" s="6">
        <v>4274</v>
      </c>
      <c r="AA153" s="6">
        <v>4285</v>
      </c>
      <c r="AB153" s="6">
        <v>4262</v>
      </c>
      <c r="AC153" s="6">
        <v>4265</v>
      </c>
      <c r="AD153" s="6">
        <v>4251</v>
      </c>
      <c r="AE153" s="6">
        <v>4247</v>
      </c>
      <c r="AF153" s="8">
        <f t="shared" si="431"/>
        <v>4272.25</v>
      </c>
      <c r="AG153" s="6">
        <f t="shared" si="387"/>
        <v>4267.25</v>
      </c>
      <c r="AJ153" s="3">
        <v>2011</v>
      </c>
      <c r="AK153" s="9">
        <f t="shared" si="374"/>
        <v>4.4142455482661669</v>
      </c>
      <c r="AL153" s="9">
        <f t="shared" si="411"/>
        <v>3.5343171702974936</v>
      </c>
      <c r="AM153" s="9">
        <f t="shared" si="412"/>
        <v>3.4405430711610485</v>
      </c>
      <c r="AN153" s="9">
        <f t="shared" si="413"/>
        <v>3.9523364485981309</v>
      </c>
      <c r="AO153" s="9">
        <f t="shared" si="414"/>
        <v>3.5741693963500234</v>
      </c>
      <c r="AP153" s="9">
        <f t="shared" si="415"/>
        <v>2.6129107981220656</v>
      </c>
      <c r="AQ153" s="11">
        <f t="shared" si="422"/>
        <v>4.2356106691623774</v>
      </c>
      <c r="AR153" s="11">
        <f t="shared" si="423"/>
        <v>4.1362893815635937</v>
      </c>
      <c r="AS153" s="11">
        <f t="shared" si="424"/>
        <v>4.5926794931956829</v>
      </c>
      <c r="AT153" s="11">
        <f t="shared" si="425"/>
        <v>3.9099648300117233</v>
      </c>
      <c r="AU153" s="11">
        <f t="shared" si="426"/>
        <v>3.6017407668783816</v>
      </c>
      <c r="AV153" s="11">
        <f t="shared" si="427"/>
        <v>3.747821991994349</v>
      </c>
      <c r="AW153" s="90">
        <f t="shared" si="399"/>
        <v>0.12526387286954427</v>
      </c>
    </row>
    <row r="154" spans="1:49" x14ac:dyDescent="0.25">
      <c r="A154" s="3">
        <v>2010</v>
      </c>
      <c r="B154" s="66">
        <v>19131</v>
      </c>
      <c r="C154" s="66">
        <v>15522</v>
      </c>
      <c r="D154" s="66">
        <v>14817</v>
      </c>
      <c r="E154" s="66">
        <v>17771</v>
      </c>
      <c r="F154" s="66">
        <v>15714</v>
      </c>
      <c r="G154" s="66">
        <v>16880</v>
      </c>
      <c r="H154" s="66">
        <v>19120</v>
      </c>
      <c r="I154" s="66">
        <v>17165</v>
      </c>
      <c r="J154" s="66">
        <v>17930</v>
      </c>
      <c r="K154" s="66">
        <v>16184</v>
      </c>
      <c r="L154" s="66">
        <v>15676</v>
      </c>
      <c r="M154" s="66">
        <v>14231</v>
      </c>
      <c r="N154" s="67">
        <f t="shared" si="429"/>
        <v>202142</v>
      </c>
      <c r="O154" s="115">
        <f t="shared" si="428"/>
        <v>200141</v>
      </c>
      <c r="P154" s="47"/>
      <c r="Q154" s="117"/>
      <c r="R154" s="151"/>
      <c r="S154" s="3">
        <v>2010</v>
      </c>
      <c r="T154" s="6">
        <v>4250</v>
      </c>
      <c r="U154" s="6">
        <v>4258</v>
      </c>
      <c r="V154" s="6">
        <v>4254</v>
      </c>
      <c r="W154" s="6">
        <v>4266</v>
      </c>
      <c r="X154" s="6">
        <v>4265</v>
      </c>
      <c r="Y154" s="6">
        <v>4266</v>
      </c>
      <c r="Z154" s="6">
        <v>4272</v>
      </c>
      <c r="AA154" s="6">
        <v>4280</v>
      </c>
      <c r="AB154" s="6">
        <v>4272</v>
      </c>
      <c r="AC154" s="6">
        <v>4279</v>
      </c>
      <c r="AD154" s="6">
        <v>4277</v>
      </c>
      <c r="AE154" s="6">
        <v>4264</v>
      </c>
      <c r="AF154" s="8">
        <f t="shared" si="431"/>
        <v>4256.333333333333</v>
      </c>
      <c r="AG154" s="6">
        <f t="shared" si="387"/>
        <v>4266.916666666667</v>
      </c>
      <c r="AJ154" s="3">
        <v>2010</v>
      </c>
      <c r="AK154" s="9">
        <f t="shared" si="374"/>
        <v>4.5014117647058827</v>
      </c>
      <c r="AL154" s="9">
        <f t="shared" si="411"/>
        <v>3.6453734147487085</v>
      </c>
      <c r="AM154" s="9">
        <f t="shared" si="412"/>
        <v>3.4830747531734838</v>
      </c>
      <c r="AN154" s="9">
        <f t="shared" si="413"/>
        <v>4.1657290201594002</v>
      </c>
      <c r="AO154" s="9">
        <f t="shared" si="414"/>
        <v>3.6844079718640095</v>
      </c>
      <c r="AP154" s="9">
        <f t="shared" si="415"/>
        <v>3.9568682606657291</v>
      </c>
      <c r="AQ154" s="11">
        <f t="shared" si="422"/>
        <v>4.4756554307116101</v>
      </c>
      <c r="AR154" s="11">
        <f t="shared" si="423"/>
        <v>4.0105140186915884</v>
      </c>
      <c r="AS154" s="11">
        <f t="shared" si="424"/>
        <v>4.1970973782771539</v>
      </c>
      <c r="AT154" s="11">
        <f t="shared" si="425"/>
        <v>3.7821921009581678</v>
      </c>
      <c r="AU154" s="11">
        <f t="shared" si="426"/>
        <v>3.6651858779518354</v>
      </c>
      <c r="AV154" s="11">
        <f t="shared" si="427"/>
        <v>3.3374765478424013</v>
      </c>
      <c r="AW154" s="90">
        <f t="shared" si="399"/>
        <v>0.12841885431827507</v>
      </c>
    </row>
    <row r="155" spans="1:49" x14ac:dyDescent="0.25">
      <c r="A155" s="3">
        <v>2009</v>
      </c>
      <c r="B155" s="66">
        <v>21748</v>
      </c>
      <c r="C155" s="66">
        <v>15192</v>
      </c>
      <c r="D155" s="66">
        <v>15259</v>
      </c>
      <c r="E155" s="66">
        <v>14689</v>
      </c>
      <c r="F155" s="66">
        <v>17263</v>
      </c>
      <c r="G155" s="66">
        <v>18318</v>
      </c>
      <c r="H155" s="66">
        <v>18746</v>
      </c>
      <c r="I155" s="66">
        <v>18198</v>
      </c>
      <c r="J155" s="66">
        <v>17109</v>
      </c>
      <c r="K155" s="66">
        <v>16368</v>
      </c>
      <c r="L155" s="66">
        <v>15637</v>
      </c>
      <c r="M155" s="66">
        <v>16249</v>
      </c>
      <c r="N155" s="67">
        <f t="shared" si="429"/>
        <v>207455</v>
      </c>
      <c r="O155" s="115">
        <f t="shared" si="428"/>
        <v>204776</v>
      </c>
      <c r="P155" s="47"/>
      <c r="Q155" s="117"/>
      <c r="R155" s="151"/>
      <c r="S155" s="3">
        <v>2009</v>
      </c>
      <c r="T155" s="6">
        <v>4253</v>
      </c>
      <c r="U155" s="6">
        <v>4255</v>
      </c>
      <c r="V155" s="6">
        <v>4265</v>
      </c>
      <c r="W155" s="6">
        <v>4263</v>
      </c>
      <c r="X155" s="6">
        <v>4255</v>
      </c>
      <c r="Y155" s="6">
        <v>4259</v>
      </c>
      <c r="Z155" s="6">
        <v>4244</v>
      </c>
      <c r="AA155" s="6">
        <v>4248</v>
      </c>
      <c r="AB155" s="6">
        <v>4260</v>
      </c>
      <c r="AC155" s="6">
        <v>4262</v>
      </c>
      <c r="AD155" s="6">
        <v>4253</v>
      </c>
      <c r="AE155" s="6">
        <v>4250</v>
      </c>
      <c r="AF155" s="8">
        <f t="shared" si="431"/>
        <v>4264.583333333333</v>
      </c>
      <c r="AG155" s="6">
        <f t="shared" si="387"/>
        <v>4255.583333333333</v>
      </c>
      <c r="AJ155" s="3">
        <v>2009</v>
      </c>
      <c r="AK155" s="9">
        <f t="shared" si="374"/>
        <v>5.1135668939572065</v>
      </c>
      <c r="AL155" s="9">
        <f t="shared" si="411"/>
        <v>3.5703877790834313</v>
      </c>
      <c r="AM155" s="9">
        <f t="shared" si="412"/>
        <v>3.5777256740914418</v>
      </c>
      <c r="AN155" s="9">
        <f t="shared" si="413"/>
        <v>3.445695519587145</v>
      </c>
      <c r="AO155" s="9">
        <f t="shared" si="414"/>
        <v>4.0571092831962394</v>
      </c>
      <c r="AP155" s="9">
        <f t="shared" si="415"/>
        <v>4.3010096266729283</v>
      </c>
      <c r="AQ155" s="11">
        <f t="shared" si="422"/>
        <v>4.4170593779453347</v>
      </c>
      <c r="AR155" s="11">
        <f t="shared" si="423"/>
        <v>4.2838983050847457</v>
      </c>
      <c r="AS155" s="11">
        <f t="shared" si="424"/>
        <v>4.0161971830985914</v>
      </c>
      <c r="AT155" s="11">
        <f t="shared" si="425"/>
        <v>3.8404504927264194</v>
      </c>
      <c r="AU155" s="11">
        <f t="shared" si="426"/>
        <v>3.6766988008464612</v>
      </c>
      <c r="AV155" s="11">
        <f t="shared" si="427"/>
        <v>3.823294117647059</v>
      </c>
      <c r="AW155" s="90">
        <f t="shared" si="399"/>
        <v>0.13175384819695279</v>
      </c>
    </row>
    <row r="156" spans="1:49" x14ac:dyDescent="0.25">
      <c r="A156" s="3">
        <v>2008</v>
      </c>
      <c r="B156" s="66">
        <v>11849</v>
      </c>
      <c r="C156" s="66">
        <v>17143</v>
      </c>
      <c r="D156" s="66">
        <v>17032</v>
      </c>
      <c r="E156" s="66">
        <v>16532</v>
      </c>
      <c r="F156" s="66">
        <v>16437</v>
      </c>
      <c r="G156" s="66">
        <v>17601</v>
      </c>
      <c r="H156" s="66">
        <v>18839</v>
      </c>
      <c r="I156" s="66">
        <v>18355</v>
      </c>
      <c r="J156" s="66">
        <v>18020</v>
      </c>
      <c r="K156" s="66">
        <v>16506</v>
      </c>
      <c r="L156" s="66">
        <v>15944</v>
      </c>
      <c r="M156" s="66">
        <v>17322</v>
      </c>
      <c r="N156" s="67">
        <f t="shared" si="429"/>
        <v>221412.91</v>
      </c>
      <c r="O156" s="115">
        <f t="shared" si="428"/>
        <v>201580</v>
      </c>
      <c r="P156" s="47"/>
      <c r="Q156" s="117"/>
      <c r="R156" s="151"/>
      <c r="S156" s="3">
        <v>2008</v>
      </c>
      <c r="T156" s="6">
        <v>4280</v>
      </c>
      <c r="U156" s="6">
        <v>4279</v>
      </c>
      <c r="V156" s="6">
        <v>4278</v>
      </c>
      <c r="W156" s="6">
        <v>4265</v>
      </c>
      <c r="X156" s="6">
        <v>4272</v>
      </c>
      <c r="Y156" s="6">
        <v>4275</v>
      </c>
      <c r="Z156" s="6">
        <v>4269</v>
      </c>
      <c r="AA156" s="6">
        <v>4278</v>
      </c>
      <c r="AB156" s="6">
        <v>4283</v>
      </c>
      <c r="AC156" s="6">
        <v>4264</v>
      </c>
      <c r="AD156" s="6">
        <v>4278</v>
      </c>
      <c r="AE156" s="6">
        <v>4253</v>
      </c>
      <c r="AF156" s="8">
        <f t="shared" si="431"/>
        <v>4277.666666666667</v>
      </c>
      <c r="AG156" s="6">
        <f t="shared" si="387"/>
        <v>4272.833333333333</v>
      </c>
      <c r="AJ156" s="3">
        <v>2008</v>
      </c>
      <c r="AK156" s="9">
        <f t="shared" si="374"/>
        <v>2.7684579439252337</v>
      </c>
      <c r="AL156" s="9">
        <f t="shared" si="411"/>
        <v>4.006309885487263</v>
      </c>
      <c r="AM156" s="9">
        <f t="shared" si="412"/>
        <v>3.9812996727442731</v>
      </c>
      <c r="AN156" s="9">
        <f t="shared" si="413"/>
        <v>3.8762016412661198</v>
      </c>
      <c r="AO156" s="9">
        <f t="shared" si="414"/>
        <v>3.8476123595505616</v>
      </c>
      <c r="AP156" s="9">
        <f t="shared" si="415"/>
        <v>4.1171929824561406</v>
      </c>
      <c r="AQ156" s="11">
        <f t="shared" si="422"/>
        <v>4.4129772780510654</v>
      </c>
      <c r="AR156" s="11">
        <f t="shared" si="423"/>
        <v>4.2905563347358582</v>
      </c>
      <c r="AS156" s="11">
        <f t="shared" si="424"/>
        <v>4.2073313098295584</v>
      </c>
      <c r="AT156" s="11">
        <f t="shared" si="425"/>
        <v>3.8710131332082551</v>
      </c>
      <c r="AU156" s="11">
        <f t="shared" si="426"/>
        <v>3.7269752220663861</v>
      </c>
      <c r="AV156" s="11">
        <f t="shared" si="427"/>
        <v>4.0728897249000706</v>
      </c>
      <c r="AW156" s="90">
        <f t="shared" si="399"/>
        <v>0.129168562596087</v>
      </c>
    </row>
    <row r="157" spans="1:49" x14ac:dyDescent="0.25">
      <c r="A157" s="3">
        <v>2007</v>
      </c>
      <c r="B157" s="66"/>
      <c r="C157" s="66"/>
      <c r="D157" s="66"/>
      <c r="E157" s="66"/>
      <c r="F157" s="66"/>
      <c r="G157" s="66"/>
      <c r="H157" s="66">
        <v>20529.62</v>
      </c>
      <c r="I157" s="66">
        <v>20985.239999999998</v>
      </c>
      <c r="J157" s="66">
        <v>21780.93</v>
      </c>
      <c r="K157" s="66">
        <v>18858.02</v>
      </c>
      <c r="L157" s="66">
        <v>18005.939999999999</v>
      </c>
      <c r="M157" s="66">
        <v>24659.16</v>
      </c>
      <c r="N157" s="67">
        <f t="shared" si="429"/>
        <v>0</v>
      </c>
      <c r="O157" s="115">
        <f t="shared" si="428"/>
        <v>124818.91</v>
      </c>
      <c r="P157" s="47"/>
      <c r="Q157" s="117"/>
      <c r="R157" s="151"/>
      <c r="S157" s="3">
        <v>2007</v>
      </c>
      <c r="T157" s="6">
        <v>4273</v>
      </c>
      <c r="U157" s="6">
        <v>4266</v>
      </c>
      <c r="V157" s="6">
        <v>4273</v>
      </c>
      <c r="W157" s="6">
        <v>4290</v>
      </c>
      <c r="X157" s="6">
        <v>4286</v>
      </c>
      <c r="Y157" s="6">
        <v>4280</v>
      </c>
      <c r="Z157" s="6">
        <v>4281</v>
      </c>
      <c r="AA157" s="6">
        <v>4281</v>
      </c>
      <c r="AB157" s="6">
        <v>4291</v>
      </c>
      <c r="AC157" s="6">
        <v>4282</v>
      </c>
      <c r="AD157" s="6">
        <v>4268</v>
      </c>
      <c r="AE157" s="6">
        <v>4280</v>
      </c>
      <c r="AF157" s="8"/>
      <c r="AG157" s="6">
        <f t="shared" si="387"/>
        <v>4279.25</v>
      </c>
      <c r="AJ157" s="3">
        <v>2007</v>
      </c>
      <c r="AK157" s="9">
        <f t="shared" si="374"/>
        <v>0</v>
      </c>
      <c r="AL157" s="9">
        <f t="shared" si="411"/>
        <v>0</v>
      </c>
      <c r="AM157" s="9">
        <f t="shared" si="412"/>
        <v>0</v>
      </c>
      <c r="AN157" s="9">
        <f t="shared" si="413"/>
        <v>0</v>
      </c>
      <c r="AO157" s="9">
        <f t="shared" si="414"/>
        <v>0</v>
      </c>
      <c r="AP157" s="9">
        <f t="shared" si="415"/>
        <v>0</v>
      </c>
      <c r="AQ157" s="11">
        <f t="shared" si="422"/>
        <v>4.795519738378883</v>
      </c>
      <c r="AR157" s="11">
        <f t="shared" si="423"/>
        <v>4.9019481429572522</v>
      </c>
      <c r="AS157" s="11">
        <f t="shared" si="424"/>
        <v>5.0759566534607314</v>
      </c>
      <c r="AT157" s="11">
        <f t="shared" si="425"/>
        <v>4.4040214852872488</v>
      </c>
      <c r="AU157" s="11">
        <f t="shared" si="426"/>
        <v>4.2188238050609179</v>
      </c>
      <c r="AV157" s="11">
        <f t="shared" si="427"/>
        <v>5.7614859813084109</v>
      </c>
      <c r="AW157" s="90">
        <f t="shared" si="399"/>
        <v>7.9829584685704155E-2</v>
      </c>
    </row>
    <row r="158" spans="1:49" ht="15.75" thickBot="1" x14ac:dyDescent="0.3">
      <c r="N158" s="118"/>
      <c r="O158" s="118"/>
      <c r="AW158" s="73"/>
    </row>
    <row r="159" spans="1:49" ht="15.75" thickTop="1" x14ac:dyDescent="0.25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97">
        <f>SUM(N141:N145)/5</f>
        <v>175527.45579999997</v>
      </c>
      <c r="O159" s="97">
        <f>SUM(O141:O145)/5</f>
        <v>174758.75999999998</v>
      </c>
      <c r="P159" s="50"/>
      <c r="Q159" s="120"/>
      <c r="R159" s="153"/>
      <c r="AV159" s="3" t="s">
        <v>47</v>
      </c>
      <c r="AW159" s="92">
        <f>SUM(AW141:AW145)/5</f>
        <v>0.11046196679276488</v>
      </c>
    </row>
    <row r="160" spans="1:49" x14ac:dyDescent="0.25">
      <c r="A160" s="64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97"/>
      <c r="O160" s="97"/>
      <c r="P160" s="50"/>
      <c r="Q160" s="120"/>
      <c r="R160" s="153"/>
      <c r="AV160" s="63" t="s">
        <v>89</v>
      </c>
      <c r="AW160" s="93">
        <f>SUM(AW142:AW146)/5</f>
        <v>0.112159306275775</v>
      </c>
    </row>
    <row r="161" spans="1:49" x14ac:dyDescent="0.25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97"/>
      <c r="O161" s="97"/>
      <c r="P161" s="50"/>
      <c r="Q161" s="120"/>
      <c r="R161" s="153"/>
      <c r="AV161" s="3" t="s">
        <v>48</v>
      </c>
      <c r="AW161" s="92">
        <f>SUM(AW141:AW150)/5</f>
        <v>0.22815292408972807</v>
      </c>
    </row>
    <row r="163" spans="1:49" ht="77.25" customHeight="1" x14ac:dyDescent="0.25">
      <c r="A163" s="165" t="s">
        <v>23</v>
      </c>
      <c r="B163" s="111" t="s">
        <v>0</v>
      </c>
      <c r="C163" s="111" t="s">
        <v>1</v>
      </c>
      <c r="D163" s="111" t="s">
        <v>2</v>
      </c>
      <c r="E163" s="111" t="s">
        <v>3</v>
      </c>
      <c r="F163" s="111" t="s">
        <v>4</v>
      </c>
      <c r="G163" s="111" t="s">
        <v>5</v>
      </c>
      <c r="H163" s="111" t="s">
        <v>6</v>
      </c>
      <c r="I163" s="111" t="s">
        <v>7</v>
      </c>
      <c r="J163" s="111" t="s">
        <v>8</v>
      </c>
      <c r="K163" s="111" t="s">
        <v>9</v>
      </c>
      <c r="L163" s="111" t="s">
        <v>10</v>
      </c>
      <c r="M163" s="111" t="s">
        <v>11</v>
      </c>
      <c r="N163" s="112" t="s">
        <v>78</v>
      </c>
      <c r="O163" s="112" t="s">
        <v>77</v>
      </c>
      <c r="P163" s="139" t="s">
        <v>162</v>
      </c>
      <c r="Q163" s="140" t="s">
        <v>72</v>
      </c>
      <c r="R163" s="148"/>
      <c r="S163" s="165" t="s">
        <v>36</v>
      </c>
      <c r="T163" s="5" t="s">
        <v>0</v>
      </c>
      <c r="U163" s="5" t="s">
        <v>1</v>
      </c>
      <c r="V163" s="5" t="s">
        <v>2</v>
      </c>
      <c r="W163" s="5" t="s">
        <v>3</v>
      </c>
      <c r="X163" s="5" t="s">
        <v>4</v>
      </c>
      <c r="Y163" s="5" t="s">
        <v>5</v>
      </c>
      <c r="Z163" s="5" t="s">
        <v>6</v>
      </c>
      <c r="AA163" s="5" t="s">
        <v>7</v>
      </c>
      <c r="AB163" s="5" t="s">
        <v>8</v>
      </c>
      <c r="AC163" s="5" t="s">
        <v>9</v>
      </c>
      <c r="AD163" s="5" t="s">
        <v>10</v>
      </c>
      <c r="AE163" s="5" t="s">
        <v>11</v>
      </c>
      <c r="AF163" s="30" t="s">
        <v>164</v>
      </c>
      <c r="AG163" s="30" t="s">
        <v>167</v>
      </c>
      <c r="AJ163" s="165" t="s">
        <v>56</v>
      </c>
      <c r="AK163" s="5" t="s">
        <v>0</v>
      </c>
      <c r="AL163" s="5" t="s">
        <v>1</v>
      </c>
      <c r="AM163" s="5" t="s">
        <v>2</v>
      </c>
      <c r="AN163" s="5" t="s">
        <v>3</v>
      </c>
      <c r="AO163" s="5" t="s">
        <v>4</v>
      </c>
      <c r="AP163" s="5" t="s">
        <v>5</v>
      </c>
      <c r="AQ163" s="5" t="s">
        <v>6</v>
      </c>
      <c r="AR163" s="5" t="s">
        <v>7</v>
      </c>
      <c r="AS163" s="5" t="s">
        <v>8</v>
      </c>
      <c r="AT163" s="5" t="s">
        <v>9</v>
      </c>
      <c r="AU163" s="5" t="s">
        <v>10</v>
      </c>
      <c r="AV163" s="5" t="s">
        <v>11</v>
      </c>
      <c r="AW163" s="5" t="s">
        <v>49</v>
      </c>
    </row>
    <row r="164" spans="1:49" ht="16.5" customHeight="1" x14ac:dyDescent="0.25">
      <c r="A164" s="77">
        <v>2023</v>
      </c>
      <c r="B164" s="189">
        <v>97213.482999999993</v>
      </c>
      <c r="C164" s="189">
        <v>76549.067999999999</v>
      </c>
      <c r="D164" s="189">
        <v>76997.866999999998</v>
      </c>
      <c r="E164" s="189">
        <v>80224.785999999993</v>
      </c>
      <c r="F164" s="189">
        <v>91050.887000000002</v>
      </c>
      <c r="G164" s="189">
        <v>118845.31200000001</v>
      </c>
      <c r="H164" s="189">
        <v>137646.511</v>
      </c>
      <c r="I164" s="189">
        <v>131793.601</v>
      </c>
      <c r="J164" s="189">
        <v>131093.97</v>
      </c>
      <c r="K164" s="189">
        <v>104718.447</v>
      </c>
      <c r="L164" s="189">
        <v>83908.923999999999</v>
      </c>
      <c r="M164" s="189">
        <v>81997.562999999995</v>
      </c>
      <c r="N164" s="67">
        <f t="shared" ref="N164:N169" si="432">SUM(B164:G164)+SUM(H165:M165)</f>
        <v>1272567.8259999999</v>
      </c>
      <c r="O164" s="115">
        <f t="shared" ref="O164:O167" si="433">SUM(B164:M164)</f>
        <v>1212040.419</v>
      </c>
      <c r="P164" s="136">
        <f>SUM(O164:O168)</f>
        <v>5861705.2350000003</v>
      </c>
      <c r="Q164" s="138">
        <f t="shared" ref="Q164:Q169" si="434">P164/5</f>
        <v>1172341.047</v>
      </c>
      <c r="R164" s="148"/>
      <c r="S164" s="77">
        <v>2023</v>
      </c>
      <c r="T164" s="189">
        <v>22836</v>
      </c>
      <c r="U164" s="189">
        <v>22872</v>
      </c>
      <c r="V164" s="189">
        <v>22864</v>
      </c>
      <c r="W164" s="189">
        <v>22854</v>
      </c>
      <c r="X164" s="189">
        <v>22907</v>
      </c>
      <c r="Y164" s="189">
        <v>22921</v>
      </c>
      <c r="Z164" s="189">
        <v>22968</v>
      </c>
      <c r="AA164" s="189">
        <v>22980</v>
      </c>
      <c r="AB164" s="189">
        <v>22960</v>
      </c>
      <c r="AC164" s="189">
        <v>22960</v>
      </c>
      <c r="AD164" s="189">
        <v>22986</v>
      </c>
      <c r="AE164" s="189">
        <v>23039</v>
      </c>
      <c r="AF164" s="88">
        <f t="shared" ref="AF164:AF169" si="435">(SUM(T164:Y164)+SUM(Z165:AE165))/12</f>
        <v>22835.916666666668</v>
      </c>
      <c r="AG164" s="6">
        <f>SUM(T164:AE164)/12</f>
        <v>22928.916666666668</v>
      </c>
      <c r="AJ164" s="77">
        <v>2023</v>
      </c>
      <c r="AK164" s="9">
        <f t="shared" ref="AK164:AK180" si="436">B164/T164</f>
        <v>4.2570276318094233</v>
      </c>
      <c r="AL164" s="9">
        <f t="shared" ref="AL164" si="437">C164/U164</f>
        <v>3.346846274921301</v>
      </c>
      <c r="AM164" s="9">
        <f t="shared" ref="AM164" si="438">D164/V164</f>
        <v>3.3676463873337998</v>
      </c>
      <c r="AN164" s="9">
        <f t="shared" ref="AN164" si="439">E164/W164</f>
        <v>3.5103170560952126</v>
      </c>
      <c r="AO164" s="9">
        <f t="shared" ref="AO164" si="440">F164/X164</f>
        <v>3.9748062600951677</v>
      </c>
      <c r="AP164" s="9">
        <f t="shared" ref="AP164" si="441">G164/Y164</f>
        <v>5.1849968151476817</v>
      </c>
      <c r="AQ164" s="9">
        <f t="shared" ref="AQ164" si="442">H164/Z164</f>
        <v>5.9929689568094737</v>
      </c>
      <c r="AR164" s="9">
        <f t="shared" ref="AR164" si="443">I164/AA164</f>
        <v>5.7351436466492602</v>
      </c>
      <c r="AS164" s="9">
        <f t="shared" ref="AS164" si="444">J164/AB164</f>
        <v>5.7096676829268294</v>
      </c>
      <c r="AT164" s="9">
        <f t="shared" ref="AT164" si="445">K164/AC164</f>
        <v>4.5609079703832753</v>
      </c>
      <c r="AU164" s="9">
        <f t="shared" ref="AU164" si="446">L164/AD164</f>
        <v>3.6504360915339773</v>
      </c>
      <c r="AV164" s="9">
        <f t="shared" ref="AV164" si="447">M164/AE164</f>
        <v>3.5590764790138461</v>
      </c>
      <c r="AW164" s="90">
        <f>(SUM(AK164:AP164)+SUM(AQ164:AV164))/365.25</f>
        <v>0.14469497947356399</v>
      </c>
    </row>
    <row r="165" spans="1:49" ht="15.75" customHeight="1" x14ac:dyDescent="0.25">
      <c r="A165" s="61">
        <v>2022</v>
      </c>
      <c r="B165" s="190">
        <v>89326.587</v>
      </c>
      <c r="C165" s="190">
        <v>79116.600999999995</v>
      </c>
      <c r="D165" s="190">
        <v>79903.820000000007</v>
      </c>
      <c r="E165" s="190">
        <v>77292.830999999991</v>
      </c>
      <c r="F165" s="190">
        <v>86589.035000000003</v>
      </c>
      <c r="G165" s="190">
        <v>98940.201000000001</v>
      </c>
      <c r="H165" s="190">
        <v>149205.878</v>
      </c>
      <c r="I165" s="190">
        <v>153980.13999999998</v>
      </c>
      <c r="J165" s="190">
        <v>129571.897</v>
      </c>
      <c r="K165" s="190">
        <v>128656.99399999999</v>
      </c>
      <c r="L165" s="190">
        <v>81842.618999999992</v>
      </c>
      <c r="M165" s="190">
        <v>88428.895000000004</v>
      </c>
      <c r="N165" s="67">
        <f t="shared" si="432"/>
        <v>1154774.1209999998</v>
      </c>
      <c r="O165" s="115">
        <f t="shared" si="433"/>
        <v>1242855.4979999999</v>
      </c>
      <c r="P165" s="136">
        <f t="shared" ref="P165:P175" si="448">SUM(O165:O169)</f>
        <v>5791436.5159999998</v>
      </c>
      <c r="Q165" s="138">
        <f t="shared" si="434"/>
        <v>1158287.3032</v>
      </c>
      <c r="R165" s="148"/>
      <c r="S165" s="61">
        <v>2022</v>
      </c>
      <c r="T165" s="190">
        <v>22594</v>
      </c>
      <c r="U165" s="190">
        <v>22604</v>
      </c>
      <c r="V165" s="190">
        <v>22665</v>
      </c>
      <c r="W165" s="190">
        <v>22671</v>
      </c>
      <c r="X165" s="190">
        <v>22706</v>
      </c>
      <c r="Y165" s="190">
        <v>22731</v>
      </c>
      <c r="Z165" s="190">
        <v>22755</v>
      </c>
      <c r="AA165" s="190">
        <v>22783</v>
      </c>
      <c r="AB165" s="190">
        <v>22829</v>
      </c>
      <c r="AC165" s="190">
        <v>22816</v>
      </c>
      <c r="AD165" s="190">
        <v>22784</v>
      </c>
      <c r="AE165" s="190">
        <v>22810</v>
      </c>
      <c r="AF165" s="88">
        <f t="shared" si="435"/>
        <v>22602.75</v>
      </c>
      <c r="AG165" s="6">
        <f t="shared" ref="AG165:AG180" si="449">SUM(T165:AE165)/12</f>
        <v>22729</v>
      </c>
      <c r="AJ165" s="61">
        <v>2022</v>
      </c>
      <c r="AK165" s="9">
        <f t="shared" si="436"/>
        <v>3.9535534655218201</v>
      </c>
      <c r="AL165" s="9">
        <f t="shared" ref="AL165" si="450">C165/U165</f>
        <v>3.5001150681295345</v>
      </c>
      <c r="AM165" s="9">
        <f t="shared" ref="AM165" si="451">D165/V165</f>
        <v>3.5254277520405917</v>
      </c>
      <c r="AN165" s="9">
        <f t="shared" ref="AN165" si="452">E165/W165</f>
        <v>3.4093260553129543</v>
      </c>
      <c r="AO165" s="9">
        <f t="shared" ref="AO165" si="453">F165/X165</f>
        <v>3.8134869637981152</v>
      </c>
      <c r="AP165" s="9">
        <f t="shared" ref="AP165" si="454">G165/Y165</f>
        <v>4.3526550085785933</v>
      </c>
      <c r="AQ165" s="9">
        <f t="shared" ref="AQ165" si="455">H165/Z165</f>
        <v>6.5570590199956049</v>
      </c>
      <c r="AR165" s="9">
        <f t="shared" ref="AR165" si="456">I165/AA165</f>
        <v>6.7585541851380411</v>
      </c>
      <c r="AS165" s="9">
        <f t="shared" ref="AS165" si="457">J165/AB165</f>
        <v>5.6757587717377023</v>
      </c>
      <c r="AT165" s="9">
        <f t="shared" ref="AT165" si="458">K165/AC165</f>
        <v>5.6388934957924262</v>
      </c>
      <c r="AU165" s="9">
        <f t="shared" ref="AU165" si="459">L165/AD165</f>
        <v>3.5921093311095502</v>
      </c>
      <c r="AV165" s="9">
        <f t="shared" ref="AV165" si="460">M165/AE165</f>
        <v>3.8767599736957479</v>
      </c>
      <c r="AW165" s="90">
        <f t="shared" ref="AW165:AW180" si="461">(SUM(AK165:AP165)+SUM(AQ165:AV165))/365.25</f>
        <v>0.14963367307556655</v>
      </c>
    </row>
    <row r="166" spans="1:49" ht="14.25" customHeight="1" x14ac:dyDescent="0.25">
      <c r="A166" s="61">
        <v>2021</v>
      </c>
      <c r="B166" s="190">
        <v>83935.834999999992</v>
      </c>
      <c r="C166" s="190">
        <v>80798.816000000006</v>
      </c>
      <c r="D166" s="190">
        <v>97885.856</v>
      </c>
      <c r="E166" s="190">
        <v>86854.623999999996</v>
      </c>
      <c r="F166" s="190">
        <v>76800.231999999989</v>
      </c>
      <c r="G166" s="190">
        <v>96087.582999999999</v>
      </c>
      <c r="H166" s="190">
        <v>120868.977</v>
      </c>
      <c r="I166" s="190">
        <v>120374.78099999999</v>
      </c>
      <c r="J166" s="190">
        <v>128130.71799999999</v>
      </c>
      <c r="K166" s="190">
        <v>112036.81899999999</v>
      </c>
      <c r="L166" s="190">
        <v>79627.520999999993</v>
      </c>
      <c r="M166" s="190">
        <v>82566.23</v>
      </c>
      <c r="N166" s="67">
        <f t="shared" si="432"/>
        <v>1198292.953</v>
      </c>
      <c r="O166" s="115">
        <f t="shared" si="433"/>
        <v>1165967.9919999999</v>
      </c>
      <c r="P166" s="136">
        <f t="shared" si="448"/>
        <v>5674036.7770000007</v>
      </c>
      <c r="Q166" s="138">
        <f t="shared" si="434"/>
        <v>1134807.3554000002</v>
      </c>
      <c r="R166" s="148"/>
      <c r="S166" s="61">
        <v>2021</v>
      </c>
      <c r="T166" s="190">
        <v>22447</v>
      </c>
      <c r="U166" s="190">
        <v>22444</v>
      </c>
      <c r="V166" s="190">
        <v>22504</v>
      </c>
      <c r="W166" s="190">
        <v>22530</v>
      </c>
      <c r="X166" s="190">
        <v>22508</v>
      </c>
      <c r="Y166" s="190">
        <v>22518</v>
      </c>
      <c r="Z166" s="190">
        <v>22532</v>
      </c>
      <c r="AA166" s="190">
        <v>22539</v>
      </c>
      <c r="AB166" s="190">
        <v>22524</v>
      </c>
      <c r="AC166" s="190">
        <v>22537</v>
      </c>
      <c r="AD166" s="190">
        <v>22561</v>
      </c>
      <c r="AE166" s="190">
        <v>22569</v>
      </c>
      <c r="AF166" s="88">
        <f t="shared" si="435"/>
        <v>22443.666666666668</v>
      </c>
      <c r="AG166" s="6">
        <f t="shared" si="449"/>
        <v>22517.75</v>
      </c>
      <c r="AJ166" s="61">
        <v>2021</v>
      </c>
      <c r="AK166" s="9">
        <f t="shared" si="436"/>
        <v>3.7392896600882075</v>
      </c>
      <c r="AL166" s="9">
        <f t="shared" ref="AL166" si="462">C166/U166</f>
        <v>3.6000185350204958</v>
      </c>
      <c r="AM166" s="9">
        <f t="shared" ref="AM166" si="463">D166/V166</f>
        <v>4.3497092072520438</v>
      </c>
      <c r="AN166" s="9">
        <f t="shared" ref="AN166" si="464">E166/W166</f>
        <v>3.8550654238792719</v>
      </c>
      <c r="AO166" s="9">
        <f t="shared" ref="AO166" si="465">F166/X166</f>
        <v>3.4121304425093295</v>
      </c>
      <c r="AP166" s="9">
        <f t="shared" ref="AP166" si="466">G166/Y166</f>
        <v>4.2671455280220272</v>
      </c>
      <c r="AQ166" s="9">
        <f t="shared" ref="AQ166" si="467">H166/Z166</f>
        <v>5.364325270726078</v>
      </c>
      <c r="AR166" s="9">
        <f t="shared" ref="AR166" si="468">I166/AA166</f>
        <v>5.3407329961400238</v>
      </c>
      <c r="AS166" s="9">
        <f t="shared" ref="AS166" si="469">J166/AB166</f>
        <v>5.6886307050257496</v>
      </c>
      <c r="AT166" s="9">
        <f t="shared" ref="AT166" si="470">K166/AC166</f>
        <v>4.9712392510094503</v>
      </c>
      <c r="AU166" s="9">
        <f t="shared" ref="AU166" si="471">L166/AD166</f>
        <v>3.5294322503435129</v>
      </c>
      <c r="AV166" s="9">
        <f t="shared" ref="AV166" si="472">M166/AE166</f>
        <v>3.6583911560104565</v>
      </c>
      <c r="AW166" s="90">
        <f t="shared" si="461"/>
        <v>0.14175526468453564</v>
      </c>
    </row>
    <row r="167" spans="1:49" x14ac:dyDescent="0.25">
      <c r="A167" s="61">
        <v>2020</v>
      </c>
      <c r="B167" s="190">
        <v>86364.6</v>
      </c>
      <c r="C167" s="190">
        <v>71192.796000000002</v>
      </c>
      <c r="D167" s="190">
        <v>78483.057000000001</v>
      </c>
      <c r="E167" s="190">
        <v>85602.36</v>
      </c>
      <c r="F167" s="190">
        <v>82162.691000000006</v>
      </c>
      <c r="G167" s="190">
        <v>104160.815</v>
      </c>
      <c r="H167" s="190">
        <v>147108.11900000001</v>
      </c>
      <c r="I167" s="190">
        <v>128452.265</v>
      </c>
      <c r="J167" s="190">
        <v>118353.174</v>
      </c>
      <c r="K167" s="190">
        <v>110142.644</v>
      </c>
      <c r="L167" s="190">
        <v>81483.775999999998</v>
      </c>
      <c r="M167" s="190">
        <v>90390.02900000001</v>
      </c>
      <c r="N167" s="67">
        <f t="shared" si="432"/>
        <v>1075283.719</v>
      </c>
      <c r="O167" s="115">
        <f t="shared" si="433"/>
        <v>1183896.3260000001</v>
      </c>
      <c r="P167" s="136">
        <f t="shared" si="448"/>
        <v>5632159.0710000005</v>
      </c>
      <c r="Q167" s="138">
        <f t="shared" si="434"/>
        <v>1126431.8142000001</v>
      </c>
      <c r="R167" s="148"/>
      <c r="S167" s="61">
        <v>2020</v>
      </c>
      <c r="T167" s="190">
        <v>22038</v>
      </c>
      <c r="U167" s="190">
        <v>22070</v>
      </c>
      <c r="V167" s="190">
        <v>22162</v>
      </c>
      <c r="W167" s="190">
        <v>22231</v>
      </c>
      <c r="X167" s="190">
        <v>22289</v>
      </c>
      <c r="Y167" s="190">
        <v>22329</v>
      </c>
      <c r="Z167" s="190">
        <v>22428</v>
      </c>
      <c r="AA167" s="190">
        <v>22425</v>
      </c>
      <c r="AB167" s="190">
        <v>22432</v>
      </c>
      <c r="AC167" s="190">
        <v>22316</v>
      </c>
      <c r="AD167" s="190">
        <v>22360</v>
      </c>
      <c r="AE167" s="190">
        <v>22412</v>
      </c>
      <c r="AF167" s="88">
        <f t="shared" si="435"/>
        <v>22090.5</v>
      </c>
      <c r="AG167" s="6">
        <f t="shared" si="449"/>
        <v>22291</v>
      </c>
      <c r="AJ167" s="61">
        <v>2020</v>
      </c>
      <c r="AK167" s="9">
        <f t="shared" si="436"/>
        <v>3.9188946365368911</v>
      </c>
      <c r="AL167" s="9">
        <f t="shared" ref="AL167:AL180" si="473">C167/U167</f>
        <v>3.2257723606705935</v>
      </c>
      <c r="AM167" s="79">
        <f t="shared" ref="AM167:AM180" si="474">D167/V167</f>
        <v>3.5413345817164514</v>
      </c>
      <c r="AN167" s="79">
        <f t="shared" ref="AN167:AN180" si="475">E167/W167</f>
        <v>3.850585218838559</v>
      </c>
      <c r="AO167" s="79">
        <f t="shared" ref="AO167:AO180" si="476">F167/X167</f>
        <v>3.6862439319843872</v>
      </c>
      <c r="AP167" s="79">
        <f t="shared" ref="AP167:AP180" si="477">G167/Y167</f>
        <v>4.6648222043082983</v>
      </c>
      <c r="AQ167" s="79">
        <f t="shared" ref="AQ167" si="478">H167/Z167</f>
        <v>6.5591278312823258</v>
      </c>
      <c r="AR167" s="79">
        <f t="shared" ref="AR167" si="479">I167/AA167</f>
        <v>5.7280831661092533</v>
      </c>
      <c r="AS167" s="79">
        <f t="shared" ref="AS167" si="480">J167/AB167</f>
        <v>5.2760865727532096</v>
      </c>
      <c r="AT167" s="79">
        <f t="shared" ref="AT167" si="481">K167/AC167</f>
        <v>4.9355907868793691</v>
      </c>
      <c r="AU167" s="79">
        <f t="shared" ref="AU167" si="482">L167/AD167</f>
        <v>3.6441760286225402</v>
      </c>
      <c r="AV167" s="79">
        <f t="shared" ref="AV167" si="483">M167/AE167</f>
        <v>4.0331085579154031</v>
      </c>
      <c r="AW167" s="90">
        <f t="shared" si="461"/>
        <v>0.14528083744727521</v>
      </c>
    </row>
    <row r="168" spans="1:49" x14ac:dyDescent="0.25">
      <c r="A168" s="61">
        <v>2019</v>
      </c>
      <c r="B168" s="125">
        <v>90022.900000000009</v>
      </c>
      <c r="C168" s="125">
        <v>68445.100000000006</v>
      </c>
      <c r="D168" s="125">
        <v>82465.100000000006</v>
      </c>
      <c r="E168" s="125">
        <v>72006.600000000006</v>
      </c>
      <c r="F168" s="125">
        <v>87327.5</v>
      </c>
      <c r="G168" s="125">
        <v>89360.400000000009</v>
      </c>
      <c r="H168" s="190">
        <v>100150.39999999999</v>
      </c>
      <c r="I168" s="190">
        <v>112540.9</v>
      </c>
      <c r="J168" s="190">
        <v>100621.7</v>
      </c>
      <c r="K168" s="190">
        <v>93468.5</v>
      </c>
      <c r="L168" s="190">
        <v>75390</v>
      </c>
      <c r="M168" s="190">
        <v>85145.900000000009</v>
      </c>
      <c r="N168" s="67">
        <f t="shared" si="432"/>
        <v>1092101.3</v>
      </c>
      <c r="O168" s="115">
        <f>SUM(B168:M168)</f>
        <v>1056945</v>
      </c>
      <c r="P168" s="136">
        <f t="shared" si="448"/>
        <v>5581526.7280000001</v>
      </c>
      <c r="Q168" s="138">
        <f t="shared" si="434"/>
        <v>1116305.3456000001</v>
      </c>
      <c r="R168" s="108"/>
      <c r="S168" s="61">
        <v>2019</v>
      </c>
      <c r="T168" s="35">
        <v>21818</v>
      </c>
      <c r="U168" s="35">
        <v>21869</v>
      </c>
      <c r="V168" s="35">
        <v>21918</v>
      </c>
      <c r="W168" s="35">
        <v>21951</v>
      </c>
      <c r="X168" s="35">
        <v>21939</v>
      </c>
      <c r="Y168" s="35">
        <v>21913</v>
      </c>
      <c r="Z168" s="35">
        <v>21977</v>
      </c>
      <c r="AA168" s="35">
        <v>21986</v>
      </c>
      <c r="AB168" s="35">
        <v>22014</v>
      </c>
      <c r="AC168" s="35">
        <v>21994</v>
      </c>
      <c r="AD168" s="35">
        <v>22008</v>
      </c>
      <c r="AE168" s="35">
        <v>21988</v>
      </c>
      <c r="AF168" s="8">
        <f t="shared" si="435"/>
        <v>21861.833333333332</v>
      </c>
      <c r="AG168" s="6">
        <f t="shared" si="449"/>
        <v>21947.916666666668</v>
      </c>
      <c r="AJ168" s="61">
        <v>2019</v>
      </c>
      <c r="AK168" s="9">
        <f t="shared" si="436"/>
        <v>4.1260839673663954</v>
      </c>
      <c r="AL168" s="9">
        <f t="shared" si="473"/>
        <v>3.1297773103479813</v>
      </c>
      <c r="AM168" s="9">
        <f t="shared" si="474"/>
        <v>3.7624372661739214</v>
      </c>
      <c r="AN168" s="9">
        <f t="shared" si="475"/>
        <v>3.2803334700013669</v>
      </c>
      <c r="AO168" s="9">
        <f t="shared" si="476"/>
        <v>3.9804685719494963</v>
      </c>
      <c r="AP168" s="9">
        <f t="shared" si="477"/>
        <v>4.0779628531008996</v>
      </c>
      <c r="AQ168" s="11">
        <f t="shared" ref="AQ168:AQ180" si="484">H168/Z168</f>
        <v>4.5570551030622921</v>
      </c>
      <c r="AR168" s="11">
        <f t="shared" ref="AR168:AR180" si="485">I168/AA168</f>
        <v>5.1187528427180933</v>
      </c>
      <c r="AS168" s="11">
        <f t="shared" ref="AS168:AS180" si="486">J168/AB168</f>
        <v>4.5708049423094392</v>
      </c>
      <c r="AT168" s="11">
        <f t="shared" ref="AT168:AT180" si="487">K168/AC168</f>
        <v>4.2497271983268163</v>
      </c>
      <c r="AU168" s="11">
        <f t="shared" ref="AU168:AU180" si="488">L168/AD168</f>
        <v>3.4255725190839694</v>
      </c>
      <c r="AV168" s="11">
        <f t="shared" ref="AV168:AV180" si="489">M168/AE168</f>
        <v>3.8723803893032569</v>
      </c>
      <c r="AW168" s="90">
        <f t="shared" si="461"/>
        <v>0.13183122911360418</v>
      </c>
    </row>
    <row r="169" spans="1:49" x14ac:dyDescent="0.25">
      <c r="A169" s="61">
        <v>2018</v>
      </c>
      <c r="B169" s="116">
        <v>101681.5</v>
      </c>
      <c r="C169" s="116">
        <v>80438.899999999994</v>
      </c>
      <c r="D169" s="116">
        <v>71641.7</v>
      </c>
      <c r="E169" s="116">
        <v>73073.899999999994</v>
      </c>
      <c r="F169" s="116">
        <v>87523.3</v>
      </c>
      <c r="G169" s="116">
        <v>124938.7</v>
      </c>
      <c r="H169" s="116">
        <v>137207.70000000001</v>
      </c>
      <c r="I169" s="116">
        <v>123004.8</v>
      </c>
      <c r="J169" s="116">
        <v>98932.2</v>
      </c>
      <c r="K169" s="116">
        <v>97613.3</v>
      </c>
      <c r="L169" s="116">
        <v>74317.8</v>
      </c>
      <c r="M169" s="116">
        <v>71397.899999999994</v>
      </c>
      <c r="N169" s="67">
        <f t="shared" si="432"/>
        <v>1166414.4169999999</v>
      </c>
      <c r="O169" s="115">
        <f t="shared" ref="O169:O180" si="490">SUM(B169:M169)</f>
        <v>1141771.7</v>
      </c>
      <c r="P169" s="136">
        <f t="shared" si="448"/>
        <v>5712668.2760000005</v>
      </c>
      <c r="Q169" s="138">
        <f t="shared" si="434"/>
        <v>1142533.6552000002</v>
      </c>
      <c r="R169" s="148"/>
      <c r="S169" s="61">
        <v>2018</v>
      </c>
      <c r="T169" s="35">
        <v>21636</v>
      </c>
      <c r="U169" s="35">
        <v>21657</v>
      </c>
      <c r="V169" s="35">
        <v>21681</v>
      </c>
      <c r="W169" s="35">
        <v>21743</v>
      </c>
      <c r="X169" s="35">
        <v>21769</v>
      </c>
      <c r="Y169" s="35">
        <v>21756</v>
      </c>
      <c r="Z169" s="35">
        <v>21801</v>
      </c>
      <c r="AA169" s="35">
        <v>21832</v>
      </c>
      <c r="AB169" s="35">
        <v>21880</v>
      </c>
      <c r="AC169" s="35">
        <v>21806</v>
      </c>
      <c r="AD169" s="35">
        <v>21803</v>
      </c>
      <c r="AE169" s="35">
        <v>21812</v>
      </c>
      <c r="AF169" s="8">
        <f t="shared" si="435"/>
        <v>21658.833333333332</v>
      </c>
      <c r="AG169" s="6">
        <f t="shared" si="449"/>
        <v>21764.666666666668</v>
      </c>
      <c r="AJ169" s="61">
        <v>2018</v>
      </c>
      <c r="AK169" s="9">
        <f t="shared" si="436"/>
        <v>4.6996441116657426</v>
      </c>
      <c r="AL169" s="9">
        <f t="shared" si="473"/>
        <v>3.7142217296947866</v>
      </c>
      <c r="AM169" s="9">
        <f t="shared" si="474"/>
        <v>3.3043540427102069</v>
      </c>
      <c r="AN169" s="9">
        <f t="shared" si="475"/>
        <v>3.3608011773904241</v>
      </c>
      <c r="AO169" s="9">
        <f t="shared" si="476"/>
        <v>4.0205475676420601</v>
      </c>
      <c r="AP169" s="9">
        <f t="shared" si="477"/>
        <v>5.7427238462952745</v>
      </c>
      <c r="AQ169" s="11">
        <f t="shared" si="484"/>
        <v>6.2936424934636035</v>
      </c>
      <c r="AR169" s="11">
        <f t="shared" si="485"/>
        <v>5.6341517039208506</v>
      </c>
      <c r="AS169" s="11">
        <f t="shared" si="486"/>
        <v>4.5215813528336382</v>
      </c>
      <c r="AT169" s="11">
        <f t="shared" si="487"/>
        <v>4.4764422635971748</v>
      </c>
      <c r="AU169" s="11">
        <f t="shared" si="488"/>
        <v>3.4086043205063525</v>
      </c>
      <c r="AV169" s="11">
        <f t="shared" si="489"/>
        <v>3.2733311938382541</v>
      </c>
      <c r="AW169" s="90">
        <f t="shared" si="461"/>
        <v>0.14360039918838705</v>
      </c>
    </row>
    <row r="170" spans="1:49" x14ac:dyDescent="0.25">
      <c r="A170" s="3">
        <v>2017</v>
      </c>
      <c r="B170" s="66">
        <v>91233.15</v>
      </c>
      <c r="C170" s="66">
        <v>71234.284</v>
      </c>
      <c r="D170" s="66">
        <v>76795.047999999995</v>
      </c>
      <c r="E170" s="66">
        <v>73342.895999999993</v>
      </c>
      <c r="F170" s="66">
        <v>86045.411999999997</v>
      </c>
      <c r="G170" s="66">
        <v>99688.551999999996</v>
      </c>
      <c r="H170" s="116">
        <v>119020.948</v>
      </c>
      <c r="I170" s="116">
        <v>126061.95600000001</v>
      </c>
      <c r="J170" s="116">
        <v>113055.836</v>
      </c>
      <c r="K170" s="116">
        <v>101670.592</v>
      </c>
      <c r="L170" s="116">
        <v>89946</v>
      </c>
      <c r="M170" s="116">
        <v>77361.085000000006</v>
      </c>
      <c r="N170" s="67">
        <f>SUM(B170:G170)+SUM(H171:M171)</f>
        <v>1126550.1340000001</v>
      </c>
      <c r="O170" s="115">
        <f t="shared" si="490"/>
        <v>1125455.7590000001</v>
      </c>
      <c r="P170" s="136">
        <f t="shared" si="448"/>
        <v>5733071.2311199997</v>
      </c>
      <c r="Q170" s="138">
        <f>P170/5</f>
        <v>1146614.2462239999</v>
      </c>
      <c r="R170" s="151"/>
      <c r="S170" s="3">
        <v>2017</v>
      </c>
      <c r="T170" s="6">
        <v>21347</v>
      </c>
      <c r="U170" s="6">
        <v>21382</v>
      </c>
      <c r="V170" s="6">
        <v>21476</v>
      </c>
      <c r="W170" s="6">
        <v>21491</v>
      </c>
      <c r="X170" s="6">
        <v>21527</v>
      </c>
      <c r="Y170" s="6">
        <v>21553</v>
      </c>
      <c r="Z170" s="6">
        <v>21577</v>
      </c>
      <c r="AA170" s="6">
        <v>21576</v>
      </c>
      <c r="AB170" s="6">
        <v>21610</v>
      </c>
      <c r="AC170" s="6">
        <v>21627</v>
      </c>
      <c r="AD170" s="6">
        <v>21646</v>
      </c>
      <c r="AE170" s="6">
        <v>21628</v>
      </c>
      <c r="AF170" s="8">
        <f>(SUM(T170:Y170)+SUM(Z171:AE171))/12</f>
        <v>21329.25</v>
      </c>
      <c r="AG170" s="6">
        <f t="shared" si="449"/>
        <v>21536.666666666668</v>
      </c>
      <c r="AJ170" s="3">
        <v>2017</v>
      </c>
      <c r="AK170" s="9">
        <f t="shared" si="436"/>
        <v>4.2738159928795616</v>
      </c>
      <c r="AL170" s="9">
        <f t="shared" si="473"/>
        <v>3.3315070620147789</v>
      </c>
      <c r="AM170" s="9">
        <f t="shared" si="474"/>
        <v>3.5758543490407897</v>
      </c>
      <c r="AN170" s="9">
        <f t="shared" si="475"/>
        <v>3.4127260713787164</v>
      </c>
      <c r="AO170" s="9">
        <f t="shared" si="476"/>
        <v>3.9970925814093925</v>
      </c>
      <c r="AP170" s="9">
        <f t="shared" si="477"/>
        <v>4.625274996520206</v>
      </c>
      <c r="AQ170" s="11">
        <f t="shared" si="484"/>
        <v>5.5161027019511515</v>
      </c>
      <c r="AR170" s="11">
        <f t="shared" si="485"/>
        <v>5.8426935483870972</v>
      </c>
      <c r="AS170" s="11">
        <f t="shared" si="486"/>
        <v>5.2316444238778343</v>
      </c>
      <c r="AT170" s="11">
        <f t="shared" si="487"/>
        <v>4.7010954824987286</v>
      </c>
      <c r="AU170" s="11">
        <f t="shared" si="488"/>
        <v>4.1553173796544396</v>
      </c>
      <c r="AV170" s="11">
        <f t="shared" si="489"/>
        <v>3.5768949972258186</v>
      </c>
      <c r="AW170" s="90">
        <f t="shared" si="461"/>
        <v>0.14302537874562221</v>
      </c>
    </row>
    <row r="171" spans="1:49" x14ac:dyDescent="0.25">
      <c r="A171" s="3">
        <v>2016</v>
      </c>
      <c r="B171" s="66">
        <v>84281.648000000001</v>
      </c>
      <c r="C171" s="66">
        <v>72190.228000000003</v>
      </c>
      <c r="D171" s="66">
        <v>73598.338000000003</v>
      </c>
      <c r="E171" s="66">
        <v>82868.676000000007</v>
      </c>
      <c r="F171" s="66">
        <v>81215.596000000005</v>
      </c>
      <c r="G171" s="66">
        <v>101725.008</v>
      </c>
      <c r="H171" s="66">
        <v>120436.228</v>
      </c>
      <c r="I171" s="66">
        <v>125948.24</v>
      </c>
      <c r="J171" s="66">
        <v>113240.46799999999</v>
      </c>
      <c r="K171" s="66">
        <v>99470.535999999993</v>
      </c>
      <c r="L171" s="66">
        <v>86479.271999999997</v>
      </c>
      <c r="M171" s="66">
        <v>82636.047999999995</v>
      </c>
      <c r="N171" s="67">
        <f t="shared" ref="N171:N180" si="491">SUM(B171:G171)+SUM(H172:M172)</f>
        <v>1151334.4440000001</v>
      </c>
      <c r="O171" s="115">
        <f t="shared" si="490"/>
        <v>1124090.2860000001</v>
      </c>
      <c r="P171" s="136">
        <f t="shared" si="448"/>
        <v>5918593.47212</v>
      </c>
      <c r="Q171" s="138">
        <f t="shared" ref="Q171:Q175" si="492">P171/5</f>
        <v>1183718.6944240001</v>
      </c>
      <c r="R171" s="151"/>
      <c r="S171" s="3">
        <v>2016</v>
      </c>
      <c r="T171" s="6">
        <v>20918</v>
      </c>
      <c r="U171" s="6">
        <v>21008</v>
      </c>
      <c r="V171" s="6">
        <v>21080</v>
      </c>
      <c r="W171" s="6">
        <v>21108</v>
      </c>
      <c r="X171" s="6">
        <v>21155</v>
      </c>
      <c r="Y171" s="6">
        <v>21203</v>
      </c>
      <c r="Z171" s="6">
        <v>21143</v>
      </c>
      <c r="AA171" s="6">
        <v>21130</v>
      </c>
      <c r="AB171" s="6">
        <v>21158</v>
      </c>
      <c r="AC171" s="6">
        <v>21191</v>
      </c>
      <c r="AD171" s="6">
        <v>21266</v>
      </c>
      <c r="AE171" s="6">
        <v>21287</v>
      </c>
      <c r="AF171" s="8">
        <f t="shared" ref="AF171:AF179" si="493">(SUM(T171:Y171)+SUM(Z172:AE172))/12</f>
        <v>20960</v>
      </c>
      <c r="AG171" s="6">
        <f t="shared" si="449"/>
        <v>21137.25</v>
      </c>
      <c r="AJ171" s="3">
        <v>2016</v>
      </c>
      <c r="AK171" s="9">
        <f t="shared" si="436"/>
        <v>4.0291446601013483</v>
      </c>
      <c r="AL171" s="9">
        <f t="shared" si="473"/>
        <v>3.4363208301599393</v>
      </c>
      <c r="AM171" s="9">
        <f t="shared" si="474"/>
        <v>3.4913822580645162</v>
      </c>
      <c r="AN171" s="9">
        <f t="shared" si="475"/>
        <v>3.9259368959636158</v>
      </c>
      <c r="AO171" s="9">
        <f t="shared" si="476"/>
        <v>3.8390733160009458</v>
      </c>
      <c r="AP171" s="9">
        <f t="shared" si="477"/>
        <v>4.7976705183228789</v>
      </c>
      <c r="AQ171" s="11">
        <f t="shared" si="484"/>
        <v>5.6962695927730218</v>
      </c>
      <c r="AR171" s="11">
        <f t="shared" si="485"/>
        <v>5.9606360624704218</v>
      </c>
      <c r="AS171" s="11">
        <f t="shared" si="486"/>
        <v>5.3521347953492766</v>
      </c>
      <c r="AT171" s="11">
        <f t="shared" si="487"/>
        <v>4.693999150582794</v>
      </c>
      <c r="AU171" s="11">
        <f t="shared" si="488"/>
        <v>4.0665509263613275</v>
      </c>
      <c r="AV171" s="11">
        <f t="shared" si="489"/>
        <v>3.8819959599755718</v>
      </c>
      <c r="AW171" s="90">
        <f t="shared" si="461"/>
        <v>0.14557457896269857</v>
      </c>
    </row>
    <row r="172" spans="1:49" x14ac:dyDescent="0.25">
      <c r="A172" s="3">
        <v>2015</v>
      </c>
      <c r="B172" s="66">
        <v>82777.432000000001</v>
      </c>
      <c r="C172" s="66">
        <v>72573.203999999998</v>
      </c>
      <c r="D172" s="66">
        <v>70056.932000000001</v>
      </c>
      <c r="E172" s="66">
        <v>82428.104000000007</v>
      </c>
      <c r="F172" s="66">
        <v>82029.316999999995</v>
      </c>
      <c r="G172" s="66">
        <v>87944.043999999994</v>
      </c>
      <c r="H172" s="66">
        <v>111825.25199999999</v>
      </c>
      <c r="I172" s="66">
        <v>130104.876</v>
      </c>
      <c r="J172" s="66">
        <v>132354.486</v>
      </c>
      <c r="K172" s="66">
        <v>109069</v>
      </c>
      <c r="L172" s="66">
        <v>91735.467999999993</v>
      </c>
      <c r="M172" s="66">
        <v>80365.868000000002</v>
      </c>
      <c r="N172" s="67">
        <f t="shared" si="491"/>
        <v>1133957.625</v>
      </c>
      <c r="O172" s="115">
        <f t="shared" si="490"/>
        <v>1133263.9830000002</v>
      </c>
      <c r="P172" s="136">
        <f t="shared" si="448"/>
        <v>6084320.1861200007</v>
      </c>
      <c r="Q172" s="138">
        <f t="shared" si="492"/>
        <v>1216864.0372240001</v>
      </c>
      <c r="R172" s="151"/>
      <c r="S172" s="3">
        <v>2015</v>
      </c>
      <c r="T172" s="6">
        <v>20611</v>
      </c>
      <c r="U172" s="6">
        <v>20646</v>
      </c>
      <c r="V172" s="6">
        <v>20749</v>
      </c>
      <c r="W172" s="6">
        <v>20764</v>
      </c>
      <c r="X172" s="6">
        <v>20746</v>
      </c>
      <c r="Y172" s="6">
        <v>20779</v>
      </c>
      <c r="Z172" s="6">
        <v>20782</v>
      </c>
      <c r="AA172" s="6">
        <v>20781</v>
      </c>
      <c r="AB172" s="6">
        <v>20859</v>
      </c>
      <c r="AC172" s="6">
        <v>20839</v>
      </c>
      <c r="AD172" s="6">
        <v>20893</v>
      </c>
      <c r="AE172" s="6">
        <v>20894</v>
      </c>
      <c r="AF172" s="8">
        <f t="shared" si="493"/>
        <v>20669.833333333332</v>
      </c>
      <c r="AG172" s="6">
        <f t="shared" si="449"/>
        <v>20778.583333333332</v>
      </c>
      <c r="AJ172" s="3">
        <v>2015</v>
      </c>
      <c r="AK172" s="9">
        <f t="shared" si="436"/>
        <v>4.0161773810101407</v>
      </c>
      <c r="AL172" s="9">
        <f t="shared" si="473"/>
        <v>3.5151217669282184</v>
      </c>
      <c r="AM172" s="9">
        <f t="shared" si="474"/>
        <v>3.3764004048387872</v>
      </c>
      <c r="AN172" s="9">
        <f t="shared" si="475"/>
        <v>3.969760354459642</v>
      </c>
      <c r="AO172" s="9">
        <f t="shared" si="476"/>
        <v>3.953982309842861</v>
      </c>
      <c r="AP172" s="9">
        <f t="shared" si="477"/>
        <v>4.2323520862409163</v>
      </c>
      <c r="AQ172" s="11">
        <f t="shared" si="484"/>
        <v>5.3808705610624576</v>
      </c>
      <c r="AR172" s="11">
        <f t="shared" si="485"/>
        <v>6.2607610798325393</v>
      </c>
      <c r="AS172" s="11">
        <f t="shared" si="486"/>
        <v>6.3451980440097806</v>
      </c>
      <c r="AT172" s="11">
        <f t="shared" si="487"/>
        <v>5.2338883823599982</v>
      </c>
      <c r="AU172" s="11">
        <f t="shared" si="488"/>
        <v>4.3907274206672087</v>
      </c>
      <c r="AV172" s="11">
        <f t="shared" si="489"/>
        <v>3.8463610605915575</v>
      </c>
      <c r="AW172" s="90">
        <f t="shared" si="461"/>
        <v>0.14927200780792363</v>
      </c>
    </row>
    <row r="173" spans="1:49" x14ac:dyDescent="0.25">
      <c r="A173" s="3">
        <v>2014</v>
      </c>
      <c r="B173" s="66">
        <v>92150.607999999993</v>
      </c>
      <c r="C173" s="66">
        <v>85653.732000000004</v>
      </c>
      <c r="D173" s="66">
        <v>82879.148000000001</v>
      </c>
      <c r="E173" s="66">
        <v>80704.987999999998</v>
      </c>
      <c r="F173" s="66">
        <v>89991.652000000002</v>
      </c>
      <c r="G173" s="66">
        <v>100557.82799999999</v>
      </c>
      <c r="H173" s="66">
        <v>129368.844</v>
      </c>
      <c r="I173" s="66">
        <v>133954.83199999999</v>
      </c>
      <c r="J173" s="66">
        <v>129156.412</v>
      </c>
      <c r="K173" s="66">
        <v>103822.39999999999</v>
      </c>
      <c r="L173" s="66">
        <v>75987.076000000001</v>
      </c>
      <c r="M173" s="66">
        <v>83859.028000000006</v>
      </c>
      <c r="N173" s="67">
        <f t="shared" si="491"/>
        <v>1196422.26</v>
      </c>
      <c r="O173" s="115">
        <f t="shared" si="490"/>
        <v>1188086.548</v>
      </c>
      <c r="P173" s="136">
        <f t="shared" si="448"/>
        <v>6248997.2031199997</v>
      </c>
      <c r="Q173" s="138">
        <f t="shared" si="492"/>
        <v>1249799.440624</v>
      </c>
      <c r="R173" s="151"/>
      <c r="S173" s="3">
        <v>2014</v>
      </c>
      <c r="T173" s="6">
        <v>20485</v>
      </c>
      <c r="U173" s="6">
        <v>20502</v>
      </c>
      <c r="V173" s="6">
        <v>20438</v>
      </c>
      <c r="W173" s="6">
        <v>20376</v>
      </c>
      <c r="X173" s="6">
        <v>20458</v>
      </c>
      <c r="Y173" s="6">
        <v>20535</v>
      </c>
      <c r="Z173" s="6">
        <v>20587</v>
      </c>
      <c r="AA173" s="6">
        <v>20631</v>
      </c>
      <c r="AB173" s="6">
        <v>20647</v>
      </c>
      <c r="AC173" s="6">
        <v>20657</v>
      </c>
      <c r="AD173" s="6">
        <v>20613</v>
      </c>
      <c r="AE173" s="6">
        <v>20608</v>
      </c>
      <c r="AF173" s="8">
        <f t="shared" si="493"/>
        <v>20497.333333333332</v>
      </c>
      <c r="AG173" s="6">
        <f t="shared" si="449"/>
        <v>20544.75</v>
      </c>
      <c r="AJ173" s="3">
        <v>2014</v>
      </c>
      <c r="AK173" s="9">
        <f t="shared" si="436"/>
        <v>4.4984431535269707</v>
      </c>
      <c r="AL173" s="9">
        <f t="shared" si="473"/>
        <v>4.1778232367573898</v>
      </c>
      <c r="AM173" s="9">
        <f t="shared" si="474"/>
        <v>4.0551496232508075</v>
      </c>
      <c r="AN173" s="9">
        <f t="shared" si="475"/>
        <v>3.9607866117000392</v>
      </c>
      <c r="AO173" s="9">
        <f t="shared" si="476"/>
        <v>4.3988489588425068</v>
      </c>
      <c r="AP173" s="9">
        <f t="shared" si="477"/>
        <v>4.8968993425858285</v>
      </c>
      <c r="AQ173" s="11">
        <f t="shared" si="484"/>
        <v>6.2840066061106521</v>
      </c>
      <c r="AR173" s="11">
        <f t="shared" si="485"/>
        <v>6.4928908923464688</v>
      </c>
      <c r="AS173" s="11">
        <f t="shared" si="486"/>
        <v>6.2554565796483752</v>
      </c>
      <c r="AT173" s="11">
        <f t="shared" si="487"/>
        <v>5.0260153942973327</v>
      </c>
      <c r="AU173" s="11">
        <f t="shared" si="488"/>
        <v>3.6863666618153594</v>
      </c>
      <c r="AV173" s="11">
        <f t="shared" si="489"/>
        <v>4.0692463121118019</v>
      </c>
      <c r="AW173" s="90">
        <f t="shared" si="461"/>
        <v>0.15825306878300763</v>
      </c>
    </row>
    <row r="174" spans="1:49" x14ac:dyDescent="0.25">
      <c r="A174" s="3">
        <v>2013</v>
      </c>
      <c r="B174" s="66">
        <v>90872</v>
      </c>
      <c r="C174" s="66">
        <v>73871</v>
      </c>
      <c r="D174" s="66">
        <v>70427</v>
      </c>
      <c r="E174" s="66">
        <v>79323</v>
      </c>
      <c r="F174" s="66">
        <v>86142.107120000001</v>
      </c>
      <c r="G174" s="66">
        <v>97055.244000000006</v>
      </c>
      <c r="H174" s="66">
        <v>141573.212</v>
      </c>
      <c r="I174" s="66">
        <v>126973</v>
      </c>
      <c r="J174" s="66">
        <v>126251.928</v>
      </c>
      <c r="K174" s="66">
        <v>112368.3</v>
      </c>
      <c r="L174" s="66">
        <v>79003.759999999995</v>
      </c>
      <c r="M174" s="66">
        <v>78314.104000000007</v>
      </c>
      <c r="N174" s="67">
        <f t="shared" si="491"/>
        <v>1265156.35112</v>
      </c>
      <c r="O174" s="115">
        <f t="shared" si="490"/>
        <v>1162174.65512</v>
      </c>
      <c r="P174" s="136">
        <f t="shared" si="448"/>
        <v>6319297.6551200002</v>
      </c>
      <c r="Q174" s="138">
        <f t="shared" si="492"/>
        <v>1263859.5310240001</v>
      </c>
      <c r="R174" s="151"/>
      <c r="S174" s="3">
        <v>2013</v>
      </c>
      <c r="T174" s="6">
        <v>20056</v>
      </c>
      <c r="U174" s="6">
        <v>20117</v>
      </c>
      <c r="V174" s="6">
        <v>20171</v>
      </c>
      <c r="W174" s="6">
        <v>20208</v>
      </c>
      <c r="X174" s="6">
        <v>20218</v>
      </c>
      <c r="Y174" s="6">
        <v>20379</v>
      </c>
      <c r="Z174" s="6">
        <v>20968</v>
      </c>
      <c r="AA174" s="6">
        <v>20388</v>
      </c>
      <c r="AB174" s="6">
        <v>20455</v>
      </c>
      <c r="AC174" s="6">
        <v>20469</v>
      </c>
      <c r="AD174" s="6">
        <v>20458</v>
      </c>
      <c r="AE174" s="6">
        <v>20436</v>
      </c>
      <c r="AF174" s="8">
        <f t="shared" si="493"/>
        <v>20047</v>
      </c>
      <c r="AG174" s="6">
        <f t="shared" si="449"/>
        <v>20360.25</v>
      </c>
      <c r="AJ174" s="3">
        <v>2013</v>
      </c>
      <c r="AK174" s="9">
        <f t="shared" si="436"/>
        <v>4.5309134423613884</v>
      </c>
      <c r="AL174" s="9">
        <f t="shared" si="473"/>
        <v>3.6720683998608141</v>
      </c>
      <c r="AM174" s="9">
        <f t="shared" si="474"/>
        <v>3.4914976947102274</v>
      </c>
      <c r="AN174" s="9">
        <f t="shared" si="475"/>
        <v>3.9253266033254155</v>
      </c>
      <c r="AO174" s="9">
        <f t="shared" si="476"/>
        <v>4.2606641171233557</v>
      </c>
      <c r="AP174" s="9">
        <f t="shared" si="477"/>
        <v>4.7625125864860891</v>
      </c>
      <c r="AQ174" s="11">
        <f t="shared" si="484"/>
        <v>6.7518700877527662</v>
      </c>
      <c r="AR174" s="11">
        <f t="shared" si="485"/>
        <v>6.2278300961349817</v>
      </c>
      <c r="AS174" s="11">
        <f t="shared" si="486"/>
        <v>6.172179320459545</v>
      </c>
      <c r="AT174" s="11">
        <f t="shared" si="487"/>
        <v>5.4896819580829552</v>
      </c>
      <c r="AU174" s="11">
        <f t="shared" si="488"/>
        <v>3.8617538371297289</v>
      </c>
      <c r="AV174" s="11">
        <f t="shared" si="489"/>
        <v>3.8321640242708948</v>
      </c>
      <c r="AW174" s="90">
        <f t="shared" si="461"/>
        <v>0.15599852749540905</v>
      </c>
    </row>
    <row r="175" spans="1:49" x14ac:dyDescent="0.25">
      <c r="A175" s="3">
        <v>2012</v>
      </c>
      <c r="B175" s="66">
        <v>84686</v>
      </c>
      <c r="C175" s="66">
        <v>70486</v>
      </c>
      <c r="D175" s="66">
        <v>74929</v>
      </c>
      <c r="E175" s="66">
        <v>81055</v>
      </c>
      <c r="F175" s="66">
        <v>93047</v>
      </c>
      <c r="G175" s="66">
        <v>139309</v>
      </c>
      <c r="H175" s="66">
        <v>174870</v>
      </c>
      <c r="I175" s="66">
        <v>194182</v>
      </c>
      <c r="J175" s="66">
        <v>131128</v>
      </c>
      <c r="K175" s="66">
        <v>94336</v>
      </c>
      <c r="L175" s="66">
        <v>92367</v>
      </c>
      <c r="M175" s="66">
        <v>80583</v>
      </c>
      <c r="N175" s="67">
        <f t="shared" si="491"/>
        <v>1274657</v>
      </c>
      <c r="O175" s="115">
        <f t="shared" si="490"/>
        <v>1310978</v>
      </c>
      <c r="P175" s="136">
        <f t="shared" si="448"/>
        <v>6399054</v>
      </c>
      <c r="Q175" s="138">
        <f t="shared" si="492"/>
        <v>1279810.8</v>
      </c>
      <c r="R175" s="151"/>
      <c r="S175" s="3">
        <v>2012</v>
      </c>
      <c r="T175" s="6">
        <v>18955</v>
      </c>
      <c r="U175" s="6">
        <v>19069</v>
      </c>
      <c r="V175" s="6">
        <v>19179</v>
      </c>
      <c r="W175" s="6">
        <v>19314</v>
      </c>
      <c r="X175" s="6">
        <v>19418</v>
      </c>
      <c r="Y175" s="6">
        <v>19594</v>
      </c>
      <c r="Z175" s="6">
        <v>19729</v>
      </c>
      <c r="AA175" s="6">
        <v>19862</v>
      </c>
      <c r="AB175" s="6">
        <v>19874</v>
      </c>
      <c r="AC175" s="6">
        <v>19935</v>
      </c>
      <c r="AD175" s="6">
        <v>20001</v>
      </c>
      <c r="AE175" s="6">
        <v>20014</v>
      </c>
      <c r="AF175" s="8">
        <f t="shared" si="493"/>
        <v>18932.75</v>
      </c>
      <c r="AG175" s="6">
        <f t="shared" si="449"/>
        <v>19578.666666666668</v>
      </c>
      <c r="AJ175" s="3">
        <v>2012</v>
      </c>
      <c r="AK175" s="9">
        <f t="shared" si="436"/>
        <v>4.4677393827486149</v>
      </c>
      <c r="AL175" s="9">
        <f t="shared" si="473"/>
        <v>3.6963658293565471</v>
      </c>
      <c r="AM175" s="9">
        <f t="shared" si="474"/>
        <v>3.9068251733667032</v>
      </c>
      <c r="AN175" s="9">
        <f t="shared" si="475"/>
        <v>4.196696696696697</v>
      </c>
      <c r="AO175" s="9">
        <f t="shared" si="476"/>
        <v>4.791791121639716</v>
      </c>
      <c r="AP175" s="9">
        <f t="shared" si="477"/>
        <v>7.1097785036235583</v>
      </c>
      <c r="AQ175" s="11">
        <f t="shared" si="484"/>
        <v>8.8636018044503011</v>
      </c>
      <c r="AR175" s="11">
        <f t="shared" si="485"/>
        <v>9.7765582519383756</v>
      </c>
      <c r="AS175" s="11">
        <f t="shared" si="486"/>
        <v>6.5979671933179027</v>
      </c>
      <c r="AT175" s="11">
        <f t="shared" si="487"/>
        <v>4.7321795836468521</v>
      </c>
      <c r="AU175" s="11">
        <f t="shared" si="488"/>
        <v>4.6181190940452979</v>
      </c>
      <c r="AV175" s="11">
        <f t="shared" si="489"/>
        <v>4.026331567902468</v>
      </c>
      <c r="AW175" s="90">
        <f t="shared" si="461"/>
        <v>0.18284450158174687</v>
      </c>
    </row>
    <row r="176" spans="1:49" x14ac:dyDescent="0.25">
      <c r="A176" s="3">
        <v>2011</v>
      </c>
      <c r="B176" s="66">
        <v>98222</v>
      </c>
      <c r="C176" s="66">
        <v>92264</v>
      </c>
      <c r="D176" s="66">
        <v>85230</v>
      </c>
      <c r="E176" s="66">
        <v>84432</v>
      </c>
      <c r="F176" s="66">
        <v>91725</v>
      </c>
      <c r="G176" s="66">
        <v>106799</v>
      </c>
      <c r="H176" s="66">
        <v>155928</v>
      </c>
      <c r="I176" s="66">
        <v>164991</v>
      </c>
      <c r="J176" s="66">
        <v>139933</v>
      </c>
      <c r="K176" s="66">
        <v>104810</v>
      </c>
      <c r="L176" s="66">
        <v>88088</v>
      </c>
      <c r="M176" s="66">
        <v>77395</v>
      </c>
      <c r="N176" s="67">
        <f t="shared" si="491"/>
        <v>1277281</v>
      </c>
      <c r="O176" s="115">
        <f t="shared" si="490"/>
        <v>1289817</v>
      </c>
      <c r="P176" s="47"/>
      <c r="Q176" s="117"/>
      <c r="R176" s="151"/>
      <c r="S176" s="3">
        <v>2011</v>
      </c>
      <c r="T176" s="6">
        <v>21297</v>
      </c>
      <c r="U176" s="6">
        <v>21337</v>
      </c>
      <c r="V176" s="6">
        <v>21307</v>
      </c>
      <c r="W176" s="6">
        <v>21302</v>
      </c>
      <c r="X176" s="6">
        <v>21309</v>
      </c>
      <c r="Y176" s="6">
        <v>18243</v>
      </c>
      <c r="Z176" s="6">
        <v>18336</v>
      </c>
      <c r="AA176" s="6">
        <v>18458</v>
      </c>
      <c r="AB176" s="6">
        <v>18572</v>
      </c>
      <c r="AC176" s="6">
        <v>18685</v>
      </c>
      <c r="AD176" s="6">
        <v>18756</v>
      </c>
      <c r="AE176" s="6">
        <v>18857</v>
      </c>
      <c r="AF176" s="8">
        <f t="shared" si="493"/>
        <v>20876.583333333332</v>
      </c>
      <c r="AG176" s="6">
        <f t="shared" si="449"/>
        <v>19704.916666666668</v>
      </c>
      <c r="AJ176" s="3">
        <v>2011</v>
      </c>
      <c r="AK176" s="9">
        <f t="shared" si="436"/>
        <v>4.6120110813729633</v>
      </c>
      <c r="AL176" s="9">
        <f t="shared" si="473"/>
        <v>4.3241317898486198</v>
      </c>
      <c r="AM176" s="9">
        <f t="shared" si="474"/>
        <v>4.0000938658656784</v>
      </c>
      <c r="AN176" s="9">
        <f t="shared" si="475"/>
        <v>3.9635714956342127</v>
      </c>
      <c r="AO176" s="9">
        <f t="shared" si="476"/>
        <v>4.3045192172321558</v>
      </c>
      <c r="AP176" s="9">
        <f t="shared" si="477"/>
        <v>5.8542454640135944</v>
      </c>
      <c r="AQ176" s="11">
        <f t="shared" si="484"/>
        <v>8.5039267015706805</v>
      </c>
      <c r="AR176" s="11">
        <f t="shared" si="485"/>
        <v>8.9387257557698554</v>
      </c>
      <c r="AS176" s="11">
        <f t="shared" si="486"/>
        <v>7.534622011630411</v>
      </c>
      <c r="AT176" s="11">
        <f t="shared" si="487"/>
        <v>5.6093122825796096</v>
      </c>
      <c r="AU176" s="11">
        <f t="shared" si="488"/>
        <v>4.696523779057368</v>
      </c>
      <c r="AV176" s="11">
        <f t="shared" si="489"/>
        <v>4.1043113962984572</v>
      </c>
      <c r="AW176" s="90">
        <f t="shared" si="461"/>
        <v>0.1819192192768613</v>
      </c>
    </row>
    <row r="177" spans="1:49" x14ac:dyDescent="0.25">
      <c r="A177" s="3">
        <v>2010</v>
      </c>
      <c r="B177" s="66">
        <v>103104</v>
      </c>
      <c r="C177" s="66">
        <v>84417</v>
      </c>
      <c r="D177" s="66">
        <v>85930</v>
      </c>
      <c r="E177" s="66">
        <v>95444</v>
      </c>
      <c r="F177" s="66">
        <v>89499</v>
      </c>
      <c r="G177" s="66">
        <v>120938</v>
      </c>
      <c r="H177" s="66">
        <v>140126</v>
      </c>
      <c r="I177" s="66">
        <v>144432</v>
      </c>
      <c r="J177" s="66">
        <v>145246</v>
      </c>
      <c r="K177" s="66">
        <v>105600</v>
      </c>
      <c r="L177" s="66">
        <v>95418</v>
      </c>
      <c r="M177" s="66">
        <v>87787</v>
      </c>
      <c r="N177" s="67">
        <f t="shared" si="491"/>
        <v>1271613</v>
      </c>
      <c r="O177" s="115">
        <f t="shared" si="490"/>
        <v>1297941</v>
      </c>
      <c r="P177" s="47"/>
      <c r="Q177" s="117"/>
      <c r="R177" s="151"/>
      <c r="S177" s="3">
        <v>2010</v>
      </c>
      <c r="T177" s="6">
        <v>20806</v>
      </c>
      <c r="U177" s="6">
        <v>20873</v>
      </c>
      <c r="V177" s="6">
        <v>20933</v>
      </c>
      <c r="W177" s="6">
        <v>20949</v>
      </c>
      <c r="X177" s="6">
        <v>20965</v>
      </c>
      <c r="Y177" s="6">
        <v>20965</v>
      </c>
      <c r="Z177" s="6">
        <v>20984</v>
      </c>
      <c r="AA177" s="6">
        <v>20999</v>
      </c>
      <c r="AB177" s="6">
        <v>20940</v>
      </c>
      <c r="AC177" s="6">
        <v>20923</v>
      </c>
      <c r="AD177" s="6">
        <v>20939</v>
      </c>
      <c r="AE177" s="6">
        <v>20939</v>
      </c>
      <c r="AF177" s="8">
        <f t="shared" si="493"/>
        <v>20899</v>
      </c>
      <c r="AG177" s="6">
        <f t="shared" si="449"/>
        <v>20934.583333333332</v>
      </c>
      <c r="AJ177" s="3">
        <v>2010</v>
      </c>
      <c r="AK177" s="9">
        <f t="shared" si="436"/>
        <v>4.9554936076131888</v>
      </c>
      <c r="AL177" s="9">
        <f t="shared" si="473"/>
        <v>4.0443156230537056</v>
      </c>
      <c r="AM177" s="9">
        <f t="shared" si="474"/>
        <v>4.1050016720011469</v>
      </c>
      <c r="AN177" s="9">
        <f t="shared" si="475"/>
        <v>4.556016993651248</v>
      </c>
      <c r="AO177" s="9">
        <f t="shared" si="476"/>
        <v>4.2689720963510611</v>
      </c>
      <c r="AP177" s="9">
        <f t="shared" si="477"/>
        <v>5.7685666587169093</v>
      </c>
      <c r="AQ177" s="11">
        <f t="shared" si="484"/>
        <v>6.6777544796035073</v>
      </c>
      <c r="AR177" s="11">
        <f t="shared" si="485"/>
        <v>6.8780418115148336</v>
      </c>
      <c r="AS177" s="11">
        <f t="shared" si="486"/>
        <v>6.9362941738299906</v>
      </c>
      <c r="AT177" s="11">
        <f t="shared" si="487"/>
        <v>5.0470773789609522</v>
      </c>
      <c r="AU177" s="11">
        <f t="shared" si="488"/>
        <v>4.5569511437986536</v>
      </c>
      <c r="AV177" s="11">
        <f t="shared" si="489"/>
        <v>4.1925115812598497</v>
      </c>
      <c r="AW177" s="90">
        <f t="shared" si="461"/>
        <v>0.16971114913170446</v>
      </c>
    </row>
    <row r="178" spans="1:49" x14ac:dyDescent="0.25">
      <c r="A178" s="3">
        <v>2009</v>
      </c>
      <c r="B178" s="66">
        <v>103915</v>
      </c>
      <c r="C178" s="66">
        <v>85460</v>
      </c>
      <c r="D178" s="66">
        <v>82445</v>
      </c>
      <c r="E178" s="66">
        <v>79294</v>
      </c>
      <c r="F178" s="66">
        <v>97659</v>
      </c>
      <c r="G178" s="66">
        <v>117333</v>
      </c>
      <c r="H178" s="66">
        <v>154457</v>
      </c>
      <c r="I178" s="66">
        <v>140537</v>
      </c>
      <c r="J178" s="66">
        <v>120495</v>
      </c>
      <c r="K178" s="66">
        <v>96798</v>
      </c>
      <c r="L178" s="66">
        <v>86707</v>
      </c>
      <c r="M178" s="66">
        <v>93287</v>
      </c>
      <c r="N178" s="67">
        <f t="shared" si="491"/>
        <v>1245638</v>
      </c>
      <c r="O178" s="115">
        <f t="shared" si="490"/>
        <v>1258387</v>
      </c>
      <c r="P178" s="47"/>
      <c r="Q178" s="117"/>
      <c r="R178" s="151"/>
      <c r="S178" s="3">
        <v>2009</v>
      </c>
      <c r="T178" s="6">
        <v>20800</v>
      </c>
      <c r="U178" s="6">
        <v>20866</v>
      </c>
      <c r="V178" s="6">
        <v>20890</v>
      </c>
      <c r="W178" s="6">
        <v>20882</v>
      </c>
      <c r="X178" s="6">
        <v>20844</v>
      </c>
      <c r="Y178" s="6">
        <v>20860</v>
      </c>
      <c r="Z178" s="6">
        <v>20856</v>
      </c>
      <c r="AA178" s="6">
        <v>20922</v>
      </c>
      <c r="AB178" s="6">
        <v>20893</v>
      </c>
      <c r="AC178" s="6">
        <v>20887</v>
      </c>
      <c r="AD178" s="6">
        <v>20886</v>
      </c>
      <c r="AE178" s="6">
        <v>20853</v>
      </c>
      <c r="AF178" s="8">
        <f t="shared" si="493"/>
        <v>20802.583333333332</v>
      </c>
      <c r="AG178" s="6">
        <f t="shared" si="449"/>
        <v>20869.916666666668</v>
      </c>
      <c r="AJ178" s="3">
        <v>2009</v>
      </c>
      <c r="AK178" s="9">
        <f t="shared" si="436"/>
        <v>4.9959134615384615</v>
      </c>
      <c r="AL178" s="9">
        <f t="shared" si="473"/>
        <v>4.0956580082430749</v>
      </c>
      <c r="AM178" s="9">
        <f t="shared" si="474"/>
        <v>3.9466251795117282</v>
      </c>
      <c r="AN178" s="9">
        <f t="shared" si="475"/>
        <v>3.7972416435207355</v>
      </c>
      <c r="AO178" s="9">
        <f t="shared" si="476"/>
        <v>4.6852331606217614</v>
      </c>
      <c r="AP178" s="9">
        <f t="shared" si="477"/>
        <v>5.6247842761265581</v>
      </c>
      <c r="AQ178" s="11">
        <f t="shared" si="484"/>
        <v>7.4058784042961259</v>
      </c>
      <c r="AR178" s="11">
        <f t="shared" si="485"/>
        <v>6.7171876493643055</v>
      </c>
      <c r="AS178" s="11">
        <f t="shared" si="486"/>
        <v>5.7672426171444986</v>
      </c>
      <c r="AT178" s="11">
        <f t="shared" si="487"/>
        <v>4.6343658735098385</v>
      </c>
      <c r="AU178" s="11">
        <f t="shared" si="488"/>
        <v>4.1514411567557215</v>
      </c>
      <c r="AV178" s="11">
        <f t="shared" si="489"/>
        <v>4.4735529660000957</v>
      </c>
      <c r="AW178" s="90">
        <f t="shared" si="461"/>
        <v>0.16507905378954935</v>
      </c>
    </row>
    <row r="179" spans="1:49" x14ac:dyDescent="0.25">
      <c r="A179" s="3">
        <v>2008</v>
      </c>
      <c r="B179" s="66">
        <v>101469</v>
      </c>
      <c r="C179" s="66">
        <v>101840</v>
      </c>
      <c r="D179" s="66">
        <v>74935</v>
      </c>
      <c r="E179" s="66">
        <v>89879</v>
      </c>
      <c r="F179" s="66">
        <v>86073</v>
      </c>
      <c r="G179" s="66">
        <v>108203</v>
      </c>
      <c r="H179" s="66">
        <v>120694</v>
      </c>
      <c r="I179" s="66">
        <v>146930</v>
      </c>
      <c r="J179" s="66">
        <v>117065</v>
      </c>
      <c r="K179" s="66">
        <v>111928</v>
      </c>
      <c r="L179" s="66">
        <v>81176</v>
      </c>
      <c r="M179" s="66">
        <v>101739</v>
      </c>
      <c r="N179" s="67">
        <f t="shared" si="491"/>
        <v>1349828.1700000002</v>
      </c>
      <c r="O179" s="115">
        <f t="shared" si="490"/>
        <v>1241931</v>
      </c>
      <c r="P179" s="47"/>
      <c r="Q179" s="117"/>
      <c r="R179" s="151"/>
      <c r="S179" s="3">
        <v>2008</v>
      </c>
      <c r="T179" s="6">
        <v>20542</v>
      </c>
      <c r="U179" s="6">
        <v>20559</v>
      </c>
      <c r="V179" s="6">
        <v>20561</v>
      </c>
      <c r="W179" s="6">
        <v>20581</v>
      </c>
      <c r="X179" s="6">
        <v>20604</v>
      </c>
      <c r="Y179" s="6">
        <v>20656</v>
      </c>
      <c r="Z179" s="6">
        <v>20662</v>
      </c>
      <c r="AA179" s="6">
        <v>20737</v>
      </c>
      <c r="AB179" s="6">
        <v>20719</v>
      </c>
      <c r="AC179" s="6">
        <v>20792</v>
      </c>
      <c r="AD179" s="6">
        <v>20784</v>
      </c>
      <c r="AE179" s="6">
        <v>20795</v>
      </c>
      <c r="AF179" s="8">
        <f t="shared" si="493"/>
        <v>20524.083333333332</v>
      </c>
      <c r="AG179" s="6">
        <f t="shared" si="449"/>
        <v>20666</v>
      </c>
      <c r="AJ179" s="3">
        <v>2008</v>
      </c>
      <c r="AK179" s="9">
        <f t="shared" si="436"/>
        <v>4.939587187226171</v>
      </c>
      <c r="AL179" s="9">
        <f t="shared" si="473"/>
        <v>4.9535483243348413</v>
      </c>
      <c r="AM179" s="9">
        <f t="shared" si="474"/>
        <v>3.6445211808764166</v>
      </c>
      <c r="AN179" s="9">
        <f t="shared" si="475"/>
        <v>4.3670861474175213</v>
      </c>
      <c r="AO179" s="9">
        <f t="shared" si="476"/>
        <v>4.1774898078043101</v>
      </c>
      <c r="AP179" s="9">
        <f t="shared" si="477"/>
        <v>5.2383326878388843</v>
      </c>
      <c r="AQ179" s="11">
        <f t="shared" si="484"/>
        <v>5.8413512728680672</v>
      </c>
      <c r="AR179" s="11">
        <f t="shared" si="485"/>
        <v>7.0854029030235814</v>
      </c>
      <c r="AS179" s="11">
        <f t="shared" si="486"/>
        <v>5.6501279019257682</v>
      </c>
      <c r="AT179" s="11">
        <f t="shared" si="487"/>
        <v>5.3832243170450171</v>
      </c>
      <c r="AU179" s="11">
        <f t="shared" si="488"/>
        <v>3.905696689761355</v>
      </c>
      <c r="AV179" s="11">
        <f t="shared" si="489"/>
        <v>4.8924741524404904</v>
      </c>
      <c r="AW179" s="90">
        <f t="shared" si="461"/>
        <v>0.16448690642727562</v>
      </c>
    </row>
    <row r="180" spans="1:49" x14ac:dyDescent="0.25">
      <c r="A180" s="3">
        <v>2007</v>
      </c>
      <c r="B180" s="66"/>
      <c r="C180" s="66"/>
      <c r="D180" s="66"/>
      <c r="E180" s="66"/>
      <c r="F180" s="66"/>
      <c r="G180" s="66"/>
      <c r="H180" s="66">
        <v>134767.14000000001</v>
      </c>
      <c r="I180" s="66">
        <v>171227.92</v>
      </c>
      <c r="J180" s="66">
        <v>159273.93000000002</v>
      </c>
      <c r="K180" s="66">
        <v>121366.29</v>
      </c>
      <c r="L180" s="66">
        <v>100454.67</v>
      </c>
      <c r="M180" s="66">
        <v>100339.22</v>
      </c>
      <c r="N180" s="67">
        <f t="shared" si="491"/>
        <v>0</v>
      </c>
      <c r="O180" s="115">
        <f t="shared" si="490"/>
        <v>787429.17000000016</v>
      </c>
      <c r="P180" s="47"/>
      <c r="Q180" s="117"/>
      <c r="R180" s="151"/>
      <c r="S180" s="3">
        <v>2007</v>
      </c>
      <c r="T180" s="6">
        <v>20388</v>
      </c>
      <c r="U180" s="6">
        <v>20387</v>
      </c>
      <c r="V180" s="6">
        <v>20427</v>
      </c>
      <c r="W180" s="6">
        <v>20426</v>
      </c>
      <c r="X180" s="6">
        <v>20450</v>
      </c>
      <c r="Y180" s="6">
        <v>20411</v>
      </c>
      <c r="Z180" s="6">
        <v>20423</v>
      </c>
      <c r="AA180" s="6">
        <v>20423</v>
      </c>
      <c r="AB180" s="6">
        <v>20467</v>
      </c>
      <c r="AC180" s="6">
        <v>20472</v>
      </c>
      <c r="AD180" s="6">
        <v>20508</v>
      </c>
      <c r="AE180" s="6">
        <v>20493</v>
      </c>
      <c r="AG180" s="6">
        <f t="shared" si="449"/>
        <v>20439.583333333332</v>
      </c>
      <c r="AJ180" s="3">
        <v>2007</v>
      </c>
      <c r="AK180" s="9">
        <f t="shared" si="436"/>
        <v>0</v>
      </c>
      <c r="AL180" s="9">
        <f t="shared" si="473"/>
        <v>0</v>
      </c>
      <c r="AM180" s="9">
        <f t="shared" si="474"/>
        <v>0</v>
      </c>
      <c r="AN180" s="9">
        <f t="shared" si="475"/>
        <v>0</v>
      </c>
      <c r="AO180" s="9">
        <f t="shared" si="476"/>
        <v>0</v>
      </c>
      <c r="AP180" s="9">
        <f t="shared" si="477"/>
        <v>0</v>
      </c>
      <c r="AQ180" s="11">
        <f t="shared" si="484"/>
        <v>6.5987925378250019</v>
      </c>
      <c r="AR180" s="11">
        <f t="shared" si="485"/>
        <v>8.3840728590314839</v>
      </c>
      <c r="AS180" s="11">
        <f t="shared" si="486"/>
        <v>7.7819871011872781</v>
      </c>
      <c r="AT180" s="11">
        <f t="shared" si="487"/>
        <v>5.9284041617819456</v>
      </c>
      <c r="AU180" s="11">
        <f t="shared" si="488"/>
        <v>4.8983162668227029</v>
      </c>
      <c r="AV180" s="11">
        <f t="shared" si="489"/>
        <v>4.8962679939491531</v>
      </c>
      <c r="AW180" s="90">
        <f t="shared" si="461"/>
        <v>0.10537396555947313</v>
      </c>
    </row>
    <row r="181" spans="1:49" ht="15.75" thickBot="1" x14ac:dyDescent="0.3">
      <c r="N181" s="118"/>
      <c r="O181" s="118"/>
      <c r="AW181" s="73"/>
    </row>
    <row r="182" spans="1:49" ht="15.75" thickTop="1" x14ac:dyDescent="0.25"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97">
        <f>SUM(N164:N168)/5</f>
        <v>1158603.9837999998</v>
      </c>
      <c r="O182" s="97">
        <f>SUM(O164:O168)/5</f>
        <v>1172341.047</v>
      </c>
      <c r="P182" s="50"/>
      <c r="Q182" s="120"/>
      <c r="R182" s="153"/>
      <c r="AV182" s="3" t="s">
        <v>47</v>
      </c>
      <c r="AW182" s="92">
        <f>SUM(AW164:AW168)/5</f>
        <v>0.14263919675890913</v>
      </c>
    </row>
    <row r="183" spans="1:49" x14ac:dyDescent="0.25">
      <c r="A183" s="64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97"/>
      <c r="O183" s="97"/>
      <c r="P183" s="50"/>
      <c r="Q183" s="120"/>
      <c r="R183" s="153"/>
      <c r="AV183" s="63" t="s">
        <v>89</v>
      </c>
      <c r="AW183" s="93">
        <f>SUM(AW165:AW169)/5</f>
        <v>0.14242028070187374</v>
      </c>
    </row>
    <row r="184" spans="1:49" x14ac:dyDescent="0.25"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97"/>
      <c r="O184" s="97"/>
      <c r="P184" s="50"/>
      <c r="Q184" s="120"/>
      <c r="R184" s="153"/>
      <c r="AV184" s="3" t="s">
        <v>48</v>
      </c>
      <c r="AW184" s="92">
        <f>SUM(AW164:AW173)/10</f>
        <v>0.1452921417282185</v>
      </c>
    </row>
    <row r="186" spans="1:49" ht="60" x14ac:dyDescent="0.25">
      <c r="A186" s="165" t="s">
        <v>24</v>
      </c>
      <c r="B186" s="111" t="s">
        <v>0</v>
      </c>
      <c r="C186" s="111" t="s">
        <v>1</v>
      </c>
      <c r="D186" s="111" t="s">
        <v>2</v>
      </c>
      <c r="E186" s="111" t="s">
        <v>3</v>
      </c>
      <c r="F186" s="111" t="s">
        <v>4</v>
      </c>
      <c r="G186" s="111" t="s">
        <v>5</v>
      </c>
      <c r="H186" s="111" t="s">
        <v>6</v>
      </c>
      <c r="I186" s="111" t="s">
        <v>7</v>
      </c>
      <c r="J186" s="111" t="s">
        <v>8</v>
      </c>
      <c r="K186" s="111" t="s">
        <v>9</v>
      </c>
      <c r="L186" s="111" t="s">
        <v>10</v>
      </c>
      <c r="M186" s="111" t="s">
        <v>11</v>
      </c>
      <c r="N186" s="112" t="s">
        <v>78</v>
      </c>
      <c r="O186" s="112" t="s">
        <v>77</v>
      </c>
      <c r="P186" s="139" t="s">
        <v>162</v>
      </c>
      <c r="Q186" s="140" t="s">
        <v>72</v>
      </c>
      <c r="R186" s="148"/>
      <c r="S186" s="165" t="s">
        <v>37</v>
      </c>
      <c r="T186" s="5" t="s">
        <v>0</v>
      </c>
      <c r="U186" s="5" t="s">
        <v>1</v>
      </c>
      <c r="V186" s="5" t="s">
        <v>2</v>
      </c>
      <c r="W186" s="5" t="s">
        <v>3</v>
      </c>
      <c r="X186" s="5" t="s">
        <v>4</v>
      </c>
      <c r="Y186" s="5" t="s">
        <v>5</v>
      </c>
      <c r="Z186" s="5" t="s">
        <v>6</v>
      </c>
      <c r="AA186" s="5" t="s">
        <v>7</v>
      </c>
      <c r="AB186" s="5" t="s">
        <v>8</v>
      </c>
      <c r="AC186" s="5" t="s">
        <v>9</v>
      </c>
      <c r="AD186" s="5" t="s">
        <v>10</v>
      </c>
      <c r="AE186" s="5" t="s">
        <v>11</v>
      </c>
      <c r="AF186" s="30" t="s">
        <v>164</v>
      </c>
      <c r="AG186" s="30" t="s">
        <v>167</v>
      </c>
      <c r="AJ186" s="165" t="s">
        <v>57</v>
      </c>
      <c r="AK186" s="5" t="s">
        <v>0</v>
      </c>
      <c r="AL186" s="5" t="s">
        <v>1</v>
      </c>
      <c r="AM186" s="5" t="s">
        <v>2</v>
      </c>
      <c r="AN186" s="5" t="s">
        <v>3</v>
      </c>
      <c r="AO186" s="5" t="s">
        <v>4</v>
      </c>
      <c r="AP186" s="5" t="s">
        <v>5</v>
      </c>
      <c r="AQ186" s="5" t="s">
        <v>6</v>
      </c>
      <c r="AR186" s="5" t="s">
        <v>7</v>
      </c>
      <c r="AS186" s="5" t="s">
        <v>8</v>
      </c>
      <c r="AT186" s="5" t="s">
        <v>9</v>
      </c>
      <c r="AU186" s="5" t="s">
        <v>10</v>
      </c>
      <c r="AV186" s="5" t="s">
        <v>11</v>
      </c>
      <c r="AW186" s="5" t="s">
        <v>49</v>
      </c>
    </row>
    <row r="187" spans="1:49" x14ac:dyDescent="0.25">
      <c r="A187" s="77">
        <v>2023</v>
      </c>
      <c r="B187" s="189">
        <v>33833.601999999999</v>
      </c>
      <c r="C187" s="189">
        <v>29302.944</v>
      </c>
      <c r="D187" s="189">
        <v>30786.371000000003</v>
      </c>
      <c r="E187" s="189">
        <v>30044.884000000002</v>
      </c>
      <c r="F187" s="189">
        <v>33241.629000000001</v>
      </c>
      <c r="G187" s="189">
        <v>48280.292000000001</v>
      </c>
      <c r="H187" s="189">
        <v>51228.627</v>
      </c>
      <c r="I187" s="189">
        <v>44009.205000000002</v>
      </c>
      <c r="J187" s="189">
        <v>44619.154999999999</v>
      </c>
      <c r="K187" s="189">
        <v>39408.834000000003</v>
      </c>
      <c r="L187" s="189">
        <v>32303.866999999998</v>
      </c>
      <c r="M187" s="189">
        <v>33791.156999999999</v>
      </c>
      <c r="N187" s="67">
        <f t="shared" ref="N187:N192" si="494">SUM(B187:G187)+SUM(H188:M188)</f>
        <v>442320.33199999999</v>
      </c>
      <c r="O187" s="115">
        <f t="shared" ref="O187:O190" si="495">SUM(B187:M187)</f>
        <v>450850.56700000004</v>
      </c>
      <c r="P187" s="136">
        <f>SUM(O187:O191)</f>
        <v>2142756.193</v>
      </c>
      <c r="Q187" s="138">
        <f t="shared" ref="Q187:Q192" si="496">P187/5</f>
        <v>428551.23859999998</v>
      </c>
      <c r="R187" s="148"/>
      <c r="S187" s="77">
        <v>2023</v>
      </c>
      <c r="T187" s="189">
        <v>9069</v>
      </c>
      <c r="U187" s="189">
        <v>9071</v>
      </c>
      <c r="V187" s="189">
        <v>9071</v>
      </c>
      <c r="W187" s="189">
        <v>9083</v>
      </c>
      <c r="X187" s="189">
        <v>9088</v>
      </c>
      <c r="Y187" s="189">
        <v>9079</v>
      </c>
      <c r="Z187" s="189">
        <v>9089</v>
      </c>
      <c r="AA187" s="189">
        <v>9101</v>
      </c>
      <c r="AB187" s="189">
        <v>9100</v>
      </c>
      <c r="AC187" s="189">
        <v>9106</v>
      </c>
      <c r="AD187" s="189">
        <v>9104</v>
      </c>
      <c r="AE187" s="189">
        <v>9113</v>
      </c>
      <c r="AF187" s="88">
        <f t="shared" ref="AF187:AF192" si="497">(SUM(T187:Y187)+SUM(Z188:AE188))/12</f>
        <v>9078.8333333333339</v>
      </c>
      <c r="AG187" s="6">
        <f>SUM(T187:AE187)/12</f>
        <v>9089.5</v>
      </c>
      <c r="AJ187" s="77">
        <v>2023</v>
      </c>
      <c r="AK187" s="9">
        <f t="shared" ref="AK187:AK203" si="498">B187/T187</f>
        <v>3.7306871760943872</v>
      </c>
      <c r="AL187" s="9">
        <f t="shared" ref="AL187" si="499">C187/U187</f>
        <v>3.2303984125234262</v>
      </c>
      <c r="AM187" s="9">
        <f t="shared" ref="AM187" si="500">D187/V187</f>
        <v>3.3939335244184767</v>
      </c>
      <c r="AN187" s="9">
        <f t="shared" ref="AN187" si="501">E187/W187</f>
        <v>3.3078150390840033</v>
      </c>
      <c r="AO187" s="9">
        <f t="shared" ref="AO187" si="502">F187/X187</f>
        <v>3.6577496698943661</v>
      </c>
      <c r="AP187" s="9">
        <f t="shared" ref="AP187" si="503">G187/Y187</f>
        <v>5.3177984359510964</v>
      </c>
      <c r="AQ187" s="9">
        <f t="shared" ref="AQ187" si="504">H187/Z187</f>
        <v>5.6363325998459679</v>
      </c>
      <c r="AR187" s="9">
        <f t="shared" ref="AR187" si="505">I187/AA187</f>
        <v>4.8356449840676854</v>
      </c>
      <c r="AS187" s="9">
        <f t="shared" ref="AS187" si="506">J187/AB187</f>
        <v>4.9032038461538461</v>
      </c>
      <c r="AT187" s="9">
        <f t="shared" ref="AT187" si="507">K187/AC187</f>
        <v>4.3277876125631458</v>
      </c>
      <c r="AU187" s="9">
        <f t="shared" ref="AU187" si="508">L187/AD187</f>
        <v>3.5483157952548328</v>
      </c>
      <c r="AV187" s="9">
        <f t="shared" ref="AV187" si="509">M187/AE187</f>
        <v>3.7080167892022384</v>
      </c>
      <c r="AW187" s="90">
        <f>(SUM(AK187:AP187)+SUM(AQ187:AV187))/365.25</f>
        <v>0.13579105786462278</v>
      </c>
    </row>
    <row r="188" spans="1:49" x14ac:dyDescent="0.25">
      <c r="A188" s="61">
        <v>2022</v>
      </c>
      <c r="B188" s="190">
        <v>29265.716000000004</v>
      </c>
      <c r="C188" s="190">
        <v>28610.457000000002</v>
      </c>
      <c r="D188" s="190">
        <v>27435.051999999996</v>
      </c>
      <c r="E188" s="190">
        <v>33961.552000000003</v>
      </c>
      <c r="F188" s="190">
        <v>28782.79</v>
      </c>
      <c r="G188" s="190">
        <v>38280.353999999999</v>
      </c>
      <c r="H188" s="190">
        <v>44367.591999999997</v>
      </c>
      <c r="I188" s="190">
        <v>44556.194000000003</v>
      </c>
      <c r="J188" s="190">
        <v>47230.658000000003</v>
      </c>
      <c r="K188" s="190">
        <v>38287.558000000005</v>
      </c>
      <c r="L188" s="190">
        <v>30420.639000000003</v>
      </c>
      <c r="M188" s="190">
        <v>31967.969000000001</v>
      </c>
      <c r="N188" s="67">
        <f t="shared" si="494"/>
        <v>422521.89800000004</v>
      </c>
      <c r="O188" s="115">
        <f t="shared" si="495"/>
        <v>423166.53100000002</v>
      </c>
      <c r="P188" s="136">
        <f t="shared" ref="P188:P198" si="510">SUM(O188:O192)</f>
        <v>2144319.3260000004</v>
      </c>
      <c r="Q188" s="138">
        <f t="shared" si="496"/>
        <v>428863.86520000006</v>
      </c>
      <c r="R188" s="148"/>
      <c r="S188" s="61">
        <v>2022</v>
      </c>
      <c r="T188" s="190">
        <v>9074</v>
      </c>
      <c r="U188" s="190">
        <v>9074</v>
      </c>
      <c r="V188" s="190">
        <v>9087</v>
      </c>
      <c r="W188" s="190">
        <v>9079</v>
      </c>
      <c r="X188" s="190">
        <v>9096</v>
      </c>
      <c r="Y188" s="190">
        <v>9094</v>
      </c>
      <c r="Z188" s="190">
        <v>9085</v>
      </c>
      <c r="AA188" s="190">
        <v>9094</v>
      </c>
      <c r="AB188" s="190">
        <v>9095</v>
      </c>
      <c r="AC188" s="190">
        <v>9086</v>
      </c>
      <c r="AD188" s="190">
        <v>9063</v>
      </c>
      <c r="AE188" s="190">
        <v>9062</v>
      </c>
      <c r="AF188" s="88">
        <f t="shared" si="497"/>
        <v>9084.9166666666661</v>
      </c>
      <c r="AG188" s="6">
        <f t="shared" ref="AG188:AG203" si="511">SUM(T188:AE188)/12</f>
        <v>9082.4166666666661</v>
      </c>
      <c r="AJ188" s="61">
        <v>2022</v>
      </c>
      <c r="AK188" s="9">
        <f t="shared" si="498"/>
        <v>3.2252276834912941</v>
      </c>
      <c r="AL188" s="9">
        <f t="shared" ref="AL188" si="512">C188/U188</f>
        <v>3.1530148776724709</v>
      </c>
      <c r="AM188" s="9">
        <f t="shared" ref="AM188" si="513">D188/V188</f>
        <v>3.019153956201166</v>
      </c>
      <c r="AN188" s="9">
        <f t="shared" ref="AN188" si="514">E188/W188</f>
        <v>3.7406709990087017</v>
      </c>
      <c r="AO188" s="9">
        <f t="shared" ref="AO188" si="515">F188/X188</f>
        <v>3.1643348724714162</v>
      </c>
      <c r="AP188" s="9">
        <f t="shared" ref="AP188" si="516">G188/Y188</f>
        <v>4.2094077413679347</v>
      </c>
      <c r="AQ188" s="9">
        <f t="shared" ref="AQ188" si="517">H188/Z188</f>
        <v>4.8836094661529987</v>
      </c>
      <c r="AR188" s="9">
        <f t="shared" ref="AR188" si="518">I188/AA188</f>
        <v>4.8995155047283925</v>
      </c>
      <c r="AS188" s="9">
        <f t="shared" ref="AS188" si="519">J188/AB188</f>
        <v>5.1930355140186917</v>
      </c>
      <c r="AT188" s="9">
        <f t="shared" ref="AT188" si="520">K188/AC188</f>
        <v>4.2139068897204499</v>
      </c>
      <c r="AU188" s="9">
        <f t="shared" ref="AU188" si="521">L188/AD188</f>
        <v>3.3565749751737837</v>
      </c>
      <c r="AV188" s="9">
        <f t="shared" ref="AV188" si="522">M188/AE188</f>
        <v>3.5276946590156699</v>
      </c>
      <c r="AW188" s="90">
        <f t="shared" ref="AW188:AW203" si="523">(SUM(AK188:AP188)+SUM(AQ188:AV188))/365.25</f>
        <v>0.12754591961402592</v>
      </c>
    </row>
    <row r="189" spans="1:49" x14ac:dyDescent="0.25">
      <c r="A189" s="61">
        <v>2021</v>
      </c>
      <c r="B189" s="190">
        <v>35836.813000000002</v>
      </c>
      <c r="C189" s="190">
        <v>29198.314000000002</v>
      </c>
      <c r="D189" s="190">
        <v>29759.097999999998</v>
      </c>
      <c r="E189" s="190">
        <v>35342.218999999997</v>
      </c>
      <c r="F189" s="190">
        <v>28904.014000000003</v>
      </c>
      <c r="G189" s="190">
        <v>32684.25</v>
      </c>
      <c r="H189" s="190">
        <v>46756.947999999997</v>
      </c>
      <c r="I189" s="190">
        <v>40190.214</v>
      </c>
      <c r="J189" s="190">
        <v>46635.482000000004</v>
      </c>
      <c r="K189" s="190">
        <v>38624.322999999997</v>
      </c>
      <c r="L189" s="190">
        <v>27181.491999999998</v>
      </c>
      <c r="M189" s="190">
        <v>36797.517999999996</v>
      </c>
      <c r="N189" s="67">
        <f t="shared" si="494"/>
        <v>421393.74700000003</v>
      </c>
      <c r="O189" s="115">
        <f t="shared" si="495"/>
        <v>427910.685</v>
      </c>
      <c r="P189" s="136">
        <f t="shared" si="510"/>
        <v>2154078.1529999999</v>
      </c>
      <c r="Q189" s="138">
        <f t="shared" si="496"/>
        <v>430815.63059999997</v>
      </c>
      <c r="R189" s="148"/>
      <c r="S189" s="61">
        <v>2021</v>
      </c>
      <c r="T189" s="190">
        <v>9063</v>
      </c>
      <c r="U189" s="190">
        <v>9063</v>
      </c>
      <c r="V189" s="190">
        <v>9070</v>
      </c>
      <c r="W189" s="190">
        <v>9070</v>
      </c>
      <c r="X189" s="190">
        <v>9064</v>
      </c>
      <c r="Y189" s="190">
        <v>9085</v>
      </c>
      <c r="Z189" s="190">
        <v>9080</v>
      </c>
      <c r="AA189" s="190">
        <v>9097</v>
      </c>
      <c r="AB189" s="190">
        <v>9098</v>
      </c>
      <c r="AC189" s="190">
        <v>9080</v>
      </c>
      <c r="AD189" s="190">
        <v>9081</v>
      </c>
      <c r="AE189" s="190">
        <v>9079</v>
      </c>
      <c r="AF189" s="88">
        <f t="shared" si="497"/>
        <v>9068.25</v>
      </c>
      <c r="AG189" s="6">
        <f t="shared" si="511"/>
        <v>9077.5</v>
      </c>
      <c r="AJ189" s="61">
        <v>2021</v>
      </c>
      <c r="AK189" s="9">
        <f t="shared" si="498"/>
        <v>3.9541887895840233</v>
      </c>
      <c r="AL189" s="9">
        <f t="shared" ref="AL189" si="524">C189/U189</f>
        <v>3.2217051748869032</v>
      </c>
      <c r="AM189" s="9">
        <f t="shared" ref="AM189" si="525">D189/V189</f>
        <v>3.281047188533627</v>
      </c>
      <c r="AN189" s="9">
        <f t="shared" ref="AN189" si="526">E189/W189</f>
        <v>3.8966062844542444</v>
      </c>
      <c r="AO189" s="9">
        <f t="shared" ref="AO189" si="527">F189/X189</f>
        <v>3.1888806266548988</v>
      </c>
      <c r="AP189" s="9">
        <f t="shared" ref="AP189" si="528">G189/Y189</f>
        <v>3.5976059438635111</v>
      </c>
      <c r="AQ189" s="9">
        <f t="shared" ref="AQ189" si="529">H189/Z189</f>
        <v>5.1494436123348013</v>
      </c>
      <c r="AR189" s="9">
        <f t="shared" ref="AR189" si="530">I189/AA189</f>
        <v>4.4179635044520174</v>
      </c>
      <c r="AS189" s="9">
        <f t="shared" ref="AS189" si="531">J189/AB189</f>
        <v>5.1259048142448895</v>
      </c>
      <c r="AT189" s="9">
        <f t="shared" ref="AT189" si="532">K189/AC189</f>
        <v>4.2537800660792948</v>
      </c>
      <c r="AU189" s="9">
        <f t="shared" ref="AU189" si="533">L189/AD189</f>
        <v>2.9932267371434862</v>
      </c>
      <c r="AV189" s="9">
        <f t="shared" ref="AV189" si="534">M189/AE189</f>
        <v>4.0530364577596645</v>
      </c>
      <c r="AW189" s="90">
        <f t="shared" si="523"/>
        <v>0.12904418672140003</v>
      </c>
    </row>
    <row r="190" spans="1:49" x14ac:dyDescent="0.25">
      <c r="A190" s="61">
        <v>2020</v>
      </c>
      <c r="B190" s="190">
        <v>33194.080000000002</v>
      </c>
      <c r="C190" s="190">
        <v>30848.79</v>
      </c>
      <c r="D190" s="190">
        <v>28003.811000000002</v>
      </c>
      <c r="E190" s="190">
        <v>34480.675999999999</v>
      </c>
      <c r="F190" s="190">
        <v>32134.547999999999</v>
      </c>
      <c r="G190" s="190">
        <v>36086.365999999987</v>
      </c>
      <c r="H190" s="190">
        <v>43898.843000000001</v>
      </c>
      <c r="I190" s="190">
        <v>43561.724000000002</v>
      </c>
      <c r="J190" s="190">
        <v>41176.762000000002</v>
      </c>
      <c r="K190" s="190">
        <v>36230.260999999999</v>
      </c>
      <c r="L190" s="190">
        <v>32862.688000000002</v>
      </c>
      <c r="M190" s="190">
        <v>31938.760999999999</v>
      </c>
      <c r="N190" s="67">
        <f t="shared" si="494"/>
        <v>420889.571</v>
      </c>
      <c r="O190" s="115">
        <f t="shared" si="495"/>
        <v>424417.31</v>
      </c>
      <c r="P190" s="136">
        <f t="shared" si="510"/>
        <v>2161037.9550000001</v>
      </c>
      <c r="Q190" s="138">
        <f t="shared" si="496"/>
        <v>432207.59100000001</v>
      </c>
      <c r="R190" s="148"/>
      <c r="S190" s="61">
        <v>2020</v>
      </c>
      <c r="T190" s="190">
        <v>9032</v>
      </c>
      <c r="U190" s="190">
        <v>9023</v>
      </c>
      <c r="V190" s="190">
        <v>9052</v>
      </c>
      <c r="W190" s="190">
        <v>9061</v>
      </c>
      <c r="X190" s="190">
        <v>9058</v>
      </c>
      <c r="Y190" s="190">
        <v>9066</v>
      </c>
      <c r="Z190" s="190">
        <v>9067</v>
      </c>
      <c r="AA190" s="190">
        <v>9082</v>
      </c>
      <c r="AB190" s="190">
        <v>9077</v>
      </c>
      <c r="AC190" s="190">
        <v>9062</v>
      </c>
      <c r="AD190" s="190">
        <v>9059</v>
      </c>
      <c r="AE190" s="190">
        <v>9057</v>
      </c>
      <c r="AF190" s="88">
        <f t="shared" si="497"/>
        <v>9046.6666666666661</v>
      </c>
      <c r="AG190" s="6">
        <f t="shared" si="511"/>
        <v>9058</v>
      </c>
      <c r="AJ190" s="61">
        <v>2020</v>
      </c>
      <c r="AK190" s="9">
        <f t="shared" si="498"/>
        <v>3.6751638618246236</v>
      </c>
      <c r="AL190" s="9">
        <f t="shared" ref="AL190:AL203" si="535">C190/U190</f>
        <v>3.4189061287820017</v>
      </c>
      <c r="AM190" s="79">
        <f t="shared" ref="AM190:AM203" si="536">D190/V190</f>
        <v>3.0936600751215204</v>
      </c>
      <c r="AN190" s="79">
        <f t="shared" ref="AN190:AN203" si="537">E190/W190</f>
        <v>3.8053941066107493</v>
      </c>
      <c r="AO190" s="79">
        <f t="shared" ref="AO190:AO203" si="538">F190/X190</f>
        <v>3.5476427467432101</v>
      </c>
      <c r="AP190" s="79">
        <f t="shared" ref="AP190:AP203" si="539">G190/Y190</f>
        <v>3.9804065740127936</v>
      </c>
      <c r="AQ190" s="79">
        <f t="shared" ref="AQ190" si="540">H190/Z190</f>
        <v>4.8416061541855075</v>
      </c>
      <c r="AR190" s="79">
        <f t="shared" ref="AR190" si="541">I190/AA190</f>
        <v>4.7964902003963887</v>
      </c>
      <c r="AS190" s="79">
        <f t="shared" ref="AS190" si="542">J190/AB190</f>
        <v>4.536384488267049</v>
      </c>
      <c r="AT190" s="79">
        <f t="shared" ref="AT190" si="543">K190/AC190</f>
        <v>3.9980424851026264</v>
      </c>
      <c r="AU190" s="79">
        <f t="shared" ref="AU190" si="544">L190/AD190</f>
        <v>3.6276286565846121</v>
      </c>
      <c r="AV190" s="79">
        <f t="shared" ref="AV190" si="545">M190/AE190</f>
        <v>3.5264172463288062</v>
      </c>
      <c r="AW190" s="90">
        <f t="shared" si="523"/>
        <v>0.12826212929215575</v>
      </c>
    </row>
    <row r="191" spans="1:49" x14ac:dyDescent="0.25">
      <c r="A191" s="61">
        <v>2019</v>
      </c>
      <c r="B191" s="125">
        <v>36556.6</v>
      </c>
      <c r="C191" s="125">
        <v>26570</v>
      </c>
      <c r="D191" s="125">
        <v>31138.400000000001</v>
      </c>
      <c r="E191" s="125">
        <v>28644.9</v>
      </c>
      <c r="F191" s="125">
        <v>31052.7</v>
      </c>
      <c r="G191" s="125">
        <v>36307.199999999997</v>
      </c>
      <c r="H191" s="190">
        <v>40342.400000000001</v>
      </c>
      <c r="I191" s="190">
        <v>51519</v>
      </c>
      <c r="J191" s="190">
        <v>33773.800000000003</v>
      </c>
      <c r="K191" s="190">
        <v>34587</v>
      </c>
      <c r="L191" s="190">
        <v>33570.199999999997</v>
      </c>
      <c r="M191" s="190">
        <v>32348.9</v>
      </c>
      <c r="N191" s="67">
        <f t="shared" si="494"/>
        <v>430668.1</v>
      </c>
      <c r="O191" s="115">
        <f>SUM(B191:M191)</f>
        <v>416411.1</v>
      </c>
      <c r="P191" s="136">
        <f t="shared" si="510"/>
        <v>2170803.878</v>
      </c>
      <c r="Q191" s="138">
        <f t="shared" si="496"/>
        <v>434160.77559999999</v>
      </c>
      <c r="R191" s="108"/>
      <c r="S191" s="61">
        <v>2019</v>
      </c>
      <c r="T191" s="35">
        <v>9080</v>
      </c>
      <c r="U191" s="35">
        <v>9074</v>
      </c>
      <c r="V191" s="35">
        <v>9075</v>
      </c>
      <c r="W191" s="35">
        <v>9092</v>
      </c>
      <c r="X191" s="35">
        <v>9088</v>
      </c>
      <c r="Y191" s="35">
        <v>9072</v>
      </c>
      <c r="Z191" s="35">
        <v>9075</v>
      </c>
      <c r="AA191" s="35">
        <v>9058</v>
      </c>
      <c r="AB191" s="35">
        <v>9039</v>
      </c>
      <c r="AC191" s="35">
        <v>9039</v>
      </c>
      <c r="AD191" s="35">
        <v>9025</v>
      </c>
      <c r="AE191" s="110">
        <v>9032</v>
      </c>
      <c r="AF191" s="8">
        <f t="shared" si="497"/>
        <v>9084.5</v>
      </c>
      <c r="AG191" s="6">
        <f t="shared" si="511"/>
        <v>9062.4166666666661</v>
      </c>
      <c r="AJ191" s="61">
        <v>2019</v>
      </c>
      <c r="AK191" s="9">
        <f t="shared" si="498"/>
        <v>4.0260572687224672</v>
      </c>
      <c r="AL191" s="9">
        <f t="shared" si="535"/>
        <v>2.9281463522151201</v>
      </c>
      <c r="AM191" s="9">
        <f t="shared" si="536"/>
        <v>3.4312286501377414</v>
      </c>
      <c r="AN191" s="9">
        <f t="shared" si="537"/>
        <v>3.1505609326880775</v>
      </c>
      <c r="AO191" s="9">
        <f t="shared" si="538"/>
        <v>3.4168904049295774</v>
      </c>
      <c r="AP191" s="9">
        <f t="shared" si="539"/>
        <v>4.0021164021164015</v>
      </c>
      <c r="AQ191" s="11">
        <f t="shared" ref="AQ191:AQ203" si="546">H191/Z191</f>
        <v>4.4454435261707994</v>
      </c>
      <c r="AR191" s="11">
        <f t="shared" ref="AR191:AR203" si="547">I191/AA191</f>
        <v>5.6876793994259218</v>
      </c>
      <c r="AS191" s="11">
        <f t="shared" ref="AS191:AS203" si="548">J191/AB191</f>
        <v>3.7364531474720657</v>
      </c>
      <c r="AT191" s="11">
        <f t="shared" ref="AT191:AT203" si="549">K191/AC191</f>
        <v>3.826418851642881</v>
      </c>
      <c r="AU191" s="11">
        <f t="shared" ref="AU191:AU203" si="550">L191/AD191</f>
        <v>3.7196897506925204</v>
      </c>
      <c r="AV191" s="11">
        <f t="shared" ref="AV191:AV203" si="551">M191/AE191</f>
        <v>3.5815876882196638</v>
      </c>
      <c r="AW191" s="90">
        <f t="shared" si="523"/>
        <v>0.12581046509085075</v>
      </c>
    </row>
    <row r="192" spans="1:49" x14ac:dyDescent="0.25">
      <c r="A192" s="61">
        <v>2018</v>
      </c>
      <c r="B192" s="116">
        <v>37412.400000000001</v>
      </c>
      <c r="C192" s="116">
        <v>30741.1</v>
      </c>
      <c r="D192" s="116">
        <v>29701</v>
      </c>
      <c r="E192" s="116">
        <v>30812.5</v>
      </c>
      <c r="F192" s="116">
        <v>34384</v>
      </c>
      <c r="G192" s="116">
        <v>48964.4</v>
      </c>
      <c r="H192" s="116">
        <v>50895.9</v>
      </c>
      <c r="I192" s="116">
        <v>46061.4</v>
      </c>
      <c r="J192" s="116">
        <v>42076.9</v>
      </c>
      <c r="K192" s="116">
        <v>36755.599999999999</v>
      </c>
      <c r="L192" s="116">
        <v>34143.699999999997</v>
      </c>
      <c r="M192" s="116">
        <v>30464.799999999999</v>
      </c>
      <c r="N192" s="67">
        <f t="shared" si="494"/>
        <v>442743.95199999999</v>
      </c>
      <c r="O192" s="115">
        <f t="shared" ref="O192:O203" si="552">SUM(B192:M192)</f>
        <v>452413.7</v>
      </c>
      <c r="P192" s="136">
        <f t="shared" si="510"/>
        <v>2194682.7820000001</v>
      </c>
      <c r="Q192" s="138">
        <f t="shared" si="496"/>
        <v>438936.5564</v>
      </c>
      <c r="R192" s="148"/>
      <c r="S192" s="61">
        <v>2018</v>
      </c>
      <c r="T192" s="35">
        <v>9065</v>
      </c>
      <c r="U192" s="35">
        <v>9059</v>
      </c>
      <c r="V192" s="35">
        <v>9064</v>
      </c>
      <c r="W192" s="35">
        <v>9076</v>
      </c>
      <c r="X192" s="35">
        <v>9068</v>
      </c>
      <c r="Y192" s="35">
        <v>9072</v>
      </c>
      <c r="Z192" s="35">
        <v>9079</v>
      </c>
      <c r="AA192" s="35">
        <v>9101</v>
      </c>
      <c r="AB192" s="35">
        <v>9096</v>
      </c>
      <c r="AC192" s="35">
        <v>9096</v>
      </c>
      <c r="AD192" s="35">
        <v>9079</v>
      </c>
      <c r="AE192" s="110">
        <v>9082</v>
      </c>
      <c r="AF192" s="8">
        <f t="shared" si="497"/>
        <v>9072.3333333333339</v>
      </c>
      <c r="AG192" s="6">
        <f t="shared" si="511"/>
        <v>9078.0833333333339</v>
      </c>
      <c r="AJ192" s="61">
        <v>2018</v>
      </c>
      <c r="AK192" s="9">
        <f t="shared" si="498"/>
        <v>4.1271263099834528</v>
      </c>
      <c r="AL192" s="9">
        <f t="shared" si="535"/>
        <v>3.3934319461309195</v>
      </c>
      <c r="AM192" s="9">
        <f t="shared" si="536"/>
        <v>3.2768093556928508</v>
      </c>
      <c r="AN192" s="9">
        <f t="shared" si="537"/>
        <v>3.3949427060379023</v>
      </c>
      <c r="AO192" s="9">
        <f t="shared" si="538"/>
        <v>3.791795324217027</v>
      </c>
      <c r="AP192" s="9">
        <f t="shared" si="539"/>
        <v>5.3973104056437391</v>
      </c>
      <c r="AQ192" s="11">
        <f t="shared" si="546"/>
        <v>5.6058927194624957</v>
      </c>
      <c r="AR192" s="11">
        <f t="shared" si="547"/>
        <v>5.0611361388858365</v>
      </c>
      <c r="AS192" s="11">
        <f t="shared" si="548"/>
        <v>4.6258685136323656</v>
      </c>
      <c r="AT192" s="11">
        <f t="shared" si="549"/>
        <v>4.0408531222515389</v>
      </c>
      <c r="AU192" s="11">
        <f t="shared" si="550"/>
        <v>3.7607335609648636</v>
      </c>
      <c r="AV192" s="11">
        <f t="shared" si="551"/>
        <v>3.35441532702048</v>
      </c>
      <c r="AW192" s="90">
        <f t="shared" si="523"/>
        <v>0.13642796832285686</v>
      </c>
    </row>
    <row r="193" spans="1:49" x14ac:dyDescent="0.25">
      <c r="A193" s="3">
        <v>2017</v>
      </c>
      <c r="B193" s="66">
        <v>34195.608</v>
      </c>
      <c r="C193" s="66">
        <v>31074.907999999999</v>
      </c>
      <c r="D193" s="66">
        <v>30488.795999999998</v>
      </c>
      <c r="E193" s="66">
        <v>32091.588</v>
      </c>
      <c r="F193" s="66">
        <v>32862.792000000001</v>
      </c>
      <c r="G193" s="66">
        <v>41483.114000000001</v>
      </c>
      <c r="H193" s="116">
        <v>43805.26</v>
      </c>
      <c r="I193" s="116">
        <v>41399.955999999998</v>
      </c>
      <c r="J193" s="116">
        <v>44295.468000000001</v>
      </c>
      <c r="K193" s="116">
        <v>36678.36</v>
      </c>
      <c r="L193" s="116">
        <v>33840.324000000001</v>
      </c>
      <c r="M193" s="116">
        <v>30709.184000000001</v>
      </c>
      <c r="N193" s="67">
        <f>SUM(B193:G193)+SUM(H194:M194)</f>
        <v>434366.33700000006</v>
      </c>
      <c r="O193" s="115">
        <f t="shared" si="552"/>
        <v>432925.35800000001</v>
      </c>
      <c r="P193" s="136">
        <f t="shared" si="510"/>
        <v>2187023.8760000002</v>
      </c>
      <c r="Q193" s="138">
        <f>P193/5</f>
        <v>437404.77520000003</v>
      </c>
      <c r="R193" s="151"/>
      <c r="S193" s="3">
        <v>2017</v>
      </c>
      <c r="T193" s="6">
        <v>9050</v>
      </c>
      <c r="U193" s="6">
        <v>9051</v>
      </c>
      <c r="V193" s="6">
        <v>9069</v>
      </c>
      <c r="W193" s="6">
        <v>9073</v>
      </c>
      <c r="X193" s="6">
        <v>9073</v>
      </c>
      <c r="Y193" s="6">
        <v>9095</v>
      </c>
      <c r="Z193" s="6">
        <v>9085</v>
      </c>
      <c r="AA193" s="6">
        <v>9082</v>
      </c>
      <c r="AB193" s="6">
        <v>9069</v>
      </c>
      <c r="AC193" s="6">
        <v>9088</v>
      </c>
      <c r="AD193" s="6">
        <v>9072</v>
      </c>
      <c r="AE193" s="69">
        <v>9068</v>
      </c>
      <c r="AF193" s="8">
        <f>(SUM(T193:Y193)+SUM(Z194:AE194))/12</f>
        <v>9057.6666666666661</v>
      </c>
      <c r="AG193" s="6">
        <f t="shared" si="511"/>
        <v>9072.9166666666661</v>
      </c>
      <c r="AJ193" s="3">
        <v>2017</v>
      </c>
      <c r="AK193" s="9">
        <f t="shared" si="498"/>
        <v>3.778520220994475</v>
      </c>
      <c r="AL193" s="9">
        <f t="shared" si="535"/>
        <v>3.4333121202077117</v>
      </c>
      <c r="AM193" s="9">
        <f t="shared" si="536"/>
        <v>3.3618696658948064</v>
      </c>
      <c r="AN193" s="9">
        <f t="shared" si="537"/>
        <v>3.5370426540284359</v>
      </c>
      <c r="AO193" s="9">
        <f t="shared" si="538"/>
        <v>3.6220425438113084</v>
      </c>
      <c r="AP193" s="9">
        <f t="shared" si="539"/>
        <v>4.5610900494777349</v>
      </c>
      <c r="AQ193" s="11">
        <f t="shared" si="546"/>
        <v>4.8217127132636213</v>
      </c>
      <c r="AR193" s="11">
        <f t="shared" si="547"/>
        <v>4.5584624532041396</v>
      </c>
      <c r="AS193" s="11">
        <f t="shared" si="548"/>
        <v>4.8842725769103543</v>
      </c>
      <c r="AT193" s="11">
        <f t="shared" si="549"/>
        <v>4.0359110915492957</v>
      </c>
      <c r="AU193" s="11">
        <f t="shared" si="550"/>
        <v>3.7301944444444444</v>
      </c>
      <c r="AV193" s="11">
        <f t="shared" si="551"/>
        <v>3.3865443317159243</v>
      </c>
      <c r="AW193" s="90">
        <f t="shared" si="523"/>
        <v>0.13062553009035524</v>
      </c>
    </row>
    <row r="194" spans="1:49" x14ac:dyDescent="0.25">
      <c r="A194" s="3">
        <v>2016</v>
      </c>
      <c r="B194" s="66">
        <v>34992.936000000002</v>
      </c>
      <c r="C194" s="66">
        <v>30634.34</v>
      </c>
      <c r="D194" s="66">
        <v>30688.944</v>
      </c>
      <c r="E194" s="66">
        <v>33104.735999999997</v>
      </c>
      <c r="F194" s="66">
        <v>32461.268</v>
      </c>
      <c r="G194" s="66">
        <v>40818.732000000004</v>
      </c>
      <c r="H194" s="66">
        <v>46851.788</v>
      </c>
      <c r="I194" s="66">
        <v>38074.290999999997</v>
      </c>
      <c r="J194" s="66">
        <v>40983.135999999999</v>
      </c>
      <c r="K194" s="66">
        <v>38870.995999999999</v>
      </c>
      <c r="L194" s="66">
        <v>33376.048000000003</v>
      </c>
      <c r="M194" s="66">
        <v>34013.271999999997</v>
      </c>
      <c r="N194" s="67">
        <f t="shared" ref="N194:N203" si="553">SUM(B194:G194)+SUM(H195:M195)</f>
        <v>439064.79000000004</v>
      </c>
      <c r="O194" s="115">
        <f t="shared" si="552"/>
        <v>434870.48700000002</v>
      </c>
      <c r="P194" s="136">
        <f t="shared" si="510"/>
        <v>2263607.5180000002</v>
      </c>
      <c r="Q194" s="138">
        <f t="shared" ref="Q194:Q198" si="554">P194/5</f>
        <v>452721.50360000005</v>
      </c>
      <c r="R194" s="151"/>
      <c r="S194" s="3">
        <v>2016</v>
      </c>
      <c r="T194" s="6">
        <v>8987</v>
      </c>
      <c r="U194" s="6">
        <v>9007</v>
      </c>
      <c r="V194" s="6">
        <v>9029</v>
      </c>
      <c r="W194" s="6">
        <v>9026</v>
      </c>
      <c r="X194" s="6">
        <v>9031</v>
      </c>
      <c r="Y194" s="6">
        <v>9046</v>
      </c>
      <c r="Z194" s="6">
        <v>9047</v>
      </c>
      <c r="AA194" s="6">
        <v>9053</v>
      </c>
      <c r="AB194" s="6">
        <v>9055</v>
      </c>
      <c r="AC194" s="6">
        <v>9048</v>
      </c>
      <c r="AD194" s="6">
        <v>9038</v>
      </c>
      <c r="AE194" s="6">
        <v>9040</v>
      </c>
      <c r="AF194" s="8">
        <f t="shared" ref="AF194:AF202" si="555">(SUM(T194:Y194)+SUM(Z195:AE195))/12</f>
        <v>9018.9166666666661</v>
      </c>
      <c r="AG194" s="6">
        <f t="shared" si="511"/>
        <v>9033.9166666666661</v>
      </c>
      <c r="AJ194" s="3">
        <v>2016</v>
      </c>
      <c r="AK194" s="9">
        <f t="shared" si="498"/>
        <v>3.8937282741738066</v>
      </c>
      <c r="AL194" s="9">
        <f t="shared" si="535"/>
        <v>3.4011702009548128</v>
      </c>
      <c r="AM194" s="9">
        <f t="shared" si="536"/>
        <v>3.3989305570938089</v>
      </c>
      <c r="AN194" s="9">
        <f t="shared" si="537"/>
        <v>3.6677083979614444</v>
      </c>
      <c r="AO194" s="9">
        <f t="shared" si="538"/>
        <v>3.5944267522976414</v>
      </c>
      <c r="AP194" s="9">
        <f t="shared" si="539"/>
        <v>4.5123515365907592</v>
      </c>
      <c r="AQ194" s="11">
        <f t="shared" si="546"/>
        <v>5.1787098485685865</v>
      </c>
      <c r="AR194" s="11">
        <f t="shared" si="547"/>
        <v>4.2057098199491882</v>
      </c>
      <c r="AS194" s="11">
        <f t="shared" si="548"/>
        <v>4.526022749861955</v>
      </c>
      <c r="AT194" s="11">
        <f t="shared" si="549"/>
        <v>4.2960870910698494</v>
      </c>
      <c r="AU194" s="11">
        <f t="shared" si="550"/>
        <v>3.6928577118831605</v>
      </c>
      <c r="AV194" s="11">
        <f t="shared" si="551"/>
        <v>3.7625300884955748</v>
      </c>
      <c r="AW194" s="90">
        <f t="shared" si="523"/>
        <v>0.13177339638302693</v>
      </c>
    </row>
    <row r="195" spans="1:49" x14ac:dyDescent="0.25">
      <c r="A195" s="3">
        <v>2015</v>
      </c>
      <c r="B195" s="66">
        <v>34957.031999999999</v>
      </c>
      <c r="C195" s="66">
        <v>32440.76</v>
      </c>
      <c r="D195" s="66">
        <v>30619.38</v>
      </c>
      <c r="E195" s="66">
        <v>33114.707999999999</v>
      </c>
      <c r="F195" s="66">
        <v>33076.512999999999</v>
      </c>
      <c r="G195" s="66">
        <v>33611.006000000001</v>
      </c>
      <c r="H195" s="66">
        <v>36682.667000000001</v>
      </c>
      <c r="I195" s="66">
        <v>45394.394999999997</v>
      </c>
      <c r="J195" s="66">
        <v>42753.436000000002</v>
      </c>
      <c r="K195" s="66">
        <v>44713</v>
      </c>
      <c r="L195" s="66">
        <v>35236.784</v>
      </c>
      <c r="M195" s="66">
        <v>31583.552</v>
      </c>
      <c r="N195" s="67">
        <f t="shared" si="553"/>
        <v>432166.30299999996</v>
      </c>
      <c r="O195" s="115">
        <f t="shared" si="552"/>
        <v>434183.23300000001</v>
      </c>
      <c r="P195" s="136">
        <f t="shared" si="510"/>
        <v>2296751.031</v>
      </c>
      <c r="Q195" s="138">
        <f t="shared" si="554"/>
        <v>459350.20620000002</v>
      </c>
      <c r="R195" s="151"/>
      <c r="S195" s="3">
        <v>2015</v>
      </c>
      <c r="T195" s="6">
        <v>8987</v>
      </c>
      <c r="U195" s="6">
        <v>8992</v>
      </c>
      <c r="V195" s="6">
        <v>9008</v>
      </c>
      <c r="W195" s="6">
        <v>9029</v>
      </c>
      <c r="X195" s="6">
        <v>9031</v>
      </c>
      <c r="Y195" s="6">
        <v>9031</v>
      </c>
      <c r="Z195" s="6">
        <v>9031</v>
      </c>
      <c r="AA195" s="6">
        <v>9031</v>
      </c>
      <c r="AB195" s="6">
        <v>9033</v>
      </c>
      <c r="AC195" s="6">
        <v>9005</v>
      </c>
      <c r="AD195" s="6">
        <v>9005</v>
      </c>
      <c r="AE195" s="6">
        <v>8996</v>
      </c>
      <c r="AF195" s="8">
        <f t="shared" si="555"/>
        <v>9008.25</v>
      </c>
      <c r="AG195" s="6">
        <f t="shared" si="511"/>
        <v>9014.9166666666661</v>
      </c>
      <c r="AJ195" s="3">
        <v>2015</v>
      </c>
      <c r="AK195" s="9">
        <f t="shared" si="498"/>
        <v>3.8897331701346389</v>
      </c>
      <c r="AL195" s="9">
        <f t="shared" si="535"/>
        <v>3.6077357651245552</v>
      </c>
      <c r="AM195" s="9">
        <f t="shared" si="536"/>
        <v>3.3991318827708703</v>
      </c>
      <c r="AN195" s="9">
        <f t="shared" si="537"/>
        <v>3.667594196478015</v>
      </c>
      <c r="AO195" s="9">
        <f t="shared" si="538"/>
        <v>3.662552651976525</v>
      </c>
      <c r="AP195" s="9">
        <f t="shared" si="539"/>
        <v>3.721736906211937</v>
      </c>
      <c r="AQ195" s="11">
        <f t="shared" si="546"/>
        <v>4.0618610342154797</v>
      </c>
      <c r="AR195" s="11">
        <f t="shared" si="547"/>
        <v>5.026508138633595</v>
      </c>
      <c r="AS195" s="11">
        <f t="shared" si="548"/>
        <v>4.7330273441824424</v>
      </c>
      <c r="AT195" s="11">
        <f t="shared" si="549"/>
        <v>4.9653525818989452</v>
      </c>
      <c r="AU195" s="11">
        <f t="shared" si="550"/>
        <v>3.9130243198223207</v>
      </c>
      <c r="AV195" s="11">
        <f t="shared" si="551"/>
        <v>3.5108439306358381</v>
      </c>
      <c r="AW195" s="90">
        <f t="shared" si="523"/>
        <v>0.13185243510495595</v>
      </c>
    </row>
    <row r="196" spans="1:49" x14ac:dyDescent="0.25">
      <c r="A196" s="3">
        <v>2014</v>
      </c>
      <c r="B196" s="66">
        <v>36182.256000000001</v>
      </c>
      <c r="C196" s="66">
        <v>35211.351999999999</v>
      </c>
      <c r="D196" s="66">
        <v>31074.912</v>
      </c>
      <c r="E196" s="66">
        <v>31295.572</v>
      </c>
      <c r="F196" s="66">
        <v>34985.455999999998</v>
      </c>
      <c r="G196" s="66">
        <v>37193.552000000003</v>
      </c>
      <c r="H196" s="66">
        <v>44275.616000000002</v>
      </c>
      <c r="I196" s="66">
        <v>46492.688000000002</v>
      </c>
      <c r="J196" s="66">
        <v>43076.572</v>
      </c>
      <c r="K196" s="66">
        <v>36966.160000000003</v>
      </c>
      <c r="L196" s="66">
        <v>31706.223999999998</v>
      </c>
      <c r="M196" s="66">
        <v>31829.644</v>
      </c>
      <c r="N196" s="67">
        <f t="shared" si="553"/>
        <v>446822.28800000006</v>
      </c>
      <c r="O196" s="115">
        <f t="shared" si="552"/>
        <v>440290.00400000007</v>
      </c>
      <c r="P196" s="136">
        <f t="shared" si="510"/>
        <v>2324084.798</v>
      </c>
      <c r="Q196" s="138">
        <f t="shared" si="554"/>
        <v>464816.9596</v>
      </c>
      <c r="R196" s="151"/>
      <c r="S196" s="3">
        <v>2014</v>
      </c>
      <c r="T196" s="6">
        <v>8998</v>
      </c>
      <c r="U196" s="6">
        <v>8991</v>
      </c>
      <c r="V196" s="6">
        <v>8992</v>
      </c>
      <c r="W196" s="6">
        <v>8976</v>
      </c>
      <c r="X196" s="6">
        <v>9003</v>
      </c>
      <c r="Y196" s="6">
        <v>9022</v>
      </c>
      <c r="Z196" s="6">
        <v>9015</v>
      </c>
      <c r="AA196" s="6">
        <v>9009</v>
      </c>
      <c r="AB196" s="6">
        <v>9014</v>
      </c>
      <c r="AC196" s="6">
        <v>9008</v>
      </c>
      <c r="AD196" s="6">
        <v>8994</v>
      </c>
      <c r="AE196" s="6">
        <v>8981</v>
      </c>
      <c r="AF196" s="8">
        <f t="shared" si="555"/>
        <v>9022.5</v>
      </c>
      <c r="AG196" s="6">
        <f t="shared" si="511"/>
        <v>9000.25</v>
      </c>
      <c r="AJ196" s="3">
        <v>2014</v>
      </c>
      <c r="AK196" s="9">
        <f t="shared" si="498"/>
        <v>4.0211442542787283</v>
      </c>
      <c r="AL196" s="9">
        <f t="shared" si="535"/>
        <v>3.9162887331776219</v>
      </c>
      <c r="AM196" s="9">
        <f t="shared" si="536"/>
        <v>3.4558398576512457</v>
      </c>
      <c r="AN196" s="9">
        <f t="shared" si="537"/>
        <v>3.4865833333333334</v>
      </c>
      <c r="AO196" s="9">
        <f t="shared" si="538"/>
        <v>3.8859775630345439</v>
      </c>
      <c r="AP196" s="9">
        <f t="shared" si="539"/>
        <v>4.1225395699401464</v>
      </c>
      <c r="AQ196" s="11">
        <f t="shared" si="546"/>
        <v>4.9113273433166942</v>
      </c>
      <c r="AR196" s="11">
        <f t="shared" si="547"/>
        <v>5.1606935286935292</v>
      </c>
      <c r="AS196" s="11">
        <f t="shared" si="548"/>
        <v>4.7788520079875747</v>
      </c>
      <c r="AT196" s="11">
        <f t="shared" si="549"/>
        <v>4.1037033747779752</v>
      </c>
      <c r="AU196" s="11">
        <f t="shared" si="550"/>
        <v>3.5252639537469421</v>
      </c>
      <c r="AV196" s="11">
        <f t="shared" si="551"/>
        <v>3.5441091192517535</v>
      </c>
      <c r="AW196" s="90">
        <f t="shared" si="523"/>
        <v>0.13391464103816589</v>
      </c>
    </row>
    <row r="197" spans="1:49" x14ac:dyDescent="0.25">
      <c r="A197" s="3">
        <v>2013</v>
      </c>
      <c r="B197" s="66">
        <v>35668</v>
      </c>
      <c r="C197" s="66">
        <v>32360</v>
      </c>
      <c r="D197" s="66">
        <v>31014</v>
      </c>
      <c r="E197" s="66">
        <v>32709</v>
      </c>
      <c r="F197" s="66">
        <v>33933.222000000002</v>
      </c>
      <c r="G197" s="66">
        <v>38191.383999999998</v>
      </c>
      <c r="H197" s="66">
        <v>43002.52</v>
      </c>
      <c r="I197" s="66">
        <v>42320.343999999997</v>
      </c>
      <c r="J197" s="66">
        <v>50754.792000000001</v>
      </c>
      <c r="K197" s="66">
        <v>37842.07</v>
      </c>
      <c r="L197" s="66">
        <v>35503.07</v>
      </c>
      <c r="M197" s="66">
        <v>31456.392</v>
      </c>
      <c r="N197" s="67">
        <f t="shared" si="553"/>
        <v>485861.60600000003</v>
      </c>
      <c r="O197" s="115">
        <f t="shared" si="552"/>
        <v>444754.79399999999</v>
      </c>
      <c r="P197" s="136">
        <f t="shared" si="510"/>
        <v>2351862.7939999998</v>
      </c>
      <c r="Q197" s="138">
        <f t="shared" si="554"/>
        <v>470372.55879999994</v>
      </c>
      <c r="R197" s="151"/>
      <c r="S197" s="3">
        <v>2013</v>
      </c>
      <c r="T197" s="6">
        <v>9010</v>
      </c>
      <c r="U197" s="6">
        <v>9015</v>
      </c>
      <c r="V197" s="6">
        <v>9035</v>
      </c>
      <c r="W197" s="6">
        <v>9034</v>
      </c>
      <c r="X197" s="6">
        <v>8983</v>
      </c>
      <c r="Y197" s="6">
        <v>9048</v>
      </c>
      <c r="Z197" s="6">
        <v>9218</v>
      </c>
      <c r="AA197" s="6">
        <v>9030</v>
      </c>
      <c r="AB197" s="6">
        <v>9031</v>
      </c>
      <c r="AC197" s="6">
        <v>9005</v>
      </c>
      <c r="AD197" s="6">
        <v>8999</v>
      </c>
      <c r="AE197" s="6">
        <v>9005</v>
      </c>
      <c r="AF197" s="8">
        <f t="shared" si="555"/>
        <v>9026.25</v>
      </c>
      <c r="AG197" s="6">
        <f t="shared" si="511"/>
        <v>9034.4166666666661</v>
      </c>
      <c r="AJ197" s="3">
        <v>2013</v>
      </c>
      <c r="AK197" s="9">
        <f t="shared" si="498"/>
        <v>3.9587125416204216</v>
      </c>
      <c r="AL197" s="9">
        <f t="shared" si="535"/>
        <v>3.5895729339988907</v>
      </c>
      <c r="AM197" s="9">
        <f t="shared" si="536"/>
        <v>3.4326508024349751</v>
      </c>
      <c r="AN197" s="9">
        <f t="shared" si="537"/>
        <v>3.6206553021917203</v>
      </c>
      <c r="AO197" s="9">
        <f t="shared" si="538"/>
        <v>3.7774932650562176</v>
      </c>
      <c r="AP197" s="9">
        <f t="shared" si="539"/>
        <v>4.2209752431476568</v>
      </c>
      <c r="AQ197" s="11">
        <f t="shared" si="546"/>
        <v>4.6650596658711212</v>
      </c>
      <c r="AR197" s="11">
        <f t="shared" si="547"/>
        <v>4.6866383167220373</v>
      </c>
      <c r="AS197" s="11">
        <f t="shared" si="548"/>
        <v>5.6200633373934226</v>
      </c>
      <c r="AT197" s="11">
        <f t="shared" si="549"/>
        <v>4.2023398112159907</v>
      </c>
      <c r="AU197" s="11">
        <f t="shared" si="550"/>
        <v>3.9452239137681966</v>
      </c>
      <c r="AV197" s="11">
        <f t="shared" si="551"/>
        <v>3.4932139922265408</v>
      </c>
      <c r="AW197" s="90">
        <f t="shared" si="523"/>
        <v>0.13473675325296972</v>
      </c>
    </row>
    <row r="198" spans="1:49" x14ac:dyDescent="0.25">
      <c r="A198" s="3">
        <v>2012</v>
      </c>
      <c r="B198" s="66">
        <v>38456</v>
      </c>
      <c r="C198" s="66">
        <v>31793</v>
      </c>
      <c r="D198" s="66">
        <v>33540</v>
      </c>
      <c r="E198" s="66">
        <v>33908</v>
      </c>
      <c r="F198" s="66">
        <v>35399</v>
      </c>
      <c r="G198" s="66">
        <v>54427</v>
      </c>
      <c r="H198" s="66">
        <v>62591</v>
      </c>
      <c r="I198" s="66">
        <v>61262</v>
      </c>
      <c r="J198" s="66">
        <v>49153</v>
      </c>
      <c r="K198" s="66">
        <v>40438</v>
      </c>
      <c r="L198" s="66">
        <v>34894</v>
      </c>
      <c r="M198" s="66">
        <v>33648</v>
      </c>
      <c r="N198" s="67">
        <f t="shared" si="553"/>
        <v>483649</v>
      </c>
      <c r="O198" s="115">
        <f t="shared" si="552"/>
        <v>509509</v>
      </c>
      <c r="P198" s="136">
        <f t="shared" si="510"/>
        <v>2369429</v>
      </c>
      <c r="Q198" s="138">
        <f t="shared" si="554"/>
        <v>473885.8</v>
      </c>
      <c r="R198" s="151"/>
      <c r="S198" s="3">
        <v>2012</v>
      </c>
      <c r="T198" s="6">
        <v>8998</v>
      </c>
      <c r="U198" s="6">
        <v>9014</v>
      </c>
      <c r="V198" s="6">
        <v>9045</v>
      </c>
      <c r="W198" s="6">
        <v>9070</v>
      </c>
      <c r="X198" s="6">
        <v>9058</v>
      </c>
      <c r="Y198" s="6">
        <v>9059</v>
      </c>
      <c r="Z198" s="6">
        <v>9045</v>
      </c>
      <c r="AA198" s="6">
        <v>9049</v>
      </c>
      <c r="AB198" s="6">
        <v>9052</v>
      </c>
      <c r="AC198" s="6">
        <v>9038</v>
      </c>
      <c r="AD198" s="6">
        <v>9007</v>
      </c>
      <c r="AE198" s="6">
        <v>8999</v>
      </c>
      <c r="AF198" s="8">
        <f t="shared" si="555"/>
        <v>9009.5833333333339</v>
      </c>
      <c r="AG198" s="6">
        <f t="shared" si="511"/>
        <v>9036.1666666666661</v>
      </c>
      <c r="AJ198" s="3">
        <v>2012</v>
      </c>
      <c r="AK198" s="9">
        <f t="shared" si="498"/>
        <v>4.2738386308068463</v>
      </c>
      <c r="AL198" s="9">
        <f t="shared" si="535"/>
        <v>3.5270690037719103</v>
      </c>
      <c r="AM198" s="9">
        <f t="shared" si="536"/>
        <v>3.7081260364842454</v>
      </c>
      <c r="AN198" s="9">
        <f t="shared" si="537"/>
        <v>3.7384785005512677</v>
      </c>
      <c r="AO198" s="9">
        <f t="shared" si="538"/>
        <v>3.9080370942812981</v>
      </c>
      <c r="AP198" s="9">
        <f t="shared" si="539"/>
        <v>6.0080582845788717</v>
      </c>
      <c r="AQ198" s="11">
        <f t="shared" si="546"/>
        <v>6.9199557766721949</v>
      </c>
      <c r="AR198" s="11">
        <f t="shared" si="547"/>
        <v>6.7700298375511103</v>
      </c>
      <c r="AS198" s="11">
        <f t="shared" si="548"/>
        <v>5.4300707026071589</v>
      </c>
      <c r="AT198" s="11">
        <f t="shared" si="549"/>
        <v>4.4742199601681785</v>
      </c>
      <c r="AU198" s="11">
        <f t="shared" si="550"/>
        <v>3.8740979238370157</v>
      </c>
      <c r="AV198" s="11">
        <f t="shared" si="551"/>
        <v>3.7390821202355817</v>
      </c>
      <c r="AW198" s="90">
        <f t="shared" si="523"/>
        <v>0.15433556159218528</v>
      </c>
    </row>
    <row r="199" spans="1:49" x14ac:dyDescent="0.25">
      <c r="A199" s="3">
        <v>2011</v>
      </c>
      <c r="B199" s="66">
        <v>40205</v>
      </c>
      <c r="C199" s="66">
        <v>31933</v>
      </c>
      <c r="D199" s="66">
        <v>31365</v>
      </c>
      <c r="E199" s="66">
        <v>33717</v>
      </c>
      <c r="F199" s="66">
        <v>34449</v>
      </c>
      <c r="G199" s="66">
        <v>40219</v>
      </c>
      <c r="H199" s="66">
        <v>46349</v>
      </c>
      <c r="I199" s="66">
        <v>52429</v>
      </c>
      <c r="J199" s="66">
        <v>46074</v>
      </c>
      <c r="K199" s="66">
        <v>42331</v>
      </c>
      <c r="L199" s="66">
        <v>35195</v>
      </c>
      <c r="M199" s="66">
        <v>33748</v>
      </c>
      <c r="N199" s="67">
        <f t="shared" si="553"/>
        <v>453741</v>
      </c>
      <c r="O199" s="115">
        <f t="shared" si="552"/>
        <v>468014</v>
      </c>
      <c r="P199" s="47"/>
      <c r="Q199" s="117"/>
      <c r="R199" s="151"/>
      <c r="S199" s="3">
        <v>2011</v>
      </c>
      <c r="T199" s="6">
        <v>8925</v>
      </c>
      <c r="U199" s="6">
        <v>8924</v>
      </c>
      <c r="V199" s="6">
        <v>8939</v>
      </c>
      <c r="W199" s="6">
        <v>8940</v>
      </c>
      <c r="X199" s="6">
        <v>8956</v>
      </c>
      <c r="Y199" s="6">
        <v>8936</v>
      </c>
      <c r="Z199" s="6">
        <v>8944</v>
      </c>
      <c r="AA199" s="6">
        <v>8944</v>
      </c>
      <c r="AB199" s="6">
        <v>8963</v>
      </c>
      <c r="AC199" s="6">
        <v>9032</v>
      </c>
      <c r="AD199" s="6">
        <v>9000</v>
      </c>
      <c r="AE199" s="6">
        <v>8988</v>
      </c>
      <c r="AF199" s="8">
        <f t="shared" si="555"/>
        <v>8943.8333333333339</v>
      </c>
      <c r="AG199" s="6">
        <f t="shared" si="511"/>
        <v>8957.5833333333339</v>
      </c>
      <c r="AJ199" s="3">
        <v>2011</v>
      </c>
      <c r="AK199" s="9">
        <f t="shared" si="498"/>
        <v>4.5047619047619047</v>
      </c>
      <c r="AL199" s="9">
        <f t="shared" si="535"/>
        <v>3.5783281039892425</v>
      </c>
      <c r="AM199" s="9">
        <f t="shared" si="536"/>
        <v>3.5087817429242643</v>
      </c>
      <c r="AN199" s="9">
        <f t="shared" si="537"/>
        <v>3.7714765100671142</v>
      </c>
      <c r="AO199" s="9">
        <f t="shared" si="538"/>
        <v>3.846471639124609</v>
      </c>
      <c r="AP199" s="9">
        <f t="shared" si="539"/>
        <v>4.5007833482542523</v>
      </c>
      <c r="AQ199" s="11">
        <f t="shared" si="546"/>
        <v>5.182133273703041</v>
      </c>
      <c r="AR199" s="11">
        <f t="shared" si="547"/>
        <v>5.8619186046511631</v>
      </c>
      <c r="AS199" s="11">
        <f t="shared" si="548"/>
        <v>5.1404663617092492</v>
      </c>
      <c r="AT199" s="11">
        <f t="shared" si="549"/>
        <v>4.6867803365810454</v>
      </c>
      <c r="AU199" s="11">
        <f t="shared" si="550"/>
        <v>3.9105555555555553</v>
      </c>
      <c r="AV199" s="11">
        <f t="shared" si="551"/>
        <v>3.7547841566533156</v>
      </c>
      <c r="AW199" s="90">
        <f t="shared" si="523"/>
        <v>0.14304515137022522</v>
      </c>
    </row>
    <row r="200" spans="1:49" x14ac:dyDescent="0.25">
      <c r="A200" s="3">
        <v>2010</v>
      </c>
      <c r="B200" s="66">
        <v>40380</v>
      </c>
      <c r="C200" s="66">
        <v>32178</v>
      </c>
      <c r="D200" s="66">
        <v>34430</v>
      </c>
      <c r="E200" s="66">
        <v>38211</v>
      </c>
      <c r="F200" s="66">
        <v>33931</v>
      </c>
      <c r="G200" s="66">
        <v>40534</v>
      </c>
      <c r="H200" s="66">
        <v>43080</v>
      </c>
      <c r="I200" s="66">
        <v>44255</v>
      </c>
      <c r="J200" s="66">
        <v>42713</v>
      </c>
      <c r="K200" s="66">
        <v>39891</v>
      </c>
      <c r="L200" s="66">
        <v>35516</v>
      </c>
      <c r="M200" s="66">
        <v>36398</v>
      </c>
      <c r="N200" s="67">
        <f t="shared" si="553"/>
        <v>464138</v>
      </c>
      <c r="O200" s="115">
        <f t="shared" si="552"/>
        <v>461517</v>
      </c>
      <c r="P200" s="47"/>
      <c r="Q200" s="117"/>
      <c r="R200" s="151"/>
      <c r="S200" s="3">
        <v>2010</v>
      </c>
      <c r="T200" s="6">
        <v>8945</v>
      </c>
      <c r="U200" s="6">
        <v>8961</v>
      </c>
      <c r="V200" s="6">
        <v>8955</v>
      </c>
      <c r="W200" s="6">
        <v>8980</v>
      </c>
      <c r="X200" s="6">
        <v>8972</v>
      </c>
      <c r="Y200" s="6">
        <v>8966</v>
      </c>
      <c r="Z200" s="6">
        <v>8976</v>
      </c>
      <c r="AA200" s="6">
        <v>8964</v>
      </c>
      <c r="AB200" s="6">
        <v>8974</v>
      </c>
      <c r="AC200" s="6">
        <v>8951</v>
      </c>
      <c r="AD200" s="6">
        <v>8917</v>
      </c>
      <c r="AE200" s="6">
        <v>8924</v>
      </c>
      <c r="AF200" s="8">
        <f t="shared" si="555"/>
        <v>8958.1666666666661</v>
      </c>
      <c r="AG200" s="6">
        <f t="shared" si="511"/>
        <v>8957.0833333333339</v>
      </c>
      <c r="AJ200" s="3">
        <v>2010</v>
      </c>
      <c r="AK200" s="9">
        <f t="shared" si="498"/>
        <v>4.5142537730575745</v>
      </c>
      <c r="AL200" s="9">
        <f t="shared" si="535"/>
        <v>3.5908938734516238</v>
      </c>
      <c r="AM200" s="9">
        <f t="shared" si="536"/>
        <v>3.8447794528196537</v>
      </c>
      <c r="AN200" s="9">
        <f t="shared" si="537"/>
        <v>4.2551224944320714</v>
      </c>
      <c r="AO200" s="9">
        <f t="shared" si="538"/>
        <v>3.7818769505127063</v>
      </c>
      <c r="AP200" s="9">
        <f t="shared" si="539"/>
        <v>4.5208565692616549</v>
      </c>
      <c r="AQ200" s="11">
        <f t="shared" si="546"/>
        <v>4.7994652406417115</v>
      </c>
      <c r="AR200" s="11">
        <f t="shared" si="547"/>
        <v>4.9369701026327535</v>
      </c>
      <c r="AS200" s="11">
        <f t="shared" si="548"/>
        <v>4.7596389569868505</v>
      </c>
      <c r="AT200" s="11">
        <f t="shared" si="549"/>
        <v>4.4565970282649987</v>
      </c>
      <c r="AU200" s="11">
        <f t="shared" si="550"/>
        <v>3.9829539082651118</v>
      </c>
      <c r="AV200" s="11">
        <f t="shared" si="551"/>
        <v>4.0786642761093681</v>
      </c>
      <c r="AW200" s="90">
        <f t="shared" si="523"/>
        <v>0.14105974709496533</v>
      </c>
    </row>
    <row r="201" spans="1:49" x14ac:dyDescent="0.25">
      <c r="A201" s="3">
        <v>2009</v>
      </c>
      <c r="B201" s="66">
        <v>40332</v>
      </c>
      <c r="C201" s="66">
        <v>33066</v>
      </c>
      <c r="D201" s="66">
        <v>38299</v>
      </c>
      <c r="E201" s="66">
        <v>34997</v>
      </c>
      <c r="F201" s="66">
        <v>36232</v>
      </c>
      <c r="G201" s="66">
        <v>40668</v>
      </c>
      <c r="H201" s="66">
        <v>46273</v>
      </c>
      <c r="I201" s="66">
        <v>43496</v>
      </c>
      <c r="J201" s="66">
        <v>44459</v>
      </c>
      <c r="K201" s="66">
        <v>41148</v>
      </c>
      <c r="L201" s="66">
        <v>33193</v>
      </c>
      <c r="M201" s="66">
        <v>35905</v>
      </c>
      <c r="N201" s="67">
        <f t="shared" si="553"/>
        <v>461676</v>
      </c>
      <c r="O201" s="115">
        <f t="shared" si="552"/>
        <v>468068</v>
      </c>
      <c r="P201" s="47"/>
      <c r="Q201" s="117"/>
      <c r="R201" s="151"/>
      <c r="S201" s="3">
        <v>2009</v>
      </c>
      <c r="T201" s="6">
        <v>8917</v>
      </c>
      <c r="U201" s="6">
        <v>8935</v>
      </c>
      <c r="V201" s="6">
        <v>8950</v>
      </c>
      <c r="W201" s="6">
        <v>8953</v>
      </c>
      <c r="X201" s="6">
        <v>8942</v>
      </c>
      <c r="Y201" s="6">
        <v>8952</v>
      </c>
      <c r="Z201" s="6">
        <v>8942</v>
      </c>
      <c r="AA201" s="6">
        <v>8944</v>
      </c>
      <c r="AB201" s="6">
        <v>8954</v>
      </c>
      <c r="AC201" s="6">
        <v>8965</v>
      </c>
      <c r="AD201" s="6">
        <v>8963</v>
      </c>
      <c r="AE201" s="6">
        <v>8951</v>
      </c>
      <c r="AF201" s="8">
        <f t="shared" si="555"/>
        <v>8933.6666666666661</v>
      </c>
      <c r="AG201" s="6">
        <f t="shared" si="511"/>
        <v>8947.3333333333339</v>
      </c>
      <c r="AJ201" s="3">
        <v>2009</v>
      </c>
      <c r="AK201" s="9">
        <f t="shared" si="498"/>
        <v>4.5230458674442078</v>
      </c>
      <c r="AL201" s="9">
        <f t="shared" si="535"/>
        <v>3.7007274762171236</v>
      </c>
      <c r="AM201" s="9">
        <f t="shared" si="536"/>
        <v>4.2792178770949718</v>
      </c>
      <c r="AN201" s="9">
        <f t="shared" si="537"/>
        <v>3.9089690606500613</v>
      </c>
      <c r="AO201" s="9">
        <f t="shared" si="538"/>
        <v>4.0518899575039145</v>
      </c>
      <c r="AP201" s="9">
        <f t="shared" si="539"/>
        <v>4.5428954423592494</v>
      </c>
      <c r="AQ201" s="11">
        <f t="shared" si="546"/>
        <v>5.1747931111608141</v>
      </c>
      <c r="AR201" s="11">
        <f t="shared" si="547"/>
        <v>4.863148479427549</v>
      </c>
      <c r="AS201" s="11">
        <f t="shared" si="548"/>
        <v>4.9652669198123744</v>
      </c>
      <c r="AT201" s="11">
        <f t="shared" si="549"/>
        <v>4.5898494143892918</v>
      </c>
      <c r="AU201" s="11">
        <f t="shared" si="550"/>
        <v>3.7033359366283611</v>
      </c>
      <c r="AV201" s="11">
        <f t="shared" si="551"/>
        <v>4.0112836554574907</v>
      </c>
      <c r="AW201" s="90">
        <f t="shared" si="523"/>
        <v>0.14322908473140425</v>
      </c>
    </row>
    <row r="202" spans="1:49" x14ac:dyDescent="0.25">
      <c r="A202" s="3">
        <v>2008</v>
      </c>
      <c r="B202" s="66">
        <v>40874</v>
      </c>
      <c r="C202" s="66">
        <v>35203</v>
      </c>
      <c r="D202" s="66">
        <v>35730</v>
      </c>
      <c r="E202" s="66">
        <v>37066</v>
      </c>
      <c r="F202" s="66">
        <v>34880</v>
      </c>
      <c r="G202" s="66">
        <v>40486</v>
      </c>
      <c r="H202" s="66">
        <v>39740</v>
      </c>
      <c r="I202" s="66">
        <v>45947</v>
      </c>
      <c r="J202" s="66">
        <v>40807</v>
      </c>
      <c r="K202" s="66">
        <v>37420</v>
      </c>
      <c r="L202" s="66">
        <v>34693</v>
      </c>
      <c r="M202" s="66">
        <v>39475</v>
      </c>
      <c r="N202" s="67">
        <f t="shared" si="553"/>
        <v>509541.32</v>
      </c>
      <c r="O202" s="115">
        <f t="shared" si="552"/>
        <v>462321</v>
      </c>
      <c r="P202" s="47"/>
      <c r="Q202" s="117"/>
      <c r="R202" s="151"/>
      <c r="S202" s="3">
        <v>2008</v>
      </c>
      <c r="T202" s="6">
        <v>8866</v>
      </c>
      <c r="U202" s="6">
        <v>8877</v>
      </c>
      <c r="V202" s="6">
        <v>8917</v>
      </c>
      <c r="W202" s="6">
        <v>8914</v>
      </c>
      <c r="X202" s="6">
        <v>8913</v>
      </c>
      <c r="Y202" s="6">
        <v>8922</v>
      </c>
      <c r="Z202" s="6">
        <v>8925</v>
      </c>
      <c r="AA202" s="6">
        <v>8938</v>
      </c>
      <c r="AB202" s="6">
        <v>8931</v>
      </c>
      <c r="AC202" s="6">
        <v>8931</v>
      </c>
      <c r="AD202" s="6">
        <v>8912</v>
      </c>
      <c r="AE202" s="6">
        <v>8918</v>
      </c>
      <c r="AF202" s="8">
        <f t="shared" si="555"/>
        <v>8880.25</v>
      </c>
      <c r="AG202" s="6">
        <f t="shared" si="511"/>
        <v>8913.6666666666661</v>
      </c>
      <c r="AJ202" s="3">
        <v>2008</v>
      </c>
      <c r="AK202" s="9">
        <f t="shared" si="498"/>
        <v>4.610196255357546</v>
      </c>
      <c r="AL202" s="9">
        <f t="shared" si="535"/>
        <v>3.9656415455671961</v>
      </c>
      <c r="AM202" s="9">
        <f t="shared" si="536"/>
        <v>4.0069530111023886</v>
      </c>
      <c r="AN202" s="9">
        <f t="shared" si="537"/>
        <v>4.1581781467354721</v>
      </c>
      <c r="AO202" s="9">
        <f t="shared" si="538"/>
        <v>3.9133849433411871</v>
      </c>
      <c r="AP202" s="9">
        <f t="shared" si="539"/>
        <v>4.5377718000448333</v>
      </c>
      <c r="AQ202" s="11">
        <f t="shared" si="546"/>
        <v>4.4526610644257705</v>
      </c>
      <c r="AR202" s="11">
        <f t="shared" si="547"/>
        <v>5.1406354889236967</v>
      </c>
      <c r="AS202" s="11">
        <f t="shared" si="548"/>
        <v>4.5691411935953417</v>
      </c>
      <c r="AT202" s="11">
        <f t="shared" si="549"/>
        <v>4.1899003471055876</v>
      </c>
      <c r="AU202" s="11">
        <f t="shared" si="550"/>
        <v>3.8928411131059244</v>
      </c>
      <c r="AV202" s="11">
        <f t="shared" si="551"/>
        <v>4.4264409060327425</v>
      </c>
      <c r="AW202" s="90">
        <f t="shared" si="523"/>
        <v>0.14199519730414153</v>
      </c>
    </row>
    <row r="203" spans="1:49" x14ac:dyDescent="0.25">
      <c r="A203" s="3">
        <v>2007</v>
      </c>
      <c r="B203" s="66"/>
      <c r="C203" s="66"/>
      <c r="D203" s="66"/>
      <c r="E203" s="66"/>
      <c r="F203" s="66"/>
      <c r="G203" s="66"/>
      <c r="H203" s="66">
        <v>47147.25</v>
      </c>
      <c r="I203" s="66">
        <v>58801.560000000005</v>
      </c>
      <c r="J203" s="66">
        <v>54807.91</v>
      </c>
      <c r="K203" s="66">
        <v>49035.810000000005</v>
      </c>
      <c r="L203" s="66">
        <v>41404.07</v>
      </c>
      <c r="M203" s="66">
        <v>34105.72</v>
      </c>
      <c r="N203" s="67">
        <f t="shared" si="553"/>
        <v>0</v>
      </c>
      <c r="O203" s="115">
        <f t="shared" si="552"/>
        <v>285302.32</v>
      </c>
      <c r="P203" s="47"/>
      <c r="Q203" s="117"/>
      <c r="R203" s="151"/>
      <c r="S203" s="3">
        <v>2007</v>
      </c>
      <c r="T203" s="6">
        <v>8906</v>
      </c>
      <c r="U203" s="6">
        <v>8891</v>
      </c>
      <c r="V203" s="6">
        <v>8905</v>
      </c>
      <c r="W203" s="6">
        <v>8925</v>
      </c>
      <c r="X203" s="6">
        <v>8917</v>
      </c>
      <c r="Y203" s="6">
        <v>8906</v>
      </c>
      <c r="Z203" s="6">
        <v>8894</v>
      </c>
      <c r="AA203" s="6">
        <v>8869</v>
      </c>
      <c r="AB203" s="6">
        <v>8868</v>
      </c>
      <c r="AC203" s="6">
        <v>8847</v>
      </c>
      <c r="AD203" s="6">
        <v>8834</v>
      </c>
      <c r="AE203" s="6">
        <v>8842</v>
      </c>
      <c r="AG203" s="6">
        <f t="shared" si="511"/>
        <v>8883.6666666666661</v>
      </c>
      <c r="AJ203" s="3">
        <v>2007</v>
      </c>
      <c r="AK203" s="9">
        <f t="shared" si="498"/>
        <v>0</v>
      </c>
      <c r="AL203" s="9">
        <f t="shared" si="535"/>
        <v>0</v>
      </c>
      <c r="AM203" s="9">
        <f t="shared" si="536"/>
        <v>0</v>
      </c>
      <c r="AN203" s="9">
        <f t="shared" si="537"/>
        <v>0</v>
      </c>
      <c r="AO203" s="9">
        <f t="shared" si="538"/>
        <v>0</v>
      </c>
      <c r="AP203" s="9">
        <f t="shared" si="539"/>
        <v>0</v>
      </c>
      <c r="AQ203" s="11">
        <f t="shared" si="546"/>
        <v>5.3010175399145494</v>
      </c>
      <c r="AR203" s="11">
        <f t="shared" si="547"/>
        <v>6.6300101477054918</v>
      </c>
      <c r="AS203" s="11">
        <f t="shared" si="548"/>
        <v>6.1804138475417236</v>
      </c>
      <c r="AT203" s="11">
        <f t="shared" si="549"/>
        <v>5.5426483553747037</v>
      </c>
      <c r="AU203" s="11">
        <f t="shared" si="550"/>
        <v>4.6868994792845822</v>
      </c>
      <c r="AV203" s="11">
        <f t="shared" si="551"/>
        <v>3.8572404433386112</v>
      </c>
      <c r="AW203" s="90">
        <f t="shared" si="523"/>
        <v>8.8153948838219476E-2</v>
      </c>
    </row>
    <row r="204" spans="1:49" ht="15.75" thickBot="1" x14ac:dyDescent="0.3">
      <c r="N204" s="118"/>
      <c r="O204" s="118"/>
      <c r="AW204" s="73"/>
    </row>
    <row r="205" spans="1:49" ht="15.75" thickTop="1" x14ac:dyDescent="0.25"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97">
        <f>SUM(N187:N191)/5</f>
        <v>427558.72960000002</v>
      </c>
      <c r="O205" s="97">
        <f>SUM(O187:O191)/5</f>
        <v>428551.23859999998</v>
      </c>
      <c r="P205" s="50"/>
      <c r="Q205" s="120"/>
      <c r="R205" s="153"/>
      <c r="AV205" s="3" t="s">
        <v>47</v>
      </c>
      <c r="AW205" s="92">
        <f>SUM(AW187:AW191)/5</f>
        <v>0.12929075171661103</v>
      </c>
    </row>
    <row r="206" spans="1:49" x14ac:dyDescent="0.25">
      <c r="A206" s="64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97"/>
      <c r="O206" s="97"/>
      <c r="P206" s="50"/>
      <c r="Q206" s="120"/>
      <c r="R206" s="153"/>
      <c r="AV206" s="63" t="s">
        <v>89</v>
      </c>
      <c r="AW206" s="93">
        <f>SUM(AW188:AW192)/5</f>
        <v>0.12941813380825787</v>
      </c>
    </row>
    <row r="207" spans="1:49" x14ac:dyDescent="0.25"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97"/>
      <c r="O207" s="97"/>
      <c r="P207" s="50"/>
      <c r="Q207" s="120"/>
      <c r="R207" s="153"/>
      <c r="AV207" s="3" t="s">
        <v>48</v>
      </c>
      <c r="AW207" s="92">
        <f>SUM(AW187:AW195)/10</f>
        <v>0.11771330884842501</v>
      </c>
    </row>
    <row r="209" spans="1:49" ht="75" x14ac:dyDescent="0.25">
      <c r="A209" s="165" t="s">
        <v>67</v>
      </c>
      <c r="B209" s="111" t="s">
        <v>0</v>
      </c>
      <c r="C209" s="111" t="s">
        <v>1</v>
      </c>
      <c r="D209" s="111" t="s">
        <v>2</v>
      </c>
      <c r="E209" s="111" t="s">
        <v>3</v>
      </c>
      <c r="F209" s="111" t="s">
        <v>4</v>
      </c>
      <c r="G209" s="111" t="s">
        <v>5</v>
      </c>
      <c r="H209" s="111" t="s">
        <v>6</v>
      </c>
      <c r="I209" s="111" t="s">
        <v>7</v>
      </c>
      <c r="J209" s="111" t="s">
        <v>8</v>
      </c>
      <c r="K209" s="111" t="s">
        <v>9</v>
      </c>
      <c r="L209" s="111" t="s">
        <v>10</v>
      </c>
      <c r="M209" s="111" t="s">
        <v>11</v>
      </c>
      <c r="N209" s="112" t="s">
        <v>78</v>
      </c>
      <c r="O209" s="112" t="s">
        <v>77</v>
      </c>
      <c r="P209" s="139" t="s">
        <v>162</v>
      </c>
      <c r="Q209" s="140" t="s">
        <v>72</v>
      </c>
      <c r="R209" s="148"/>
      <c r="S209" s="165" t="s">
        <v>143</v>
      </c>
      <c r="T209" s="5" t="s">
        <v>0</v>
      </c>
      <c r="U209" s="5" t="s">
        <v>1</v>
      </c>
      <c r="V209" s="5" t="s">
        <v>2</v>
      </c>
      <c r="W209" s="5" t="s">
        <v>3</v>
      </c>
      <c r="X209" s="5" t="s">
        <v>4</v>
      </c>
      <c r="Y209" s="5" t="s">
        <v>5</v>
      </c>
      <c r="Z209" s="5" t="s">
        <v>6</v>
      </c>
      <c r="AA209" s="5" t="s">
        <v>7</v>
      </c>
      <c r="AB209" s="5" t="s">
        <v>8</v>
      </c>
      <c r="AC209" s="5" t="s">
        <v>9</v>
      </c>
      <c r="AD209" s="5" t="s">
        <v>10</v>
      </c>
      <c r="AE209" s="5" t="s">
        <v>11</v>
      </c>
      <c r="AF209" s="30" t="s">
        <v>164</v>
      </c>
      <c r="AG209" s="30" t="s">
        <v>167</v>
      </c>
      <c r="AJ209" s="165" t="s">
        <v>58</v>
      </c>
      <c r="AK209" s="5" t="s">
        <v>0</v>
      </c>
      <c r="AL209" s="5" t="s">
        <v>1</v>
      </c>
      <c r="AM209" s="5" t="s">
        <v>2</v>
      </c>
      <c r="AN209" s="5" t="s">
        <v>3</v>
      </c>
      <c r="AO209" s="5" t="s">
        <v>4</v>
      </c>
      <c r="AP209" s="5" t="s">
        <v>5</v>
      </c>
      <c r="AQ209" s="5" t="s">
        <v>6</v>
      </c>
      <c r="AR209" s="5" t="s">
        <v>7</v>
      </c>
      <c r="AS209" s="5" t="s">
        <v>8</v>
      </c>
      <c r="AT209" s="5" t="s">
        <v>9</v>
      </c>
      <c r="AU209" s="5" t="s">
        <v>10</v>
      </c>
      <c r="AV209" s="5" t="s">
        <v>11</v>
      </c>
      <c r="AW209" s="5" t="s">
        <v>49</v>
      </c>
    </row>
    <row r="210" spans="1:49" x14ac:dyDescent="0.25">
      <c r="A210" s="77">
        <v>2023</v>
      </c>
      <c r="B210" s="145">
        <v>0</v>
      </c>
      <c r="C210" s="145">
        <v>0</v>
      </c>
      <c r="D210" s="145">
        <v>0</v>
      </c>
      <c r="E210" s="145">
        <v>0</v>
      </c>
      <c r="F210" s="145">
        <v>0</v>
      </c>
      <c r="G210" s="145">
        <v>0</v>
      </c>
      <c r="H210" s="145">
        <v>0</v>
      </c>
      <c r="I210" s="145">
        <v>0</v>
      </c>
      <c r="J210" s="145">
        <v>0</v>
      </c>
      <c r="K210" s="145">
        <v>0</v>
      </c>
      <c r="L210" s="145">
        <v>0</v>
      </c>
      <c r="M210" s="145">
        <v>0</v>
      </c>
      <c r="N210" s="67">
        <f t="shared" ref="N210:N215" si="556">SUM(B210:G210)+SUM(H211:M211)</f>
        <v>0</v>
      </c>
      <c r="O210" s="115">
        <f t="shared" ref="O210:O213" si="557">SUM(B210:M210)</f>
        <v>0</v>
      </c>
      <c r="P210" s="136">
        <v>0</v>
      </c>
      <c r="Q210" s="138">
        <f t="shared" ref="Q210:Q215" si="558">P210/5</f>
        <v>0</v>
      </c>
      <c r="R210" s="148"/>
      <c r="S210" s="77">
        <v>2023</v>
      </c>
      <c r="T210" s="34">
        <v>0</v>
      </c>
      <c r="U210" s="34">
        <v>0</v>
      </c>
      <c r="V210" s="34">
        <v>0</v>
      </c>
      <c r="W210" s="34">
        <v>0</v>
      </c>
      <c r="X210" s="34">
        <v>0</v>
      </c>
      <c r="Y210" s="34">
        <v>0</v>
      </c>
      <c r="Z210" s="34">
        <v>0</v>
      </c>
      <c r="AA210" s="34">
        <v>0</v>
      </c>
      <c r="AB210" s="34">
        <v>0</v>
      </c>
      <c r="AC210" s="34">
        <v>0</v>
      </c>
      <c r="AD210" s="34">
        <v>0</v>
      </c>
      <c r="AE210" s="34">
        <v>0</v>
      </c>
      <c r="AF210" s="30"/>
      <c r="AG210" s="6">
        <v>0</v>
      </c>
      <c r="AJ210" s="77">
        <v>2023</v>
      </c>
      <c r="AK210" s="171">
        <v>0</v>
      </c>
      <c r="AL210" s="171">
        <v>0</v>
      </c>
      <c r="AM210" s="171">
        <v>0</v>
      </c>
      <c r="AN210" s="171">
        <v>0</v>
      </c>
      <c r="AO210" s="171">
        <v>0</v>
      </c>
      <c r="AP210" s="171">
        <v>0</v>
      </c>
      <c r="AQ210" s="171">
        <v>0</v>
      </c>
      <c r="AR210" s="171">
        <v>0</v>
      </c>
      <c r="AS210" s="171">
        <v>0</v>
      </c>
      <c r="AT210" s="171">
        <v>0</v>
      </c>
      <c r="AU210" s="171">
        <v>0</v>
      </c>
      <c r="AV210" s="171">
        <v>0</v>
      </c>
      <c r="AW210" s="90">
        <f>(SUM(AK210:AP210)+SUM(AQ210:AV210))/365.25</f>
        <v>0</v>
      </c>
    </row>
    <row r="211" spans="1:49" x14ac:dyDescent="0.25">
      <c r="A211" s="61">
        <v>2022</v>
      </c>
      <c r="B211" s="145">
        <v>0</v>
      </c>
      <c r="C211" s="145">
        <v>0</v>
      </c>
      <c r="D211" s="145">
        <v>0</v>
      </c>
      <c r="E211" s="145">
        <v>0</v>
      </c>
      <c r="F211" s="145">
        <v>0</v>
      </c>
      <c r="G211" s="145">
        <v>0</v>
      </c>
      <c r="H211" s="145">
        <v>0</v>
      </c>
      <c r="I211" s="145">
        <v>0</v>
      </c>
      <c r="J211" s="145">
        <v>0</v>
      </c>
      <c r="K211" s="145">
        <v>0</v>
      </c>
      <c r="L211" s="145">
        <v>0</v>
      </c>
      <c r="M211" s="145">
        <v>0</v>
      </c>
      <c r="N211" s="67">
        <f t="shared" si="556"/>
        <v>0</v>
      </c>
      <c r="O211" s="115">
        <f t="shared" si="557"/>
        <v>0</v>
      </c>
      <c r="P211" s="136">
        <v>0</v>
      </c>
      <c r="Q211" s="138">
        <f t="shared" si="558"/>
        <v>0</v>
      </c>
      <c r="R211" s="148"/>
      <c r="S211" s="61">
        <v>2022</v>
      </c>
      <c r="T211" s="34">
        <v>0</v>
      </c>
      <c r="U211" s="34">
        <v>0</v>
      </c>
      <c r="V211" s="34">
        <v>0</v>
      </c>
      <c r="W211" s="34">
        <v>0</v>
      </c>
      <c r="X211" s="34">
        <v>0</v>
      </c>
      <c r="Y211" s="34">
        <v>0</v>
      </c>
      <c r="Z211" s="34">
        <v>0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0"/>
      <c r="AG211" s="6">
        <v>0</v>
      </c>
      <c r="AJ211" s="61">
        <v>2022</v>
      </c>
      <c r="AK211" s="171">
        <v>0</v>
      </c>
      <c r="AL211" s="171">
        <v>0</v>
      </c>
      <c r="AM211" s="171">
        <v>0</v>
      </c>
      <c r="AN211" s="171">
        <v>0</v>
      </c>
      <c r="AO211" s="171">
        <v>0</v>
      </c>
      <c r="AP211" s="171">
        <v>0</v>
      </c>
      <c r="AQ211" s="171">
        <v>0</v>
      </c>
      <c r="AR211" s="171">
        <v>0</v>
      </c>
      <c r="AS211" s="171">
        <v>0</v>
      </c>
      <c r="AT211" s="171">
        <v>0</v>
      </c>
      <c r="AU211" s="171">
        <v>0</v>
      </c>
      <c r="AV211" s="171">
        <v>0</v>
      </c>
      <c r="AW211" s="90">
        <f>(SUM(AK211:AP211)+SUM(AQ211:AV211))/365.25</f>
        <v>0</v>
      </c>
    </row>
    <row r="212" spans="1:49" x14ac:dyDescent="0.25">
      <c r="A212" s="61">
        <v>2021</v>
      </c>
      <c r="B212" s="145">
        <v>0</v>
      </c>
      <c r="C212" s="145">
        <v>0</v>
      </c>
      <c r="D212" s="145">
        <v>0</v>
      </c>
      <c r="E212" s="145">
        <v>0</v>
      </c>
      <c r="F212" s="145">
        <v>0</v>
      </c>
      <c r="G212" s="145">
        <v>0</v>
      </c>
      <c r="H212" s="145">
        <v>0</v>
      </c>
      <c r="I212" s="145">
        <v>0</v>
      </c>
      <c r="J212" s="145">
        <v>0</v>
      </c>
      <c r="K212" s="145">
        <v>0</v>
      </c>
      <c r="L212" s="145">
        <v>0</v>
      </c>
      <c r="M212" s="145">
        <v>0</v>
      </c>
      <c r="N212" s="67">
        <f t="shared" si="556"/>
        <v>2768.3999999999996</v>
      </c>
      <c r="O212" s="115">
        <f t="shared" si="557"/>
        <v>0</v>
      </c>
      <c r="P212" s="136">
        <v>0</v>
      </c>
      <c r="Q212" s="138">
        <f t="shared" si="558"/>
        <v>0</v>
      </c>
      <c r="R212" s="148"/>
      <c r="S212" s="61">
        <v>2021</v>
      </c>
      <c r="T212" s="34">
        <v>0</v>
      </c>
      <c r="U212" s="34">
        <v>0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0</v>
      </c>
      <c r="AB212" s="34">
        <v>0</v>
      </c>
      <c r="AC212" s="34">
        <v>0</v>
      </c>
      <c r="AD212" s="34">
        <v>0</v>
      </c>
      <c r="AE212" s="34">
        <v>0</v>
      </c>
      <c r="AF212" s="88">
        <f t="shared" ref="AF212:AF215" si="559">(SUM(T212:Y212)+SUM(Z213:AE213))/12</f>
        <v>63.916666666666664</v>
      </c>
      <c r="AG212" s="6">
        <v>0</v>
      </c>
      <c r="AJ212" s="61">
        <v>2021</v>
      </c>
      <c r="AK212" s="171">
        <v>0</v>
      </c>
      <c r="AL212" s="171">
        <v>0</v>
      </c>
      <c r="AM212" s="171">
        <v>0</v>
      </c>
      <c r="AN212" s="171">
        <v>0</v>
      </c>
      <c r="AO212" s="171">
        <v>0</v>
      </c>
      <c r="AP212" s="171">
        <v>0</v>
      </c>
      <c r="AQ212" s="171">
        <v>0</v>
      </c>
      <c r="AR212" s="171">
        <v>0</v>
      </c>
      <c r="AS212" s="171">
        <v>0</v>
      </c>
      <c r="AT212" s="171">
        <v>0</v>
      </c>
      <c r="AU212" s="171">
        <v>0</v>
      </c>
      <c r="AV212" s="171">
        <v>0</v>
      </c>
      <c r="AW212" s="90">
        <f>(SUM(AK212:AP212)+SUM(AQ212:AV212))/365.25</f>
        <v>0</v>
      </c>
    </row>
    <row r="213" spans="1:49" x14ac:dyDescent="0.25">
      <c r="A213" s="61">
        <v>2020</v>
      </c>
      <c r="B213" s="190">
        <v>320.5</v>
      </c>
      <c r="C213" s="190">
        <v>295.60000000000002</v>
      </c>
      <c r="D213" s="190">
        <v>286.2</v>
      </c>
      <c r="E213" s="190">
        <v>373.2</v>
      </c>
      <c r="F213" s="190">
        <v>482.6</v>
      </c>
      <c r="G213" s="190">
        <v>392.15</v>
      </c>
      <c r="H213" s="190">
        <v>501.8</v>
      </c>
      <c r="I213" s="190">
        <v>585.79999999999995</v>
      </c>
      <c r="J213" s="190">
        <v>448.3</v>
      </c>
      <c r="K213" s="190">
        <v>453</v>
      </c>
      <c r="L213" s="190">
        <v>447.4</v>
      </c>
      <c r="M213" s="190">
        <v>332.1</v>
      </c>
      <c r="N213" s="67">
        <f t="shared" si="556"/>
        <v>4562.8500000000004</v>
      </c>
      <c r="O213" s="115">
        <f t="shared" si="557"/>
        <v>4918.6500000000005</v>
      </c>
      <c r="P213" s="136">
        <f>SUM(O213:O217)</f>
        <v>24804.649999999998</v>
      </c>
      <c r="Q213" s="138">
        <f t="shared" si="558"/>
        <v>4960.9299999999994</v>
      </c>
      <c r="R213" s="148"/>
      <c r="S213" s="61">
        <v>2020</v>
      </c>
      <c r="T213" s="190">
        <v>120</v>
      </c>
      <c r="U213" s="190">
        <v>121</v>
      </c>
      <c r="V213" s="190">
        <v>123</v>
      </c>
      <c r="W213" s="190">
        <v>125</v>
      </c>
      <c r="X213" s="190">
        <v>129</v>
      </c>
      <c r="Y213" s="190">
        <v>129</v>
      </c>
      <c r="Z213" s="190">
        <v>129</v>
      </c>
      <c r="AA213" s="190">
        <v>128</v>
      </c>
      <c r="AB213" s="190">
        <v>127</v>
      </c>
      <c r="AC213" s="190">
        <v>127</v>
      </c>
      <c r="AD213" s="190">
        <v>129</v>
      </c>
      <c r="AE213" s="190">
        <v>127</v>
      </c>
      <c r="AF213" s="88">
        <f t="shared" si="559"/>
        <v>122.16666666666667</v>
      </c>
      <c r="AG213" s="6">
        <f t="shared" ref="AG213:AG221" si="560">SUM(T213:AE213)/12</f>
        <v>126.16666666666667</v>
      </c>
      <c r="AJ213" s="61">
        <v>2020</v>
      </c>
      <c r="AK213" s="9">
        <f t="shared" ref="AK213:AK221" si="561">B213/T213</f>
        <v>2.6708333333333334</v>
      </c>
      <c r="AL213" s="9">
        <f t="shared" ref="AL213:AL221" si="562">C213/U213</f>
        <v>2.4429752066115706</v>
      </c>
      <c r="AM213" s="79">
        <f t="shared" ref="AM213:AM221" si="563">D213/V213</f>
        <v>2.3268292682926828</v>
      </c>
      <c r="AN213" s="79">
        <f t="shared" ref="AN213:AN221" si="564">E213/W213</f>
        <v>2.9855999999999998</v>
      </c>
      <c r="AO213" s="79">
        <f t="shared" ref="AO213:AO221" si="565">F213/X213</f>
        <v>3.7410852713178295</v>
      </c>
      <c r="AP213" s="79">
        <f t="shared" ref="AP213:AP221" si="566">G213/Y213</f>
        <v>3.039922480620155</v>
      </c>
      <c r="AQ213" s="79">
        <f t="shared" ref="AQ213" si="567">H213/Z213</f>
        <v>3.8899224806201551</v>
      </c>
      <c r="AR213" s="79">
        <f t="shared" ref="AR213" si="568">I213/AA213</f>
        <v>4.5765624999999996</v>
      </c>
      <c r="AS213" s="79">
        <f t="shared" ref="AS213" si="569">J213/AB213</f>
        <v>3.5299212598425198</v>
      </c>
      <c r="AT213" s="79">
        <f t="shared" ref="AT213" si="570">K213/AC213</f>
        <v>3.5669291338582676</v>
      </c>
      <c r="AU213" s="79">
        <f t="shared" ref="AU213" si="571">L213/AD213</f>
        <v>3.4682170542635657</v>
      </c>
      <c r="AV213" s="79">
        <f t="shared" ref="AV213" si="572">M213/AE213</f>
        <v>2.61496062992126</v>
      </c>
      <c r="AW213" s="90">
        <f>(SUM(AK213:AP213)+SUM(AQ213:AV213))/365.25</f>
        <v>0.10637579361719737</v>
      </c>
    </row>
    <row r="214" spans="1:49" x14ac:dyDescent="0.25">
      <c r="A214" s="61">
        <v>2019</v>
      </c>
      <c r="B214" s="125">
        <v>393.1</v>
      </c>
      <c r="C214" s="125">
        <v>385.3</v>
      </c>
      <c r="D214" s="125">
        <v>365.9</v>
      </c>
      <c r="E214" s="125">
        <v>350.9</v>
      </c>
      <c r="F214" s="125">
        <v>347.8</v>
      </c>
      <c r="G214" s="125">
        <v>404.8</v>
      </c>
      <c r="H214" s="190">
        <v>381.3</v>
      </c>
      <c r="I214" s="190">
        <v>458.4</v>
      </c>
      <c r="J214" s="190">
        <v>477.4</v>
      </c>
      <c r="K214" s="190">
        <v>433.3</v>
      </c>
      <c r="L214" s="190">
        <v>333.9</v>
      </c>
      <c r="M214" s="190">
        <v>328.3</v>
      </c>
      <c r="N214" s="67">
        <f t="shared" si="556"/>
        <v>5037.5</v>
      </c>
      <c r="O214" s="115">
        <f>SUM(B214:M214)</f>
        <v>4660.4000000000005</v>
      </c>
      <c r="P214" s="136">
        <f t="shared" ref="P214:P215" si="573">SUM(N214:N218)</f>
        <v>25192.9</v>
      </c>
      <c r="Q214" s="138">
        <f t="shared" si="558"/>
        <v>5038.58</v>
      </c>
      <c r="R214" s="108"/>
      <c r="S214" s="61">
        <v>2019</v>
      </c>
      <c r="T214" s="35">
        <v>116</v>
      </c>
      <c r="U214" s="35">
        <v>118</v>
      </c>
      <c r="V214" s="35">
        <v>119</v>
      </c>
      <c r="W214" s="35">
        <v>119</v>
      </c>
      <c r="X214" s="35">
        <v>121</v>
      </c>
      <c r="Y214" s="35">
        <v>119</v>
      </c>
      <c r="Z214" s="35">
        <v>119</v>
      </c>
      <c r="AA214" s="35">
        <v>120</v>
      </c>
      <c r="AB214" s="35">
        <v>121</v>
      </c>
      <c r="AC214" s="35">
        <v>121</v>
      </c>
      <c r="AD214" s="35">
        <v>118</v>
      </c>
      <c r="AE214" s="35">
        <v>120</v>
      </c>
      <c r="AF214" s="8">
        <f t="shared" si="559"/>
        <v>118.25</v>
      </c>
      <c r="AG214" s="6">
        <f t="shared" si="560"/>
        <v>119.25</v>
      </c>
      <c r="AJ214" s="61">
        <v>2019</v>
      </c>
      <c r="AK214" s="9">
        <f t="shared" si="561"/>
        <v>3.3887931034482759</v>
      </c>
      <c r="AL214" s="9">
        <f t="shared" si="562"/>
        <v>3.2652542372881359</v>
      </c>
      <c r="AM214" s="9">
        <f t="shared" si="563"/>
        <v>3.0747899159663863</v>
      </c>
      <c r="AN214" s="9">
        <f t="shared" si="564"/>
        <v>2.9487394957983191</v>
      </c>
      <c r="AO214" s="9">
        <f t="shared" si="565"/>
        <v>2.8743801652892564</v>
      </c>
      <c r="AP214" s="9">
        <f t="shared" si="566"/>
        <v>3.4016806722689075</v>
      </c>
      <c r="AQ214" s="9">
        <f t="shared" ref="AQ214:AV221" si="574">H214/Z214</f>
        <v>3.2042016806722691</v>
      </c>
      <c r="AR214" s="9">
        <f t="shared" si="574"/>
        <v>3.82</v>
      </c>
      <c r="AS214" s="9">
        <f t="shared" si="574"/>
        <v>3.9454545454545453</v>
      </c>
      <c r="AT214" s="9">
        <f t="shared" si="574"/>
        <v>3.5809917355371903</v>
      </c>
      <c r="AU214" s="9">
        <f t="shared" si="574"/>
        <v>2.8296610169491525</v>
      </c>
      <c r="AV214" s="9">
        <f t="shared" si="574"/>
        <v>2.7358333333333333</v>
      </c>
      <c r="AW214" s="90">
        <f t="shared" ref="AW214:AW222" si="575">(SUM(AK214:AP214)+SUM(AQ214:AV214))/365.25</f>
        <v>0.10696722765778445</v>
      </c>
    </row>
    <row r="215" spans="1:49" x14ac:dyDescent="0.25">
      <c r="A215" s="61">
        <v>2018</v>
      </c>
      <c r="B215" s="116">
        <v>529.6</v>
      </c>
      <c r="C215" s="116">
        <v>559</v>
      </c>
      <c r="D215" s="116">
        <v>349.5</v>
      </c>
      <c r="E215" s="116">
        <v>372.1</v>
      </c>
      <c r="F215" s="116">
        <v>331.6</v>
      </c>
      <c r="G215" s="116">
        <v>414.4</v>
      </c>
      <c r="H215" s="116">
        <v>557.9</v>
      </c>
      <c r="I215" s="116">
        <v>509.5</v>
      </c>
      <c r="J215" s="116">
        <v>483.3</v>
      </c>
      <c r="K215" s="116">
        <v>416.7</v>
      </c>
      <c r="L215" s="116">
        <v>407.4</v>
      </c>
      <c r="M215" s="116">
        <v>414.9</v>
      </c>
      <c r="N215" s="67">
        <f t="shared" si="556"/>
        <v>5393.2000000000007</v>
      </c>
      <c r="O215" s="115">
        <f t="shared" ref="O215:O221" si="576">SUM(B215:M215)</f>
        <v>5345.8999999999987</v>
      </c>
      <c r="P215" s="136">
        <f t="shared" si="573"/>
        <v>25255.9</v>
      </c>
      <c r="Q215" s="138">
        <f t="shared" si="558"/>
        <v>5051.18</v>
      </c>
      <c r="R215" s="148"/>
      <c r="S215" s="61">
        <v>2018</v>
      </c>
      <c r="T215" s="35">
        <v>122</v>
      </c>
      <c r="U215" s="35">
        <v>122</v>
      </c>
      <c r="V215" s="35">
        <v>120</v>
      </c>
      <c r="W215" s="35">
        <v>119</v>
      </c>
      <c r="X215" s="35">
        <v>119</v>
      </c>
      <c r="Y215" s="35">
        <v>120</v>
      </c>
      <c r="Z215" s="35">
        <v>122</v>
      </c>
      <c r="AA215" s="35">
        <v>119</v>
      </c>
      <c r="AB215" s="35">
        <v>117</v>
      </c>
      <c r="AC215" s="35">
        <v>117</v>
      </c>
      <c r="AD215" s="35">
        <v>116</v>
      </c>
      <c r="AE215" s="35">
        <v>116</v>
      </c>
      <c r="AF215" s="8">
        <f t="shared" si="559"/>
        <v>123.33333333333333</v>
      </c>
      <c r="AG215" s="6">
        <f t="shared" si="560"/>
        <v>119.08333333333333</v>
      </c>
      <c r="AJ215" s="61">
        <v>2018</v>
      </c>
      <c r="AK215" s="9">
        <f t="shared" si="561"/>
        <v>4.3409836065573773</v>
      </c>
      <c r="AL215" s="9">
        <f t="shared" si="562"/>
        <v>4.581967213114754</v>
      </c>
      <c r="AM215" s="9">
        <f t="shared" si="563"/>
        <v>2.9125000000000001</v>
      </c>
      <c r="AN215" s="9">
        <f t="shared" si="564"/>
        <v>3.126890756302521</v>
      </c>
      <c r="AO215" s="9">
        <f t="shared" si="565"/>
        <v>2.7865546218487398</v>
      </c>
      <c r="AP215" s="9">
        <f t="shared" si="566"/>
        <v>3.4533333333333331</v>
      </c>
      <c r="AQ215" s="9">
        <f t="shared" si="574"/>
        <v>4.5729508196721307</v>
      </c>
      <c r="AR215" s="9">
        <f t="shared" si="574"/>
        <v>4.2815126050420167</v>
      </c>
      <c r="AS215" s="9">
        <f t="shared" si="574"/>
        <v>4.1307692307692312</v>
      </c>
      <c r="AT215" s="9">
        <f t="shared" si="574"/>
        <v>3.5615384615384613</v>
      </c>
      <c r="AU215" s="9">
        <f t="shared" si="574"/>
        <v>3.512068965517241</v>
      </c>
      <c r="AV215" s="9">
        <f t="shared" si="574"/>
        <v>3.5767241379310342</v>
      </c>
      <c r="AW215" s="90">
        <f t="shared" si="575"/>
        <v>0.12275918891615836</v>
      </c>
    </row>
    <row r="216" spans="1:49" x14ac:dyDescent="0.25">
      <c r="A216" s="3">
        <v>2017</v>
      </c>
      <c r="B216" s="66">
        <v>427.6</v>
      </c>
      <c r="C216" s="66">
        <v>346.7</v>
      </c>
      <c r="D216" s="66">
        <v>319.89999999999998</v>
      </c>
      <c r="E216" s="66">
        <v>369.3</v>
      </c>
      <c r="F216" s="66">
        <v>396.5</v>
      </c>
      <c r="G216" s="66">
        <v>400.9</v>
      </c>
      <c r="H216" s="116">
        <v>549.9</v>
      </c>
      <c r="I216" s="116">
        <v>503.3</v>
      </c>
      <c r="J216" s="116">
        <v>422.1</v>
      </c>
      <c r="K216" s="116">
        <v>384.4</v>
      </c>
      <c r="L216" s="116">
        <v>395.8</v>
      </c>
      <c r="M216" s="116">
        <v>581.5</v>
      </c>
      <c r="N216" s="67">
        <f>SUM(B216:G216)+SUM(H217:M217)</f>
        <v>4825</v>
      </c>
      <c r="O216" s="115">
        <f t="shared" si="576"/>
        <v>5097.8999999999996</v>
      </c>
      <c r="P216" s="136">
        <f>SUM(N216:N220)</f>
        <v>24836.731649015997</v>
      </c>
      <c r="Q216" s="138">
        <f>P216/5</f>
        <v>4967.3463298031993</v>
      </c>
      <c r="R216" s="151"/>
      <c r="S216" s="3">
        <v>2017</v>
      </c>
      <c r="T216" s="6">
        <v>127</v>
      </c>
      <c r="U216" s="6">
        <v>127</v>
      </c>
      <c r="V216" s="6">
        <v>129</v>
      </c>
      <c r="W216" s="6">
        <v>130</v>
      </c>
      <c r="X216" s="6">
        <v>131</v>
      </c>
      <c r="Y216" s="6">
        <v>131</v>
      </c>
      <c r="Z216" s="6">
        <v>129</v>
      </c>
      <c r="AA216" s="6">
        <v>128</v>
      </c>
      <c r="AB216" s="6">
        <v>126</v>
      </c>
      <c r="AC216" s="6">
        <v>126</v>
      </c>
      <c r="AD216" s="6">
        <v>125</v>
      </c>
      <c r="AE216" s="6">
        <v>124</v>
      </c>
      <c r="AF216" s="8">
        <f>(SUM(T216:Y216)+SUM(Z217:AE217))/12</f>
        <v>129.33333333333334</v>
      </c>
      <c r="AG216" s="6">
        <f t="shared" si="560"/>
        <v>127.75</v>
      </c>
      <c r="AJ216" s="3">
        <v>2017</v>
      </c>
      <c r="AK216" s="9">
        <f t="shared" si="561"/>
        <v>3.3669291338582679</v>
      </c>
      <c r="AL216" s="9">
        <f t="shared" si="562"/>
        <v>2.7299212598425195</v>
      </c>
      <c r="AM216" s="9">
        <f t="shared" si="563"/>
        <v>2.47984496124031</v>
      </c>
      <c r="AN216" s="9">
        <f t="shared" si="564"/>
        <v>2.8407692307692307</v>
      </c>
      <c r="AO216" s="9">
        <f t="shared" si="565"/>
        <v>3.0267175572519083</v>
      </c>
      <c r="AP216" s="9">
        <f t="shared" si="566"/>
        <v>3.06030534351145</v>
      </c>
      <c r="AQ216" s="9">
        <f t="shared" si="574"/>
        <v>4.2627906976744185</v>
      </c>
      <c r="AR216" s="9">
        <f t="shared" si="574"/>
        <v>3.9320312500000001</v>
      </c>
      <c r="AS216" s="9">
        <f t="shared" si="574"/>
        <v>3.35</v>
      </c>
      <c r="AT216" s="9">
        <f t="shared" si="574"/>
        <v>3.0507936507936506</v>
      </c>
      <c r="AU216" s="9">
        <f t="shared" si="574"/>
        <v>3.1663999999999999</v>
      </c>
      <c r="AV216" s="9">
        <f t="shared" si="574"/>
        <v>4.689516129032258</v>
      </c>
      <c r="AW216" s="90">
        <f t="shared" si="575"/>
        <v>0.10939361865564411</v>
      </c>
    </row>
    <row r="217" spans="1:49" x14ac:dyDescent="0.25">
      <c r="A217" s="3">
        <v>2016</v>
      </c>
      <c r="B217" s="66">
        <v>411</v>
      </c>
      <c r="C217" s="66">
        <v>286.7</v>
      </c>
      <c r="D217" s="66">
        <v>318.7</v>
      </c>
      <c r="E217" s="66">
        <v>402.5</v>
      </c>
      <c r="F217" s="66">
        <v>387.7</v>
      </c>
      <c r="G217" s="66">
        <v>411.1</v>
      </c>
      <c r="H217" s="66">
        <v>552.1</v>
      </c>
      <c r="I217" s="66">
        <v>374.7</v>
      </c>
      <c r="J217" s="66">
        <v>458</v>
      </c>
      <c r="K217" s="66">
        <v>413.4</v>
      </c>
      <c r="L217" s="66">
        <v>379</v>
      </c>
      <c r="M217" s="66">
        <v>386.9</v>
      </c>
      <c r="N217" s="67">
        <f t="shared" ref="N217:N222" si="577">SUM(B217:G217)+SUM(H218:M218)</f>
        <v>4914.6000000000004</v>
      </c>
      <c r="O217" s="115">
        <f t="shared" si="576"/>
        <v>4781.7999999999993</v>
      </c>
      <c r="P217" s="136">
        <f>SUM(N217:N221)</f>
        <v>25383.16055083886</v>
      </c>
      <c r="Q217" s="138">
        <f t="shared" ref="Q217" si="578">P217/5</f>
        <v>5076.6321101677722</v>
      </c>
      <c r="R217" s="151"/>
      <c r="S217" s="3">
        <v>2016</v>
      </c>
      <c r="T217" s="6">
        <v>122</v>
      </c>
      <c r="U217" s="6">
        <v>120</v>
      </c>
      <c r="V217" s="6">
        <v>121</v>
      </c>
      <c r="W217" s="6">
        <v>123</v>
      </c>
      <c r="X217" s="6">
        <v>126</v>
      </c>
      <c r="Y217" s="6">
        <v>129</v>
      </c>
      <c r="Z217" s="6">
        <v>128</v>
      </c>
      <c r="AA217" s="6">
        <v>130</v>
      </c>
      <c r="AB217" s="6">
        <v>131</v>
      </c>
      <c r="AC217" s="6">
        <v>132</v>
      </c>
      <c r="AD217" s="6">
        <v>128</v>
      </c>
      <c r="AE217" s="6">
        <v>128</v>
      </c>
      <c r="AF217" s="8">
        <f t="shared" ref="AF217:AF219" si="579">(SUM(T217:Y217)+SUM(Z218:AE218))/12</f>
        <v>127</v>
      </c>
      <c r="AG217" s="6">
        <f t="shared" si="560"/>
        <v>126.5</v>
      </c>
      <c r="AJ217" s="3">
        <v>2016</v>
      </c>
      <c r="AK217" s="9">
        <f t="shared" si="561"/>
        <v>3.3688524590163933</v>
      </c>
      <c r="AL217" s="9">
        <f t="shared" si="562"/>
        <v>2.3891666666666667</v>
      </c>
      <c r="AM217" s="9">
        <f t="shared" si="563"/>
        <v>2.6338842975206611</v>
      </c>
      <c r="AN217" s="9">
        <f t="shared" si="564"/>
        <v>3.2723577235772359</v>
      </c>
      <c r="AO217" s="9">
        <f t="shared" si="565"/>
        <v>3.0769841269841267</v>
      </c>
      <c r="AP217" s="9">
        <f t="shared" si="566"/>
        <v>3.1868217054263566</v>
      </c>
      <c r="AQ217" s="9">
        <f t="shared" si="574"/>
        <v>4.3132812500000002</v>
      </c>
      <c r="AR217" s="9">
        <f t="shared" si="574"/>
        <v>2.882307692307692</v>
      </c>
      <c r="AS217" s="9">
        <f t="shared" si="574"/>
        <v>3.4961832061068701</v>
      </c>
      <c r="AT217" s="9">
        <f t="shared" si="574"/>
        <v>3.1318181818181818</v>
      </c>
      <c r="AU217" s="9">
        <f t="shared" si="574"/>
        <v>2.9609375</v>
      </c>
      <c r="AV217" s="9">
        <f t="shared" si="574"/>
        <v>3.0226562499999998</v>
      </c>
      <c r="AW217" s="90">
        <f t="shared" si="575"/>
        <v>0.10331348681567197</v>
      </c>
    </row>
    <row r="218" spans="1:49" x14ac:dyDescent="0.25">
      <c r="A218" s="3">
        <v>2015</v>
      </c>
      <c r="B218" s="66">
        <v>393.4</v>
      </c>
      <c r="C218" s="66">
        <v>406.7</v>
      </c>
      <c r="D218" s="66">
        <v>312.2</v>
      </c>
      <c r="E218" s="66">
        <v>385.9</v>
      </c>
      <c r="F218" s="66">
        <v>420.2</v>
      </c>
      <c r="G218" s="66">
        <v>371.3</v>
      </c>
      <c r="H218" s="66">
        <v>451.3</v>
      </c>
      <c r="I218" s="66">
        <v>491.9</v>
      </c>
      <c r="J218" s="66">
        <v>497.7</v>
      </c>
      <c r="K218" s="66">
        <v>500.3</v>
      </c>
      <c r="L218" s="66">
        <v>426</v>
      </c>
      <c r="M218" s="66">
        <v>329.7</v>
      </c>
      <c r="N218" s="67">
        <f t="shared" si="577"/>
        <v>5022.6000000000004</v>
      </c>
      <c r="O218" s="115">
        <f t="shared" si="576"/>
        <v>4986.5999999999995</v>
      </c>
      <c r="P218" s="121"/>
      <c r="Q218" s="47"/>
      <c r="R218" s="151"/>
      <c r="S218" s="3">
        <v>2015</v>
      </c>
      <c r="T218" s="6">
        <v>133</v>
      </c>
      <c r="U218" s="6">
        <v>130</v>
      </c>
      <c r="V218" s="6">
        <v>133</v>
      </c>
      <c r="W218" s="6">
        <v>130</v>
      </c>
      <c r="X218" s="6">
        <v>132</v>
      </c>
      <c r="Y218" s="6">
        <v>133</v>
      </c>
      <c r="Z218" s="6">
        <v>132</v>
      </c>
      <c r="AA218" s="6">
        <v>132</v>
      </c>
      <c r="AB218" s="6">
        <v>130</v>
      </c>
      <c r="AC218" s="6">
        <v>132</v>
      </c>
      <c r="AD218" s="6">
        <v>129</v>
      </c>
      <c r="AE218" s="6">
        <v>128</v>
      </c>
      <c r="AF218" s="8">
        <f t="shared" si="579"/>
        <v>133.25</v>
      </c>
      <c r="AG218" s="6">
        <f t="shared" si="560"/>
        <v>131.16666666666666</v>
      </c>
      <c r="AJ218" s="3">
        <v>2015</v>
      </c>
      <c r="AK218" s="9">
        <f t="shared" si="561"/>
        <v>2.9578947368421051</v>
      </c>
      <c r="AL218" s="9">
        <f t="shared" si="562"/>
        <v>3.1284615384615382</v>
      </c>
      <c r="AM218" s="9">
        <f t="shared" si="563"/>
        <v>2.3473684210526313</v>
      </c>
      <c r="AN218" s="9">
        <f t="shared" si="564"/>
        <v>2.9684615384615385</v>
      </c>
      <c r="AO218" s="9">
        <f t="shared" si="565"/>
        <v>3.1833333333333331</v>
      </c>
      <c r="AP218" s="9">
        <f t="shared" si="566"/>
        <v>2.7917293233082709</v>
      </c>
      <c r="AQ218" s="9">
        <f t="shared" si="574"/>
        <v>3.4189393939393939</v>
      </c>
      <c r="AR218" s="9">
        <f t="shared" si="574"/>
        <v>3.7265151515151516</v>
      </c>
      <c r="AS218" s="9">
        <f t="shared" si="574"/>
        <v>3.8284615384615384</v>
      </c>
      <c r="AT218" s="9">
        <f t="shared" si="574"/>
        <v>3.790151515151515</v>
      </c>
      <c r="AU218" s="9">
        <f t="shared" si="574"/>
        <v>3.3023255813953489</v>
      </c>
      <c r="AV218" s="9">
        <f t="shared" si="574"/>
        <v>2.5757812499999999</v>
      </c>
      <c r="AW218" s="90">
        <f t="shared" si="575"/>
        <v>0.10409150806823371</v>
      </c>
    </row>
    <row r="219" spans="1:49" x14ac:dyDescent="0.25">
      <c r="A219" s="3">
        <v>2014</v>
      </c>
      <c r="B219" s="66">
        <v>397.5</v>
      </c>
      <c r="C219" s="66">
        <v>389</v>
      </c>
      <c r="D219" s="66">
        <v>371.1</v>
      </c>
      <c r="E219" s="66">
        <v>272.89999999999998</v>
      </c>
      <c r="F219" s="66">
        <v>337.8</v>
      </c>
      <c r="G219" s="66">
        <v>405.9</v>
      </c>
      <c r="H219" s="66">
        <v>450.7</v>
      </c>
      <c r="I219" s="66">
        <v>549.20000000000005</v>
      </c>
      <c r="J219" s="66">
        <v>471.7</v>
      </c>
      <c r="K219" s="66">
        <v>426.8</v>
      </c>
      <c r="L219" s="66">
        <v>431.9</v>
      </c>
      <c r="M219" s="66">
        <v>402.6</v>
      </c>
      <c r="N219" s="67">
        <f t="shared" si="577"/>
        <v>5100.5</v>
      </c>
      <c r="O219" s="115">
        <f t="shared" si="576"/>
        <v>4907.0999999999995</v>
      </c>
      <c r="P219" s="121"/>
      <c r="Q219" s="47"/>
      <c r="R219" s="151"/>
      <c r="S219" s="3">
        <v>2014</v>
      </c>
      <c r="T219" s="6">
        <v>133</v>
      </c>
      <c r="U219" s="6">
        <v>131</v>
      </c>
      <c r="V219" s="6">
        <v>132</v>
      </c>
      <c r="W219" s="6">
        <v>131</v>
      </c>
      <c r="X219" s="6">
        <v>131</v>
      </c>
      <c r="Y219" s="6">
        <v>134</v>
      </c>
      <c r="Z219" s="6">
        <v>135</v>
      </c>
      <c r="AA219" s="6">
        <v>135</v>
      </c>
      <c r="AB219" s="6">
        <v>135</v>
      </c>
      <c r="AC219" s="6">
        <v>135</v>
      </c>
      <c r="AD219" s="6">
        <v>136</v>
      </c>
      <c r="AE219" s="6">
        <v>132</v>
      </c>
      <c r="AF219" s="8">
        <f t="shared" si="579"/>
        <v>132.5</v>
      </c>
      <c r="AG219" s="6">
        <f t="shared" si="560"/>
        <v>133.33333333333334</v>
      </c>
      <c r="AJ219" s="3">
        <v>2014</v>
      </c>
      <c r="AK219" s="9">
        <f t="shared" si="561"/>
        <v>2.988721804511278</v>
      </c>
      <c r="AL219" s="9">
        <f t="shared" si="562"/>
        <v>2.9694656488549618</v>
      </c>
      <c r="AM219" s="9">
        <f t="shared" si="563"/>
        <v>2.8113636363636365</v>
      </c>
      <c r="AN219" s="9">
        <f t="shared" si="564"/>
        <v>2.0832061068702288</v>
      </c>
      <c r="AO219" s="9">
        <f t="shared" si="565"/>
        <v>2.5786259541984733</v>
      </c>
      <c r="AP219" s="9">
        <f t="shared" si="566"/>
        <v>3.02910447761194</v>
      </c>
      <c r="AQ219" s="9">
        <f t="shared" si="574"/>
        <v>3.3385185185185184</v>
      </c>
      <c r="AR219" s="9">
        <f t="shared" si="574"/>
        <v>4.0681481481481487</v>
      </c>
      <c r="AS219" s="9">
        <f t="shared" si="574"/>
        <v>3.4940740740740739</v>
      </c>
      <c r="AT219" s="9">
        <f t="shared" si="574"/>
        <v>3.1614814814814816</v>
      </c>
      <c r="AU219" s="9">
        <f t="shared" si="574"/>
        <v>3.1757352941176471</v>
      </c>
      <c r="AV219" s="9">
        <f t="shared" si="574"/>
        <v>3.0500000000000003</v>
      </c>
      <c r="AW219" s="90">
        <f t="shared" si="575"/>
        <v>0.1006117594654357</v>
      </c>
    </row>
    <row r="220" spans="1:49" x14ac:dyDescent="0.25">
      <c r="A220" s="3">
        <v>2013</v>
      </c>
      <c r="B220" s="66">
        <v>280.87087835476751</v>
      </c>
      <c r="C220" s="66">
        <v>269.50853822729113</v>
      </c>
      <c r="D220" s="66">
        <v>174.59957951542935</v>
      </c>
      <c r="E220" s="66">
        <v>262.3106757030979</v>
      </c>
      <c r="F220" s="66">
        <v>268.71163201925543</v>
      </c>
      <c r="G220" s="66">
        <v>472</v>
      </c>
      <c r="H220" s="66">
        <v>604.6</v>
      </c>
      <c r="I220" s="66">
        <v>503.5</v>
      </c>
      <c r="J220" s="66">
        <v>473.6</v>
      </c>
      <c r="K220" s="66">
        <v>509.7</v>
      </c>
      <c r="L220" s="66">
        <v>476.3</v>
      </c>
      <c r="M220" s="66">
        <v>358.6</v>
      </c>
      <c r="N220" s="67">
        <f t="shared" si="577"/>
        <v>4974.0316490159976</v>
      </c>
      <c r="O220" s="115">
        <f t="shared" si="576"/>
        <v>4654.3013038198415</v>
      </c>
      <c r="P220" s="121"/>
      <c r="Q220" s="47"/>
      <c r="R220" s="151"/>
      <c r="S220" s="3">
        <v>2013</v>
      </c>
      <c r="T220" s="6">
        <v>134</v>
      </c>
      <c r="U220" s="6">
        <v>131</v>
      </c>
      <c r="V220" s="6">
        <v>138</v>
      </c>
      <c r="W220" s="6">
        <v>136</v>
      </c>
      <c r="X220" s="6">
        <v>131</v>
      </c>
      <c r="Y220" s="6">
        <v>133</v>
      </c>
      <c r="Z220" s="6">
        <v>134</v>
      </c>
      <c r="AA220" s="6">
        <v>134</v>
      </c>
      <c r="AB220" s="6">
        <v>132</v>
      </c>
      <c r="AC220" s="6">
        <v>133</v>
      </c>
      <c r="AD220" s="6">
        <v>133</v>
      </c>
      <c r="AE220" s="6">
        <v>132</v>
      </c>
      <c r="AF220" s="8">
        <f>(SUM(T220:Y220)+SUM(Z221:AE221))/12</f>
        <v>132.41666666666666</v>
      </c>
      <c r="AG220" s="6">
        <f t="shared" si="560"/>
        <v>133.41666666666666</v>
      </c>
      <c r="AJ220" s="3">
        <v>2013</v>
      </c>
      <c r="AK220" s="9">
        <f t="shared" si="561"/>
        <v>2.0960513310057278</v>
      </c>
      <c r="AL220" s="9">
        <f t="shared" si="562"/>
        <v>2.0573170857045122</v>
      </c>
      <c r="AM220" s="9">
        <f t="shared" si="563"/>
        <v>1.2652143443147055</v>
      </c>
      <c r="AN220" s="9">
        <f t="shared" si="564"/>
        <v>1.9287549684051317</v>
      </c>
      <c r="AO220" s="9">
        <f t="shared" si="565"/>
        <v>2.0512338322080566</v>
      </c>
      <c r="AP220" s="9">
        <f t="shared" si="566"/>
        <v>3.5488721804511276</v>
      </c>
      <c r="AQ220" s="9">
        <f t="shared" si="574"/>
        <v>4.5119402985074633</v>
      </c>
      <c r="AR220" s="9">
        <f t="shared" si="574"/>
        <v>3.7574626865671643</v>
      </c>
      <c r="AS220" s="9">
        <f t="shared" si="574"/>
        <v>3.5878787878787879</v>
      </c>
      <c r="AT220" s="9">
        <f t="shared" si="574"/>
        <v>3.8323308270676693</v>
      </c>
      <c r="AU220" s="9">
        <f t="shared" si="574"/>
        <v>3.5812030075187971</v>
      </c>
      <c r="AV220" s="9">
        <f t="shared" si="574"/>
        <v>2.7166666666666668</v>
      </c>
      <c r="AW220" s="90">
        <f t="shared" si="575"/>
        <v>9.5646614692117216E-2</v>
      </c>
    </row>
    <row r="221" spans="1:49" x14ac:dyDescent="0.25">
      <c r="A221" s="3">
        <v>2012</v>
      </c>
      <c r="B221" s="66">
        <v>204.36788238334265</v>
      </c>
      <c r="C221" s="66">
        <v>226.68125620834158</v>
      </c>
      <c r="D221" s="66">
        <v>248.891803425852</v>
      </c>
      <c r="E221" s="66">
        <v>290.53657945868412</v>
      </c>
      <c r="F221" s="66">
        <v>387.7077235352923</v>
      </c>
      <c r="G221" s="66">
        <v>321.02466857901675</v>
      </c>
      <c r="H221" s="66">
        <v>943.58836361798433</v>
      </c>
      <c r="I221" s="66">
        <v>681.43192782611914</v>
      </c>
      <c r="J221" s="66">
        <v>412.38610933252613</v>
      </c>
      <c r="K221" s="66">
        <v>618.60487065066127</v>
      </c>
      <c r="L221" s="66">
        <v>311.51320738633285</v>
      </c>
      <c r="M221" s="66">
        <v>278.50586638253259</v>
      </c>
      <c r="N221" s="97">
        <f>SUM(B221:G221)+SUM(H222:M222)</f>
        <v>5371.4289018228637</v>
      </c>
      <c r="O221" s="97">
        <f t="shared" si="576"/>
        <v>4925.2402587866854</v>
      </c>
      <c r="P221" s="121"/>
      <c r="Q221" s="47"/>
      <c r="R221" s="154"/>
      <c r="S221" s="3">
        <v>2012</v>
      </c>
      <c r="T221" s="6">
        <v>131</v>
      </c>
      <c r="U221" s="6">
        <v>131</v>
      </c>
      <c r="V221" s="6">
        <v>131</v>
      </c>
      <c r="W221" s="6">
        <v>131</v>
      </c>
      <c r="X221" s="6">
        <v>131</v>
      </c>
      <c r="Y221" s="6">
        <v>131</v>
      </c>
      <c r="Z221" s="6">
        <v>131</v>
      </c>
      <c r="AA221" s="6">
        <v>131</v>
      </c>
      <c r="AB221" s="6">
        <v>131</v>
      </c>
      <c r="AC221" s="6">
        <v>131</v>
      </c>
      <c r="AD221" s="6">
        <v>131</v>
      </c>
      <c r="AE221" s="6">
        <v>131</v>
      </c>
      <c r="AF221" s="88">
        <f>(SUM(T221:Y221)+SUM(Z222:AE222))/12</f>
        <v>131.08333333333334</v>
      </c>
      <c r="AG221" s="6">
        <f t="shared" si="560"/>
        <v>131</v>
      </c>
      <c r="AJ221" s="3">
        <v>2012</v>
      </c>
      <c r="AK221" s="9">
        <f t="shared" si="561"/>
        <v>1.5600601708652111</v>
      </c>
      <c r="AL221" s="9">
        <f t="shared" si="562"/>
        <v>1.7303912687659662</v>
      </c>
      <c r="AM221" s="9">
        <f t="shared" si="563"/>
        <v>1.8999374307316947</v>
      </c>
      <c r="AN221" s="9">
        <f t="shared" si="564"/>
        <v>2.2178364844174361</v>
      </c>
      <c r="AO221" s="9">
        <f t="shared" si="565"/>
        <v>2.9596009430174983</v>
      </c>
      <c r="AP221" s="9">
        <f t="shared" si="566"/>
        <v>2.4505699891527994</v>
      </c>
      <c r="AQ221" s="9">
        <f t="shared" si="574"/>
        <v>7.2029646077708724</v>
      </c>
      <c r="AR221" s="9">
        <f t="shared" si="574"/>
        <v>5.2017704414207566</v>
      </c>
      <c r="AS221" s="9">
        <f t="shared" si="574"/>
        <v>3.1479855674238637</v>
      </c>
      <c r="AT221" s="9">
        <f t="shared" si="574"/>
        <v>4.7221745851195518</v>
      </c>
      <c r="AU221" s="9">
        <f t="shared" si="574"/>
        <v>2.3779634151628462</v>
      </c>
      <c r="AV221" s="9">
        <f t="shared" si="574"/>
        <v>2.1259989800193329</v>
      </c>
      <c r="AW221" s="90">
        <f t="shared" si="575"/>
        <v>0.10293567113995297</v>
      </c>
    </row>
    <row r="222" spans="1:49" x14ac:dyDescent="0.25">
      <c r="A222" s="3">
        <v>2011</v>
      </c>
      <c r="B222" s="66"/>
      <c r="C222" s="66"/>
      <c r="D222" s="66"/>
      <c r="E222" s="66"/>
      <c r="F222" s="66"/>
      <c r="G222" s="66"/>
      <c r="H222" s="124">
        <f>AVERAGE(H217:H221)</f>
        <v>600.45767272359694</v>
      </c>
      <c r="I222" s="66">
        <v>1093.6213782612581</v>
      </c>
      <c r="J222" s="66">
        <v>926.38284559366741</v>
      </c>
      <c r="K222" s="66">
        <v>229.51685967975678</v>
      </c>
      <c r="L222" s="66">
        <v>482.93324541180135</v>
      </c>
      <c r="M222" s="66">
        <v>359.30698656225417</v>
      </c>
      <c r="N222" s="67">
        <f t="shared" si="577"/>
        <v>0</v>
      </c>
      <c r="O222" s="327">
        <f>SUM(H222:M222)/6*12</f>
        <v>7384.4379764646692</v>
      </c>
      <c r="P222" s="47"/>
      <c r="Q222" s="117"/>
      <c r="R222" s="151"/>
      <c r="S222" s="3">
        <v>2011</v>
      </c>
      <c r="T222" s="6"/>
      <c r="U222" s="6"/>
      <c r="V222" s="6"/>
      <c r="W222" s="6"/>
      <c r="X222" s="6"/>
      <c r="Y222" s="6"/>
      <c r="Z222" s="35">
        <f>AVERAGE(Z217:Z221)</f>
        <v>132</v>
      </c>
      <c r="AA222" s="6">
        <v>131</v>
      </c>
      <c r="AB222" s="6">
        <v>131</v>
      </c>
      <c r="AC222" s="6">
        <v>131</v>
      </c>
      <c r="AD222" s="6">
        <v>131</v>
      </c>
      <c r="AE222" s="6">
        <v>131</v>
      </c>
      <c r="AG222" s="43">
        <f>SUM(T222:AE222)/6</f>
        <v>131.16666666666666</v>
      </c>
      <c r="AJ222" s="3">
        <v>2011</v>
      </c>
      <c r="AK222" s="9"/>
      <c r="AL222" s="9"/>
      <c r="AM222" s="9"/>
      <c r="AN222" s="9"/>
      <c r="AO222" s="9"/>
      <c r="AP222" s="9"/>
      <c r="AQ222" s="42">
        <f>AVERAGE(AQ217:AQ221)</f>
        <v>4.5571288137472497</v>
      </c>
      <c r="AR222" s="9">
        <f>I222/AA222</f>
        <v>8.3482547958874669</v>
      </c>
      <c r="AS222" s="9">
        <f>J222/AB222</f>
        <v>7.071624775524179</v>
      </c>
      <c r="AT222" s="9">
        <f>K222/AC222</f>
        <v>1.7520370967920365</v>
      </c>
      <c r="AU222" s="9">
        <f>L222/AD222</f>
        <v>3.6865133237542089</v>
      </c>
      <c r="AV222" s="9">
        <f>M222/AE222</f>
        <v>2.7428014241393446</v>
      </c>
      <c r="AW222" s="90">
        <f t="shared" si="575"/>
        <v>7.709338871962898E-2</v>
      </c>
    </row>
    <row r="223" spans="1:49" x14ac:dyDescent="0.25">
      <c r="A223" s="3">
        <v>2010</v>
      </c>
      <c r="S223" s="3">
        <v>2010</v>
      </c>
      <c r="AJ223" s="3">
        <v>2010</v>
      </c>
      <c r="AW223" s="41"/>
    </row>
    <row r="224" spans="1:49" ht="15.75" thickBot="1" x14ac:dyDescent="0.3">
      <c r="N224" s="118"/>
      <c r="O224" s="118"/>
      <c r="AW224" s="41"/>
    </row>
    <row r="225" spans="1:49" ht="15.75" thickTop="1" x14ac:dyDescent="0.25"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97">
        <f>SUM(N210:N214)/5</f>
        <v>2473.75</v>
      </c>
      <c r="O225" s="97">
        <f>SUM(O210:O214)/5</f>
        <v>1915.8100000000002</v>
      </c>
      <c r="P225" s="50"/>
      <c r="Q225" s="120"/>
      <c r="R225" s="153"/>
      <c r="AV225" s="3" t="s">
        <v>47</v>
      </c>
      <c r="AW225" s="92">
        <f>SUM(AW213:AW217)/5</f>
        <v>0.10976186313249126</v>
      </c>
    </row>
    <row r="226" spans="1:49" x14ac:dyDescent="0.25">
      <c r="A226" s="64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97"/>
      <c r="O226" s="97"/>
      <c r="P226" s="50"/>
      <c r="Q226" s="120"/>
      <c r="R226" s="153"/>
      <c r="AV226" s="63" t="s">
        <v>89</v>
      </c>
      <c r="AW226" s="93">
        <f>SUM(AW214:AW218)/5</f>
        <v>0.10930500602269852</v>
      </c>
    </row>
    <row r="227" spans="1:49" x14ac:dyDescent="0.25"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97"/>
      <c r="O227" s="97"/>
      <c r="P227" s="50"/>
      <c r="Q227" s="120"/>
      <c r="R227" s="153"/>
      <c r="AV227" s="3" t="s">
        <v>81</v>
      </c>
      <c r="AW227" s="92">
        <f>SUM(AW213:AW221)/9</f>
        <v>0.10578831878091065</v>
      </c>
    </row>
    <row r="229" spans="1:49" ht="60" x14ac:dyDescent="0.25">
      <c r="A229" s="165" t="s">
        <v>25</v>
      </c>
      <c r="B229" s="111" t="s">
        <v>0</v>
      </c>
      <c r="C229" s="111" t="s">
        <v>1</v>
      </c>
      <c r="D229" s="111" t="s">
        <v>2</v>
      </c>
      <c r="E229" s="111" t="s">
        <v>3</v>
      </c>
      <c r="F229" s="111" t="s">
        <v>4</v>
      </c>
      <c r="G229" s="111" t="s">
        <v>5</v>
      </c>
      <c r="H229" s="111" t="s">
        <v>6</v>
      </c>
      <c r="I229" s="111" t="s">
        <v>7</v>
      </c>
      <c r="J229" s="111" t="s">
        <v>8</v>
      </c>
      <c r="K229" s="111" t="s">
        <v>9</v>
      </c>
      <c r="L229" s="111" t="s">
        <v>10</v>
      </c>
      <c r="M229" s="111" t="s">
        <v>11</v>
      </c>
      <c r="N229" s="112" t="s">
        <v>78</v>
      </c>
      <c r="O229" s="112" t="s">
        <v>77</v>
      </c>
      <c r="P229" s="139" t="s">
        <v>162</v>
      </c>
      <c r="Q229" s="140" t="s">
        <v>72</v>
      </c>
      <c r="R229" s="148"/>
      <c r="S229" s="212" t="s">
        <v>38</v>
      </c>
      <c r="T229" s="5" t="s">
        <v>0</v>
      </c>
      <c r="U229" s="5" t="s">
        <v>1</v>
      </c>
      <c r="V229" s="5" t="s">
        <v>2</v>
      </c>
      <c r="W229" s="5" t="s">
        <v>3</v>
      </c>
      <c r="X229" s="5" t="s">
        <v>4</v>
      </c>
      <c r="Y229" s="5" t="s">
        <v>5</v>
      </c>
      <c r="Z229" s="5" t="s">
        <v>6</v>
      </c>
      <c r="AA229" s="5" t="s">
        <v>7</v>
      </c>
      <c r="AB229" s="5" t="s">
        <v>8</v>
      </c>
      <c r="AC229" s="5" t="s">
        <v>9</v>
      </c>
      <c r="AD229" s="5" t="s">
        <v>10</v>
      </c>
      <c r="AE229" s="5" t="s">
        <v>11</v>
      </c>
      <c r="AF229" s="30" t="s">
        <v>164</v>
      </c>
      <c r="AG229" s="30" t="s">
        <v>167</v>
      </c>
      <c r="AJ229" s="165" t="s">
        <v>59</v>
      </c>
      <c r="AK229" s="5" t="s">
        <v>0</v>
      </c>
      <c r="AL229" s="5" t="s">
        <v>1</v>
      </c>
      <c r="AM229" s="5" t="s">
        <v>2</v>
      </c>
      <c r="AN229" s="5" t="s">
        <v>3</v>
      </c>
      <c r="AO229" s="5" t="s">
        <v>4</v>
      </c>
      <c r="AP229" s="5" t="s">
        <v>5</v>
      </c>
      <c r="AQ229" s="5" t="s">
        <v>6</v>
      </c>
      <c r="AR229" s="5" t="s">
        <v>7</v>
      </c>
      <c r="AS229" s="5" t="s">
        <v>8</v>
      </c>
      <c r="AT229" s="5" t="s">
        <v>9</v>
      </c>
      <c r="AU229" s="5" t="s">
        <v>10</v>
      </c>
      <c r="AV229" s="5" t="s">
        <v>11</v>
      </c>
      <c r="AW229" s="5" t="s">
        <v>49</v>
      </c>
    </row>
    <row r="230" spans="1:49" x14ac:dyDescent="0.25">
      <c r="A230" s="77">
        <v>2023</v>
      </c>
      <c r="B230" s="145">
        <v>0</v>
      </c>
      <c r="C230" s="145">
        <v>0</v>
      </c>
      <c r="D230" s="145">
        <v>0</v>
      </c>
      <c r="E230" s="145">
        <v>0</v>
      </c>
      <c r="F230" s="145">
        <v>0</v>
      </c>
      <c r="G230" s="145">
        <v>0</v>
      </c>
      <c r="H230" s="145">
        <v>0</v>
      </c>
      <c r="I230" s="145">
        <v>0</v>
      </c>
      <c r="J230" s="145">
        <v>0</v>
      </c>
      <c r="K230" s="145">
        <v>0</v>
      </c>
      <c r="L230" s="145">
        <v>0</v>
      </c>
      <c r="M230" s="145">
        <v>0</v>
      </c>
      <c r="N230" s="115">
        <v>0</v>
      </c>
      <c r="O230" s="192">
        <v>0</v>
      </c>
      <c r="P230" s="139"/>
      <c r="Q230" s="140"/>
      <c r="R230" s="148"/>
      <c r="S230" s="77">
        <v>2023</v>
      </c>
      <c r="T230" s="34">
        <v>0</v>
      </c>
      <c r="U230" s="34">
        <v>0</v>
      </c>
      <c r="V230" s="34">
        <v>0</v>
      </c>
      <c r="W230" s="34">
        <v>0</v>
      </c>
      <c r="X230" s="34">
        <v>0</v>
      </c>
      <c r="Y230" s="34">
        <v>0</v>
      </c>
      <c r="Z230" s="34">
        <v>0</v>
      </c>
      <c r="AA230" s="34">
        <v>0</v>
      </c>
      <c r="AB230" s="34">
        <v>0</v>
      </c>
      <c r="AC230" s="34">
        <v>0</v>
      </c>
      <c r="AD230" s="34">
        <v>0</v>
      </c>
      <c r="AE230" s="34">
        <v>0</v>
      </c>
      <c r="AF230" s="30"/>
      <c r="AG230" s="6">
        <f>SUM(T230:AE230)/12</f>
        <v>0</v>
      </c>
      <c r="AJ230" s="77">
        <v>2023</v>
      </c>
      <c r="AK230" s="171">
        <v>0</v>
      </c>
      <c r="AL230" s="171">
        <v>0</v>
      </c>
      <c r="AM230" s="171">
        <v>0</v>
      </c>
      <c r="AN230" s="171">
        <v>0</v>
      </c>
      <c r="AO230" s="171">
        <v>0</v>
      </c>
      <c r="AP230" s="171">
        <v>0</v>
      </c>
      <c r="AQ230" s="171">
        <v>0</v>
      </c>
      <c r="AR230" s="171">
        <v>0</v>
      </c>
      <c r="AS230" s="171">
        <v>0</v>
      </c>
      <c r="AT230" s="171">
        <v>0</v>
      </c>
      <c r="AU230" s="171">
        <v>0</v>
      </c>
      <c r="AV230" s="171">
        <v>0</v>
      </c>
      <c r="AW230" s="90">
        <f t="shared" ref="AW230:AW232" si="580">(SUM(AK230:AP230)+SUM(AQ230:AV230))/365.25</f>
        <v>0</v>
      </c>
    </row>
    <row r="231" spans="1:49" x14ac:dyDescent="0.25">
      <c r="A231" s="61">
        <v>2022</v>
      </c>
      <c r="B231" s="145">
        <v>0</v>
      </c>
      <c r="C231" s="145">
        <v>0</v>
      </c>
      <c r="D231" s="145">
        <v>0</v>
      </c>
      <c r="E231" s="145">
        <v>0</v>
      </c>
      <c r="F231" s="145">
        <v>0</v>
      </c>
      <c r="G231" s="145">
        <v>0</v>
      </c>
      <c r="H231" s="145">
        <v>0</v>
      </c>
      <c r="I231" s="145">
        <v>0</v>
      </c>
      <c r="J231" s="145">
        <v>0</v>
      </c>
      <c r="K231" s="145">
        <v>0</v>
      </c>
      <c r="L231" s="145">
        <v>0</v>
      </c>
      <c r="M231" s="145">
        <v>0</v>
      </c>
      <c r="N231" s="67">
        <f t="shared" ref="N231:N235" si="581">SUM(B231:G231)+SUM(H232:M232)</f>
        <v>0</v>
      </c>
      <c r="O231" s="192">
        <v>0</v>
      </c>
      <c r="P231" s="136"/>
      <c r="Q231" s="138"/>
      <c r="R231" s="148"/>
      <c r="S231" s="2">
        <v>2022</v>
      </c>
      <c r="T231" s="34">
        <v>0</v>
      </c>
      <c r="U231" s="34">
        <v>0</v>
      </c>
      <c r="V231" s="34">
        <v>0</v>
      </c>
      <c r="W231" s="34">
        <v>0</v>
      </c>
      <c r="X231" s="34">
        <v>0</v>
      </c>
      <c r="Y231" s="34">
        <v>0</v>
      </c>
      <c r="Z231" s="34">
        <v>0</v>
      </c>
      <c r="AA231" s="34">
        <v>0</v>
      </c>
      <c r="AB231" s="34">
        <v>0</v>
      </c>
      <c r="AC231" s="34">
        <v>0</v>
      </c>
      <c r="AD231" s="34">
        <v>0</v>
      </c>
      <c r="AE231" s="34">
        <v>0</v>
      </c>
      <c r="AF231" s="30"/>
      <c r="AG231" s="6">
        <f t="shared" ref="AG231:AG241" si="582">SUM(T231:AE231)/12</f>
        <v>0</v>
      </c>
      <c r="AJ231" s="61">
        <v>2022</v>
      </c>
      <c r="AK231" s="171">
        <v>0</v>
      </c>
      <c r="AL231" s="171">
        <v>0</v>
      </c>
      <c r="AM231" s="171">
        <v>0</v>
      </c>
      <c r="AN231" s="171">
        <v>0</v>
      </c>
      <c r="AO231" s="171">
        <v>0</v>
      </c>
      <c r="AP231" s="171">
        <v>0</v>
      </c>
      <c r="AQ231" s="171">
        <v>0</v>
      </c>
      <c r="AR231" s="171">
        <v>0</v>
      </c>
      <c r="AS231" s="171">
        <v>0</v>
      </c>
      <c r="AT231" s="171">
        <v>0</v>
      </c>
      <c r="AU231" s="171">
        <v>0</v>
      </c>
      <c r="AV231" s="171">
        <v>0</v>
      </c>
      <c r="AW231" s="90">
        <f t="shared" si="580"/>
        <v>0</v>
      </c>
    </row>
    <row r="232" spans="1:49" x14ac:dyDescent="0.25">
      <c r="A232" s="257" t="s">
        <v>178</v>
      </c>
      <c r="B232" s="145">
        <v>0</v>
      </c>
      <c r="C232" s="145">
        <v>0</v>
      </c>
      <c r="D232" s="145">
        <v>0</v>
      </c>
      <c r="E232" s="145">
        <v>0</v>
      </c>
      <c r="F232" s="145">
        <v>0</v>
      </c>
      <c r="G232" s="145">
        <v>0</v>
      </c>
      <c r="H232" s="145">
        <v>0</v>
      </c>
      <c r="I232" s="145">
        <v>0</v>
      </c>
      <c r="J232" s="145">
        <v>0</v>
      </c>
      <c r="K232" s="145">
        <v>0</v>
      </c>
      <c r="L232" s="145">
        <v>0</v>
      </c>
      <c r="M232" s="145">
        <v>0</v>
      </c>
      <c r="N232" s="67">
        <v>0</v>
      </c>
      <c r="O232" s="115">
        <f t="shared" ref="O232:O233" si="583">SUM(B232:M232)</f>
        <v>0</v>
      </c>
      <c r="P232" s="136"/>
      <c r="Q232" s="138"/>
      <c r="R232" s="148"/>
      <c r="S232" s="2">
        <v>2021</v>
      </c>
      <c r="T232" s="34">
        <v>0</v>
      </c>
      <c r="U232" s="34">
        <v>0</v>
      </c>
      <c r="V232" s="34">
        <v>0</v>
      </c>
      <c r="W232" s="34">
        <v>0</v>
      </c>
      <c r="X232" s="34">
        <v>0</v>
      </c>
      <c r="Y232" s="34">
        <v>0</v>
      </c>
      <c r="Z232" s="34">
        <v>0</v>
      </c>
      <c r="AA232" s="34">
        <v>0</v>
      </c>
      <c r="AB232" s="34">
        <v>0</v>
      </c>
      <c r="AC232" s="34">
        <v>0</v>
      </c>
      <c r="AD232" s="34">
        <v>0</v>
      </c>
      <c r="AE232" s="34">
        <v>0</v>
      </c>
      <c r="AF232" s="88">
        <f t="shared" ref="AF232:AF235" si="584">(SUM(T232:Y232)+SUM(Z233:AE233))/12</f>
        <v>267</v>
      </c>
      <c r="AG232" s="6">
        <f t="shared" si="582"/>
        <v>0</v>
      </c>
      <c r="AJ232" s="61">
        <v>2021</v>
      </c>
      <c r="AK232" s="171">
        <v>0</v>
      </c>
      <c r="AL232" s="171">
        <v>0</v>
      </c>
      <c r="AM232" s="171">
        <v>0</v>
      </c>
      <c r="AN232" s="171">
        <v>0</v>
      </c>
      <c r="AO232" s="171">
        <v>0</v>
      </c>
      <c r="AP232" s="171">
        <v>0</v>
      </c>
      <c r="AQ232" s="171">
        <v>0</v>
      </c>
      <c r="AR232" s="171">
        <v>0</v>
      </c>
      <c r="AS232" s="171">
        <v>0</v>
      </c>
      <c r="AT232" s="171">
        <v>0</v>
      </c>
      <c r="AU232" s="171">
        <v>0</v>
      </c>
      <c r="AV232" s="171">
        <v>0</v>
      </c>
      <c r="AW232" s="90">
        <f t="shared" si="580"/>
        <v>0</v>
      </c>
    </row>
    <row r="233" spans="1:49" x14ac:dyDescent="0.25">
      <c r="A233" s="61">
        <v>2020</v>
      </c>
      <c r="B233" s="190">
        <v>1088.5999999999999</v>
      </c>
      <c r="C233" s="190">
        <v>1141.4000000000001</v>
      </c>
      <c r="D233" s="190">
        <v>969.5</v>
      </c>
      <c r="E233" s="190">
        <v>1136.184</v>
      </c>
      <c r="F233" s="190">
        <v>1394.7</v>
      </c>
      <c r="G233" s="190">
        <v>1393.5450000000001</v>
      </c>
      <c r="H233" s="190">
        <v>1918.8</v>
      </c>
      <c r="I233" s="190">
        <v>2316.1</v>
      </c>
      <c r="J233" s="190">
        <v>1968.9</v>
      </c>
      <c r="K233" s="190">
        <v>1502.6</v>
      </c>
      <c r="L233" s="190">
        <v>1614.28</v>
      </c>
      <c r="M233" s="190">
        <v>1047.75</v>
      </c>
      <c r="N233" s="67">
        <f t="shared" si="581"/>
        <v>15589.429</v>
      </c>
      <c r="O233" s="115">
        <f t="shared" si="583"/>
        <v>17492.359</v>
      </c>
      <c r="P233" s="136">
        <f>SUM(O233:O237)</f>
        <v>83015.059000000008</v>
      </c>
      <c r="Q233" s="138">
        <f t="shared" ref="Q233:Q235" si="585">P233/5</f>
        <v>16603.0118</v>
      </c>
      <c r="R233" s="148"/>
      <c r="S233" s="61">
        <v>2020</v>
      </c>
      <c r="T233" s="190">
        <v>520</v>
      </c>
      <c r="U233" s="190">
        <v>521</v>
      </c>
      <c r="V233" s="190">
        <v>524</v>
      </c>
      <c r="W233" s="190">
        <v>527</v>
      </c>
      <c r="X233" s="190">
        <v>529</v>
      </c>
      <c r="Y233" s="190">
        <v>533</v>
      </c>
      <c r="Z233" s="190">
        <v>533</v>
      </c>
      <c r="AA233" s="190">
        <v>535</v>
      </c>
      <c r="AB233" s="190">
        <v>538</v>
      </c>
      <c r="AC233" s="190">
        <v>534</v>
      </c>
      <c r="AD233" s="190">
        <v>532</v>
      </c>
      <c r="AE233" s="190">
        <v>532</v>
      </c>
      <c r="AF233" s="88">
        <f t="shared" si="584"/>
        <v>523.58333333333337</v>
      </c>
      <c r="AG233" s="6">
        <f t="shared" si="582"/>
        <v>529.83333333333337</v>
      </c>
      <c r="AJ233" s="61">
        <v>2020</v>
      </c>
      <c r="AK233" s="9">
        <f t="shared" ref="AK233:AK241" si="586">B233/T233</f>
        <v>2.0934615384615385</v>
      </c>
      <c r="AL233" s="9">
        <f t="shared" ref="AL233:AL241" si="587">C233/U233</f>
        <v>2.1907869481765836</v>
      </c>
      <c r="AM233" s="79">
        <f t="shared" ref="AM233:AM241" si="588">D233/V233</f>
        <v>1.8501908396946565</v>
      </c>
      <c r="AN233" s="79">
        <f t="shared" ref="AN233:AN241" si="589">E233/W233</f>
        <v>2.1559468690702088</v>
      </c>
      <c r="AO233" s="79">
        <f t="shared" ref="AO233:AO241" si="590">F233/X233</f>
        <v>2.6364839319470699</v>
      </c>
      <c r="AP233" s="79">
        <f t="shared" ref="AP233:AP241" si="591">G233/Y233</f>
        <v>2.6145309568480299</v>
      </c>
      <c r="AQ233" s="79">
        <f t="shared" ref="AQ233" si="592">H233/Z233</f>
        <v>3.6</v>
      </c>
      <c r="AR233" s="79">
        <f t="shared" ref="AR233" si="593">I233/AA233</f>
        <v>4.3291588785046731</v>
      </c>
      <c r="AS233" s="79">
        <f t="shared" ref="AS233" si="594">J233/AB233</f>
        <v>3.6596654275092937</v>
      </c>
      <c r="AT233" s="79">
        <f t="shared" ref="AT233" si="595">K233/AC233</f>
        <v>2.8138576779026216</v>
      </c>
      <c r="AU233" s="79">
        <f t="shared" ref="AU233" si="596">L233/AD233</f>
        <v>3.034360902255639</v>
      </c>
      <c r="AV233" s="79">
        <f t="shared" ref="AV233" si="597">M233/AE233</f>
        <v>1.9694548872180451</v>
      </c>
      <c r="AW233" s="90">
        <f>(SUM(AK233:AP233)+SUM(AQ233:AV233))/365.25</f>
        <v>9.0206430821597156E-2</v>
      </c>
    </row>
    <row r="234" spans="1:49" x14ac:dyDescent="0.25">
      <c r="A234" s="61">
        <v>2019</v>
      </c>
      <c r="B234" s="125">
        <v>1187.4000000000001</v>
      </c>
      <c r="C234" s="125">
        <v>1022.9</v>
      </c>
      <c r="D234" s="125">
        <v>1003.9</v>
      </c>
      <c r="E234" s="125">
        <v>1039.2</v>
      </c>
      <c r="F234" s="125">
        <v>1167.5999999999999</v>
      </c>
      <c r="G234" s="125">
        <v>1573.1</v>
      </c>
      <c r="H234" s="190">
        <v>1330.3</v>
      </c>
      <c r="I234" s="190">
        <v>1887</v>
      </c>
      <c r="J234" s="190">
        <v>1604.2</v>
      </c>
      <c r="K234" s="190">
        <v>1380.4</v>
      </c>
      <c r="L234" s="190">
        <v>1216.5</v>
      </c>
      <c r="M234" s="190">
        <v>1047.0999999999999</v>
      </c>
      <c r="N234" s="67">
        <f t="shared" si="581"/>
        <v>16637.5</v>
      </c>
      <c r="O234" s="115">
        <f>SUM(B234:M234)</f>
        <v>15459.6</v>
      </c>
      <c r="P234" s="136">
        <f t="shared" ref="P234:P237" si="598">SUM(O234:O238)</f>
        <v>80817.8</v>
      </c>
      <c r="Q234" s="138">
        <f t="shared" si="585"/>
        <v>16163.560000000001</v>
      </c>
      <c r="R234" s="108"/>
      <c r="S234" s="61">
        <v>2019</v>
      </c>
      <c r="T234" s="35">
        <v>514</v>
      </c>
      <c r="U234" s="35">
        <v>514</v>
      </c>
      <c r="V234" s="35">
        <v>513</v>
      </c>
      <c r="W234" s="35">
        <v>515</v>
      </c>
      <c r="X234" s="35">
        <v>521</v>
      </c>
      <c r="Y234" s="35">
        <v>522</v>
      </c>
      <c r="Z234" s="190">
        <v>526</v>
      </c>
      <c r="AA234" s="190">
        <v>522</v>
      </c>
      <c r="AB234" s="190">
        <v>520</v>
      </c>
      <c r="AC234" s="190">
        <v>521</v>
      </c>
      <c r="AD234" s="190">
        <v>519</v>
      </c>
      <c r="AE234" s="190">
        <v>521</v>
      </c>
      <c r="AF234" s="8">
        <f t="shared" si="584"/>
        <v>516.5</v>
      </c>
      <c r="AG234" s="6">
        <f t="shared" si="582"/>
        <v>519</v>
      </c>
      <c r="AJ234" s="61">
        <v>2019</v>
      </c>
      <c r="AK234" s="9">
        <f t="shared" si="586"/>
        <v>2.31011673151751</v>
      </c>
      <c r="AL234" s="9">
        <f t="shared" si="587"/>
        <v>1.9900778210116732</v>
      </c>
      <c r="AM234" s="9">
        <f t="shared" si="588"/>
        <v>1.9569200779727096</v>
      </c>
      <c r="AN234" s="9">
        <f t="shared" si="589"/>
        <v>2.0178640776699028</v>
      </c>
      <c r="AO234" s="9">
        <f t="shared" si="590"/>
        <v>2.2410748560460649</v>
      </c>
      <c r="AP234" s="9">
        <f t="shared" si="591"/>
        <v>3.0136015325670495</v>
      </c>
      <c r="AQ234" s="9">
        <f t="shared" ref="AQ234:AV241" si="599">H234/Z234</f>
        <v>2.5290874524714826</v>
      </c>
      <c r="AR234" s="9">
        <f t="shared" si="599"/>
        <v>3.6149425287356323</v>
      </c>
      <c r="AS234" s="9">
        <f t="shared" si="599"/>
        <v>3.085</v>
      </c>
      <c r="AT234" s="9">
        <f t="shared" si="599"/>
        <v>2.6495201535508639</v>
      </c>
      <c r="AU234" s="9">
        <f t="shared" si="599"/>
        <v>2.3439306358381504</v>
      </c>
      <c r="AV234" s="9">
        <f t="shared" si="599"/>
        <v>2.0097888675623801</v>
      </c>
      <c r="AW234" s="90">
        <f t="shared" ref="AW234:AW242" si="600">(SUM(AK234:AP234)+SUM(AQ234:AV234))/365.25</f>
        <v>8.1483709062131204E-2</v>
      </c>
    </row>
    <row r="235" spans="1:49" x14ac:dyDescent="0.25">
      <c r="A235" s="61">
        <v>2018</v>
      </c>
      <c r="B235" s="116">
        <v>1261.9000000000001</v>
      </c>
      <c r="C235" s="116">
        <v>1195</v>
      </c>
      <c r="D235" s="116">
        <v>950.4</v>
      </c>
      <c r="E235" s="116">
        <v>1128.5</v>
      </c>
      <c r="F235" s="116">
        <v>1107</v>
      </c>
      <c r="G235" s="116">
        <v>1640.2</v>
      </c>
      <c r="H235" s="116">
        <v>2244.4</v>
      </c>
      <c r="I235" s="116">
        <v>1983</v>
      </c>
      <c r="J235" s="116">
        <v>1855.7</v>
      </c>
      <c r="K235" s="116">
        <v>1137.4000000000001</v>
      </c>
      <c r="L235" s="116">
        <v>1286.3</v>
      </c>
      <c r="M235" s="116">
        <v>1136.5999999999999</v>
      </c>
      <c r="N235" s="67">
        <f t="shared" si="581"/>
        <v>17297.7</v>
      </c>
      <c r="O235" s="115">
        <f t="shared" ref="O235:O241" si="601">SUM(B235:M235)</f>
        <v>16926.399999999998</v>
      </c>
      <c r="P235" s="136">
        <f t="shared" si="598"/>
        <v>81587.3</v>
      </c>
      <c r="Q235" s="138">
        <f t="shared" si="585"/>
        <v>16317.460000000001</v>
      </c>
      <c r="R235" s="148"/>
      <c r="S235" s="61">
        <v>2018</v>
      </c>
      <c r="T235" s="35">
        <v>507</v>
      </c>
      <c r="U235" s="35">
        <v>507</v>
      </c>
      <c r="V235" s="35">
        <v>510</v>
      </c>
      <c r="W235" s="35">
        <v>513</v>
      </c>
      <c r="X235" s="35">
        <v>518</v>
      </c>
      <c r="Y235" s="35">
        <v>519</v>
      </c>
      <c r="Z235" s="35">
        <v>519</v>
      </c>
      <c r="AA235" s="35">
        <v>521</v>
      </c>
      <c r="AB235" s="35">
        <v>519</v>
      </c>
      <c r="AC235" s="35">
        <v>515</v>
      </c>
      <c r="AD235" s="35">
        <v>512</v>
      </c>
      <c r="AE235" s="35">
        <v>513</v>
      </c>
      <c r="AF235" s="8">
        <f t="shared" si="584"/>
        <v>513.41666666666663</v>
      </c>
      <c r="AG235" s="6">
        <f t="shared" si="582"/>
        <v>514.41666666666663</v>
      </c>
      <c r="AJ235" s="61">
        <v>2018</v>
      </c>
      <c r="AK235" s="9">
        <f t="shared" si="586"/>
        <v>2.4889546351084815</v>
      </c>
      <c r="AL235" s="9">
        <f t="shared" si="587"/>
        <v>2.3570019723865876</v>
      </c>
      <c r="AM235" s="9">
        <f t="shared" si="588"/>
        <v>1.8635294117647059</v>
      </c>
      <c r="AN235" s="9">
        <f t="shared" si="589"/>
        <v>2.1998050682261208</v>
      </c>
      <c r="AO235" s="9">
        <f t="shared" si="590"/>
        <v>2.1370656370656369</v>
      </c>
      <c r="AP235" s="9">
        <f t="shared" si="591"/>
        <v>3.1603082851637767</v>
      </c>
      <c r="AQ235" s="9">
        <f t="shared" si="599"/>
        <v>4.3244701348747592</v>
      </c>
      <c r="AR235" s="9">
        <f t="shared" si="599"/>
        <v>3.8061420345489445</v>
      </c>
      <c r="AS235" s="9">
        <f t="shared" si="599"/>
        <v>3.5755298651252407</v>
      </c>
      <c r="AT235" s="9">
        <f t="shared" si="599"/>
        <v>2.2085436893203885</v>
      </c>
      <c r="AU235" s="9">
        <f t="shared" si="599"/>
        <v>2.5123046874999999</v>
      </c>
      <c r="AV235" s="9">
        <f t="shared" si="599"/>
        <v>2.2155945419103311</v>
      </c>
      <c r="AW235" s="90">
        <f t="shared" si="600"/>
        <v>8.9936344867884946E-2</v>
      </c>
    </row>
    <row r="236" spans="1:49" x14ac:dyDescent="0.25">
      <c r="A236" s="3">
        <v>2017</v>
      </c>
      <c r="B236" s="66">
        <v>1291.5999999999999</v>
      </c>
      <c r="C236" s="66">
        <v>1118.7</v>
      </c>
      <c r="D236" s="66">
        <v>876.7</v>
      </c>
      <c r="E236" s="66">
        <v>1363.1</v>
      </c>
      <c r="F236" s="66">
        <v>1173.7</v>
      </c>
      <c r="G236" s="66">
        <v>1476.1</v>
      </c>
      <c r="H236" s="116">
        <v>2027.1</v>
      </c>
      <c r="I236" s="116">
        <v>1900.1</v>
      </c>
      <c r="J236" s="116">
        <v>1816.9</v>
      </c>
      <c r="K236" s="116">
        <v>1658.8</v>
      </c>
      <c r="L236" s="116">
        <v>1472.3</v>
      </c>
      <c r="M236" s="116">
        <v>1139.5</v>
      </c>
      <c r="N236" s="67">
        <f>SUM(B236:G236)+SUM(H237:M237)</f>
        <v>16099</v>
      </c>
      <c r="O236" s="115">
        <f t="shared" si="601"/>
        <v>17314.599999999999</v>
      </c>
      <c r="P236" s="136">
        <f t="shared" si="598"/>
        <v>80077.434250335762</v>
      </c>
      <c r="Q236" s="138">
        <f>P236/5</f>
        <v>16015.486850067153</v>
      </c>
      <c r="R236" s="151"/>
      <c r="S236" s="3">
        <v>2017</v>
      </c>
      <c r="T236" s="6">
        <v>502</v>
      </c>
      <c r="U236" s="6">
        <v>501</v>
      </c>
      <c r="V236" s="6">
        <v>502</v>
      </c>
      <c r="W236" s="6">
        <v>506</v>
      </c>
      <c r="X236" s="6">
        <v>516</v>
      </c>
      <c r="Y236" s="6">
        <v>516</v>
      </c>
      <c r="Z236" s="6">
        <v>516</v>
      </c>
      <c r="AA236" s="6">
        <v>517</v>
      </c>
      <c r="AB236" s="6">
        <v>518</v>
      </c>
      <c r="AC236" s="6">
        <v>516</v>
      </c>
      <c r="AD236" s="6">
        <v>511</v>
      </c>
      <c r="AE236" s="6">
        <v>509</v>
      </c>
      <c r="AF236" s="8">
        <f>(SUM(T236:Y236)+SUM(Z237:AE237))/12</f>
        <v>507.16666666666669</v>
      </c>
      <c r="AG236" s="6">
        <f t="shared" si="582"/>
        <v>510.83333333333331</v>
      </c>
      <c r="AJ236" s="3">
        <v>2017</v>
      </c>
      <c r="AK236" s="9">
        <f t="shared" si="586"/>
        <v>2.5729083665338646</v>
      </c>
      <c r="AL236" s="9">
        <f t="shared" si="587"/>
        <v>2.2329341317365272</v>
      </c>
      <c r="AM236" s="9">
        <f t="shared" si="588"/>
        <v>1.7464143426294823</v>
      </c>
      <c r="AN236" s="9">
        <f t="shared" si="589"/>
        <v>2.6938735177865611</v>
      </c>
      <c r="AO236" s="9">
        <f t="shared" si="590"/>
        <v>2.2746124031007753</v>
      </c>
      <c r="AP236" s="9">
        <f t="shared" si="591"/>
        <v>2.8606589147286821</v>
      </c>
      <c r="AQ236" s="9">
        <f t="shared" si="599"/>
        <v>3.9284883720930233</v>
      </c>
      <c r="AR236" s="9">
        <f t="shared" si="599"/>
        <v>3.6752417794970986</v>
      </c>
      <c r="AS236" s="9">
        <f t="shared" si="599"/>
        <v>3.5075289575289577</v>
      </c>
      <c r="AT236" s="9">
        <f t="shared" si="599"/>
        <v>3.2147286821705428</v>
      </c>
      <c r="AU236" s="9">
        <f t="shared" si="599"/>
        <v>2.8812133072407042</v>
      </c>
      <c r="AV236" s="9">
        <f t="shared" si="599"/>
        <v>2.2387033398821217</v>
      </c>
      <c r="AW236" s="90">
        <f t="shared" si="600"/>
        <v>9.2614116673315094E-2</v>
      </c>
    </row>
    <row r="237" spans="1:49" x14ac:dyDescent="0.25">
      <c r="A237" s="3">
        <v>2016</v>
      </c>
      <c r="B237" s="66">
        <v>1258</v>
      </c>
      <c r="C237" s="66">
        <v>949.4</v>
      </c>
      <c r="D237" s="66">
        <v>981.8</v>
      </c>
      <c r="E237" s="66">
        <v>1209.7</v>
      </c>
      <c r="F237" s="66">
        <v>1135.4000000000001</v>
      </c>
      <c r="G237" s="66">
        <v>1488.7</v>
      </c>
      <c r="H237" s="66">
        <v>1873</v>
      </c>
      <c r="I237" s="66">
        <v>1594.3</v>
      </c>
      <c r="J237" s="66">
        <v>1585.8</v>
      </c>
      <c r="K237" s="66">
        <v>1238.0999999999999</v>
      </c>
      <c r="L237" s="66">
        <v>1259.5</v>
      </c>
      <c r="M237" s="66">
        <v>1248.4000000000001</v>
      </c>
      <c r="N237" s="67">
        <f t="shared" ref="N237:N242" si="602">SUM(B237:G237)+SUM(H238:M238)</f>
        <v>15583.5</v>
      </c>
      <c r="O237" s="115">
        <f t="shared" si="601"/>
        <v>15822.099999999999</v>
      </c>
      <c r="P237" s="136">
        <f t="shared" si="598"/>
        <v>79051.928966945372</v>
      </c>
      <c r="Q237" s="138">
        <f t="shared" ref="Q237" si="603">P237/5</f>
        <v>15810.385793389074</v>
      </c>
      <c r="R237" s="151"/>
      <c r="S237" s="3">
        <v>2016</v>
      </c>
      <c r="T237" s="6">
        <v>492</v>
      </c>
      <c r="U237" s="6">
        <v>493</v>
      </c>
      <c r="V237" s="6">
        <v>495</v>
      </c>
      <c r="W237" s="6">
        <v>502</v>
      </c>
      <c r="X237" s="6">
        <v>506</v>
      </c>
      <c r="Y237" s="6">
        <v>506</v>
      </c>
      <c r="Z237" s="6">
        <v>510</v>
      </c>
      <c r="AA237" s="6">
        <v>507</v>
      </c>
      <c r="AB237" s="6">
        <v>511</v>
      </c>
      <c r="AC237" s="6">
        <v>509</v>
      </c>
      <c r="AD237" s="6">
        <v>503</v>
      </c>
      <c r="AE237" s="6">
        <v>503</v>
      </c>
      <c r="AF237" s="8">
        <f t="shared" ref="AF237:AF240" si="604">(SUM(T237:Y237)+SUM(Z238:AE238))/12</f>
        <v>498.41666666666669</v>
      </c>
      <c r="AG237" s="6">
        <f t="shared" si="582"/>
        <v>503.08333333333331</v>
      </c>
      <c r="AJ237" s="3">
        <v>2016</v>
      </c>
      <c r="AK237" s="9">
        <f t="shared" si="586"/>
        <v>2.5569105691056913</v>
      </c>
      <c r="AL237" s="9">
        <f t="shared" si="587"/>
        <v>1.925760649087221</v>
      </c>
      <c r="AM237" s="9">
        <f t="shared" si="588"/>
        <v>1.9834343434343433</v>
      </c>
      <c r="AN237" s="9">
        <f t="shared" si="589"/>
        <v>2.4097609561752988</v>
      </c>
      <c r="AO237" s="9">
        <f t="shared" si="590"/>
        <v>2.2438735177865614</v>
      </c>
      <c r="AP237" s="9">
        <f t="shared" si="591"/>
        <v>2.9420948616600793</v>
      </c>
      <c r="AQ237" s="9">
        <f t="shared" si="599"/>
        <v>3.672549019607843</v>
      </c>
      <c r="AR237" s="9">
        <f t="shared" si="599"/>
        <v>3.144575936883629</v>
      </c>
      <c r="AS237" s="9">
        <f t="shared" si="599"/>
        <v>3.1033268101761253</v>
      </c>
      <c r="AT237" s="9">
        <f t="shared" si="599"/>
        <v>2.4324165029469547</v>
      </c>
      <c r="AU237" s="9">
        <f t="shared" si="599"/>
        <v>2.5039761431411529</v>
      </c>
      <c r="AV237" s="9">
        <f t="shared" si="599"/>
        <v>2.4819085487077537</v>
      </c>
      <c r="AW237" s="90">
        <f t="shared" si="600"/>
        <v>8.5970124185387145E-2</v>
      </c>
    </row>
    <row r="238" spans="1:49" x14ac:dyDescent="0.25">
      <c r="A238" s="255">
        <v>2015</v>
      </c>
      <c r="B238" s="66">
        <v>1118.3</v>
      </c>
      <c r="C238" s="66">
        <v>1116.8</v>
      </c>
      <c r="D238" s="66">
        <v>904</v>
      </c>
      <c r="E238" s="66">
        <v>1162.9000000000001</v>
      </c>
      <c r="F238" s="66">
        <v>1236.0999999999999</v>
      </c>
      <c r="G238" s="66">
        <v>1196.5</v>
      </c>
      <c r="H238" s="66">
        <v>1717.7</v>
      </c>
      <c r="I238" s="66">
        <v>1819.2</v>
      </c>
      <c r="J238" s="66">
        <v>1196.5999999999999</v>
      </c>
      <c r="K238" s="66">
        <v>1618.8</v>
      </c>
      <c r="L238" s="66">
        <v>1324.7</v>
      </c>
      <c r="M238" s="66">
        <v>883.5</v>
      </c>
      <c r="N238" s="67">
        <f t="shared" si="602"/>
        <v>15606.3</v>
      </c>
      <c r="O238" s="115">
        <f t="shared" si="601"/>
        <v>15295.100000000002</v>
      </c>
      <c r="P238" s="121"/>
      <c r="Q238" s="47"/>
      <c r="R238" s="151"/>
      <c r="S238" s="3">
        <v>2015</v>
      </c>
      <c r="T238" s="6">
        <v>488</v>
      </c>
      <c r="U238" s="6">
        <v>486</v>
      </c>
      <c r="V238" s="6">
        <v>487</v>
      </c>
      <c r="W238" s="6">
        <v>495</v>
      </c>
      <c r="X238" s="6">
        <v>498</v>
      </c>
      <c r="Y238" s="6">
        <v>501</v>
      </c>
      <c r="Z238" s="6">
        <v>501</v>
      </c>
      <c r="AA238" s="6">
        <v>502</v>
      </c>
      <c r="AB238" s="6">
        <v>501</v>
      </c>
      <c r="AC238" s="6">
        <v>496</v>
      </c>
      <c r="AD238" s="6">
        <v>494</v>
      </c>
      <c r="AE238" s="6">
        <v>493</v>
      </c>
      <c r="AF238" s="8">
        <f t="shared" si="604"/>
        <v>494.41666666666669</v>
      </c>
      <c r="AG238" s="6">
        <f t="shared" si="582"/>
        <v>495.16666666666669</v>
      </c>
      <c r="AJ238" s="3">
        <v>2015</v>
      </c>
      <c r="AK238" s="9">
        <f t="shared" si="586"/>
        <v>2.2915983606557377</v>
      </c>
      <c r="AL238" s="9">
        <f t="shared" si="587"/>
        <v>2.2979423868312758</v>
      </c>
      <c r="AM238" s="9">
        <f t="shared" si="588"/>
        <v>1.8562628336755647</v>
      </c>
      <c r="AN238" s="9">
        <f t="shared" si="589"/>
        <v>2.3492929292929294</v>
      </c>
      <c r="AO238" s="9">
        <f t="shared" si="590"/>
        <v>2.4821285140562246</v>
      </c>
      <c r="AP238" s="9">
        <f t="shared" si="591"/>
        <v>2.3882235528942117</v>
      </c>
      <c r="AQ238" s="9">
        <f t="shared" si="599"/>
        <v>3.4285429141716568</v>
      </c>
      <c r="AR238" s="9">
        <f t="shared" si="599"/>
        <v>3.6239043824701196</v>
      </c>
      <c r="AS238" s="9">
        <f t="shared" si="599"/>
        <v>2.3884231536926146</v>
      </c>
      <c r="AT238" s="9">
        <f t="shared" si="599"/>
        <v>3.2637096774193548</v>
      </c>
      <c r="AU238" s="9">
        <f t="shared" si="599"/>
        <v>2.6815789473684211</v>
      </c>
      <c r="AV238" s="9">
        <f t="shared" si="599"/>
        <v>1.7920892494929006</v>
      </c>
      <c r="AW238" s="90">
        <f t="shared" si="600"/>
        <v>8.4445439841262168E-2</v>
      </c>
    </row>
    <row r="239" spans="1:49" x14ac:dyDescent="0.25">
      <c r="A239" s="3">
        <v>2014</v>
      </c>
      <c r="B239" s="66">
        <v>1379.8</v>
      </c>
      <c r="C239" s="66">
        <v>1456.8</v>
      </c>
      <c r="D239" s="66">
        <v>1040.2</v>
      </c>
      <c r="E239" s="66">
        <v>1133.2</v>
      </c>
      <c r="F239" s="66">
        <v>976</v>
      </c>
      <c r="G239" s="66">
        <v>1371.4</v>
      </c>
      <c r="H239" s="66">
        <v>1599.1</v>
      </c>
      <c r="I239" s="66">
        <v>1933.6</v>
      </c>
      <c r="J239" s="66">
        <v>1687</v>
      </c>
      <c r="K239" s="66">
        <v>1329.5</v>
      </c>
      <c r="L239" s="66">
        <v>1211.5999999999999</v>
      </c>
      <c r="M239" s="66">
        <v>1110.9000000000001</v>
      </c>
      <c r="N239" s="67">
        <f t="shared" si="602"/>
        <v>17237.900000000001</v>
      </c>
      <c r="O239" s="115">
        <f t="shared" si="601"/>
        <v>16229.1</v>
      </c>
      <c r="P239" s="121"/>
      <c r="Q239" s="47"/>
      <c r="R239" s="151"/>
      <c r="S239" s="3">
        <v>2014</v>
      </c>
      <c r="T239" s="6">
        <v>484</v>
      </c>
      <c r="U239" s="6">
        <v>485</v>
      </c>
      <c r="V239" s="6">
        <v>485</v>
      </c>
      <c r="W239" s="6">
        <v>493</v>
      </c>
      <c r="X239" s="6">
        <v>497</v>
      </c>
      <c r="Y239" s="6">
        <v>497</v>
      </c>
      <c r="Z239" s="6">
        <v>499</v>
      </c>
      <c r="AA239" s="6">
        <v>499</v>
      </c>
      <c r="AB239" s="6">
        <v>499</v>
      </c>
      <c r="AC239" s="6">
        <v>498</v>
      </c>
      <c r="AD239" s="6">
        <v>494</v>
      </c>
      <c r="AE239" s="6">
        <v>489</v>
      </c>
      <c r="AF239" s="8">
        <f t="shared" si="604"/>
        <v>492.5</v>
      </c>
      <c r="AG239" s="6">
        <f t="shared" si="582"/>
        <v>493.25</v>
      </c>
      <c r="AJ239" s="3">
        <v>2014</v>
      </c>
      <c r="AK239" s="9">
        <f t="shared" si="586"/>
        <v>2.8508264462809918</v>
      </c>
      <c r="AL239" s="9">
        <f t="shared" si="587"/>
        <v>3.0037113402061855</v>
      </c>
      <c r="AM239" s="9">
        <f t="shared" si="588"/>
        <v>2.1447422680412371</v>
      </c>
      <c r="AN239" s="9">
        <f t="shared" si="589"/>
        <v>2.298580121703854</v>
      </c>
      <c r="AO239" s="9">
        <f t="shared" si="590"/>
        <v>1.9637826961770624</v>
      </c>
      <c r="AP239" s="9">
        <f t="shared" si="591"/>
        <v>2.7593561368209256</v>
      </c>
      <c r="AQ239" s="9">
        <f t="shared" si="599"/>
        <v>3.2046092184368735</v>
      </c>
      <c r="AR239" s="9">
        <f t="shared" si="599"/>
        <v>3.8749498997995988</v>
      </c>
      <c r="AS239" s="9">
        <f t="shared" si="599"/>
        <v>3.3807615230460923</v>
      </c>
      <c r="AT239" s="9">
        <f t="shared" si="599"/>
        <v>2.6696787148594376</v>
      </c>
      <c r="AU239" s="9">
        <f t="shared" si="599"/>
        <v>2.4526315789473681</v>
      </c>
      <c r="AV239" s="9">
        <f t="shared" si="599"/>
        <v>2.2717791411042945</v>
      </c>
      <c r="AW239" s="90">
        <f t="shared" si="600"/>
        <v>9.0007964641817706E-2</v>
      </c>
    </row>
    <row r="240" spans="1:49" x14ac:dyDescent="0.25">
      <c r="A240" s="3">
        <v>2013</v>
      </c>
      <c r="B240" s="66">
        <v>928.91556559013634</v>
      </c>
      <c r="C240" s="66">
        <v>891.33724964735404</v>
      </c>
      <c r="D240" s="66">
        <v>577.44778706646593</v>
      </c>
      <c r="E240" s="66">
        <v>867.53198162930175</v>
      </c>
      <c r="F240" s="66">
        <v>888.70166640249818</v>
      </c>
      <c r="G240" s="66">
        <v>1382.1</v>
      </c>
      <c r="H240" s="66">
        <v>2280.8000000000002</v>
      </c>
      <c r="I240" s="66">
        <v>1817.4</v>
      </c>
      <c r="J240" s="66">
        <v>1720</v>
      </c>
      <c r="K240" s="66">
        <v>921.1</v>
      </c>
      <c r="L240" s="66">
        <v>2020</v>
      </c>
      <c r="M240" s="66">
        <v>1121.2</v>
      </c>
      <c r="N240" s="67">
        <f t="shared" si="602"/>
        <v>16271.529975962492</v>
      </c>
      <c r="O240" s="115">
        <f t="shared" si="601"/>
        <v>15416.534250335759</v>
      </c>
      <c r="P240" s="121"/>
      <c r="Q240" s="47"/>
      <c r="R240" s="151"/>
      <c r="S240" s="3">
        <v>2013</v>
      </c>
      <c r="T240" s="6">
        <v>492</v>
      </c>
      <c r="U240" s="6">
        <v>486</v>
      </c>
      <c r="V240" s="6">
        <v>489</v>
      </c>
      <c r="W240" s="6">
        <v>491</v>
      </c>
      <c r="X240" s="6">
        <v>494</v>
      </c>
      <c r="Y240" s="6">
        <v>498</v>
      </c>
      <c r="Z240" s="6">
        <v>501</v>
      </c>
      <c r="AA240" s="6">
        <v>498</v>
      </c>
      <c r="AB240" s="6">
        <v>500</v>
      </c>
      <c r="AC240" s="6">
        <v>495</v>
      </c>
      <c r="AD240" s="6">
        <v>490</v>
      </c>
      <c r="AE240" s="6">
        <v>485</v>
      </c>
      <c r="AF240" s="8">
        <f t="shared" si="604"/>
        <v>501.58333333333331</v>
      </c>
      <c r="AG240" s="6">
        <f t="shared" si="582"/>
        <v>493.25</v>
      </c>
      <c r="AJ240" s="3">
        <v>2013</v>
      </c>
      <c r="AK240" s="9">
        <f t="shared" si="586"/>
        <v>1.8880397674596268</v>
      </c>
      <c r="AL240" s="9">
        <f t="shared" si="587"/>
        <v>1.8340272626488767</v>
      </c>
      <c r="AM240" s="9">
        <f t="shared" si="588"/>
        <v>1.180874820176822</v>
      </c>
      <c r="AN240" s="9">
        <f t="shared" si="589"/>
        <v>1.7668675796930788</v>
      </c>
      <c r="AO240" s="9">
        <f t="shared" si="590"/>
        <v>1.7989912275354214</v>
      </c>
      <c r="AP240" s="9">
        <f t="shared" si="591"/>
        <v>2.7753012048192769</v>
      </c>
      <c r="AQ240" s="9">
        <f t="shared" si="599"/>
        <v>4.5524950099800403</v>
      </c>
      <c r="AR240" s="9">
        <f t="shared" si="599"/>
        <v>3.649397590361446</v>
      </c>
      <c r="AS240" s="9">
        <f t="shared" si="599"/>
        <v>3.44</v>
      </c>
      <c r="AT240" s="9">
        <f t="shared" si="599"/>
        <v>1.8608080808080809</v>
      </c>
      <c r="AU240" s="9">
        <f t="shared" si="599"/>
        <v>4.1224489795918364</v>
      </c>
      <c r="AV240" s="9">
        <f t="shared" si="599"/>
        <v>2.3117525773195879</v>
      </c>
      <c r="AW240" s="90">
        <f t="shared" si="600"/>
        <v>8.5368936619833247E-2</v>
      </c>
    </row>
    <row r="241" spans="1:50" x14ac:dyDescent="0.25">
      <c r="A241" s="3">
        <v>2012</v>
      </c>
      <c r="B241" s="66">
        <v>675.89957408398175</v>
      </c>
      <c r="C241" s="66">
        <v>749.69590493994349</v>
      </c>
      <c r="D241" s="66">
        <v>823.15216053850452</v>
      </c>
      <c r="E241" s="66">
        <v>960.88263978580642</v>
      </c>
      <c r="F241" s="66">
        <v>1282.2537580295109</v>
      </c>
      <c r="G241" s="66">
        <v>1061.7149536051274</v>
      </c>
      <c r="H241" s="66">
        <v>3120.7005995379413</v>
      </c>
      <c r="I241" s="66">
        <v>2253.6787307947407</v>
      </c>
      <c r="J241" s="66">
        <v>1363.8718198056899</v>
      </c>
      <c r="K241" s="66">
        <v>2045.8927485228851</v>
      </c>
      <c r="L241" s="66">
        <v>1030.2579922955586</v>
      </c>
      <c r="M241" s="66">
        <v>921.09383466991926</v>
      </c>
      <c r="N241" s="97">
        <f>SUM(B241:G241)+SUM(H242:M242)/11*12</f>
        <v>19019.286253021673</v>
      </c>
      <c r="O241" s="97">
        <f t="shared" si="601"/>
        <v>16289.09471660961</v>
      </c>
      <c r="P241" s="121"/>
      <c r="Q241" s="47"/>
      <c r="R241" s="154"/>
      <c r="S241" s="3">
        <v>2012</v>
      </c>
      <c r="T241" s="6">
        <v>517</v>
      </c>
      <c r="U241" s="6">
        <v>514</v>
      </c>
      <c r="V241" s="6">
        <v>518</v>
      </c>
      <c r="W241" s="6">
        <v>523</v>
      </c>
      <c r="X241" s="6">
        <v>526</v>
      </c>
      <c r="Y241" s="6">
        <v>521</v>
      </c>
      <c r="Z241" s="6">
        <v>513</v>
      </c>
      <c r="AA241" s="6">
        <v>511</v>
      </c>
      <c r="AB241" s="6">
        <v>516</v>
      </c>
      <c r="AC241" s="6">
        <v>516</v>
      </c>
      <c r="AD241" s="6">
        <v>507</v>
      </c>
      <c r="AE241" s="6">
        <v>506</v>
      </c>
      <c r="AF241" s="88">
        <f>(SUM(T241:Y241)+SUM(Z242:AE242))/12</f>
        <v>519.31666666666672</v>
      </c>
      <c r="AG241" s="6">
        <f t="shared" si="582"/>
        <v>515.66666666666663</v>
      </c>
      <c r="AJ241" s="3">
        <v>2012</v>
      </c>
      <c r="AK241" s="9">
        <f t="shared" si="586"/>
        <v>1.3073492728897131</v>
      </c>
      <c r="AL241" s="9">
        <f t="shared" si="587"/>
        <v>1.4585523442411352</v>
      </c>
      <c r="AM241" s="9">
        <f t="shared" si="588"/>
        <v>1.5890968350164181</v>
      </c>
      <c r="AN241" s="9">
        <f t="shared" si="589"/>
        <v>1.8372517013112935</v>
      </c>
      <c r="AO241" s="9">
        <f t="shared" si="590"/>
        <v>2.4377447871283477</v>
      </c>
      <c r="AP241" s="9">
        <f t="shared" si="591"/>
        <v>2.0378406019292274</v>
      </c>
      <c r="AQ241" s="9">
        <f t="shared" si="599"/>
        <v>6.0832370361363379</v>
      </c>
      <c r="AR241" s="9">
        <f t="shared" si="599"/>
        <v>4.4103301972499818</v>
      </c>
      <c r="AS241" s="9">
        <f t="shared" si="599"/>
        <v>2.643162441483895</v>
      </c>
      <c r="AT241" s="9">
        <f t="shared" si="599"/>
        <v>3.9649084273699322</v>
      </c>
      <c r="AU241" s="9">
        <f t="shared" si="599"/>
        <v>2.0320670459478474</v>
      </c>
      <c r="AV241" s="9">
        <f t="shared" si="599"/>
        <v>1.8203435467784965</v>
      </c>
      <c r="AW241" s="90">
        <f t="shared" si="600"/>
        <v>8.6576000650191998E-2</v>
      </c>
    </row>
    <row r="242" spans="1:50" x14ac:dyDescent="0.25">
      <c r="A242" s="3">
        <v>2011</v>
      </c>
      <c r="B242" s="66"/>
      <c r="C242" s="66"/>
      <c r="D242" s="66"/>
      <c r="E242" s="66"/>
      <c r="F242" s="66"/>
      <c r="G242" s="66"/>
      <c r="H242" s="65">
        <f>AVERAGE(H237:H241)</f>
        <v>2118.260119907588</v>
      </c>
      <c r="I242" s="66">
        <v>3616.9001467139014</v>
      </c>
      <c r="J242" s="66">
        <v>3063.7973221300135</v>
      </c>
      <c r="K242" s="66">
        <v>759.0740085648838</v>
      </c>
      <c r="L242" s="66">
        <v>1597.1901801700935</v>
      </c>
      <c r="M242" s="66">
        <v>1188.3248793824212</v>
      </c>
      <c r="N242" s="67">
        <f t="shared" si="602"/>
        <v>0</v>
      </c>
      <c r="O242" s="327">
        <f>AVERAGE(I242:M242)*12</f>
        <v>24540.687688707156</v>
      </c>
      <c r="P242" s="47"/>
      <c r="Q242" s="117"/>
      <c r="R242" s="151"/>
      <c r="S242" s="3">
        <v>2011</v>
      </c>
      <c r="T242" s="6"/>
      <c r="U242" s="6"/>
      <c r="V242" s="6"/>
      <c r="W242" s="6"/>
      <c r="X242" s="6"/>
      <c r="Y242" s="6"/>
      <c r="Z242" s="35">
        <f>AVERAGE(Z237:Z241)</f>
        <v>504.8</v>
      </c>
      <c r="AA242" s="6">
        <v>526</v>
      </c>
      <c r="AB242" s="6">
        <v>519</v>
      </c>
      <c r="AC242" s="6">
        <v>519</v>
      </c>
      <c r="AD242" s="6">
        <v>522</v>
      </c>
      <c r="AE242" s="6">
        <v>522</v>
      </c>
      <c r="AF242" s="8"/>
      <c r="AG242" s="326">
        <f>SUM(T242:AE242)/6</f>
        <v>518.80000000000007</v>
      </c>
      <c r="AJ242" s="3">
        <v>2011</v>
      </c>
      <c r="AK242" s="9"/>
      <c r="AL242" s="9"/>
      <c r="AM242" s="9"/>
      <c r="AN242" s="9"/>
      <c r="AO242" s="9"/>
      <c r="AP242" s="9"/>
      <c r="AQ242" s="42">
        <f>AVERAGE(AQ237:AQ241)</f>
        <v>4.1882866396665506</v>
      </c>
      <c r="AR242" s="9">
        <f>I242/AA242</f>
        <v>6.8762360203686343</v>
      </c>
      <c r="AS242" s="9">
        <f>J242/AB242</f>
        <v>5.9032703701927041</v>
      </c>
      <c r="AT242" s="9">
        <f>K242/AC242</f>
        <v>1.4625703440556528</v>
      </c>
      <c r="AU242" s="9">
        <f>L242/AD242</f>
        <v>3.0597513030078418</v>
      </c>
      <c r="AV242" s="9">
        <f>M242/AE242</f>
        <v>2.2764844432613431</v>
      </c>
      <c r="AW242" s="90">
        <f t="shared" si="600"/>
        <v>6.5069402109658392E-2</v>
      </c>
    </row>
    <row r="243" spans="1:50" x14ac:dyDescent="0.25">
      <c r="A243" s="3">
        <v>2010</v>
      </c>
      <c r="S243" s="3">
        <v>2010</v>
      </c>
      <c r="AJ243" s="3">
        <v>2010</v>
      </c>
      <c r="AK243" s="9"/>
      <c r="AW243" s="41"/>
    </row>
    <row r="244" spans="1:50" ht="15.75" thickBot="1" x14ac:dyDescent="0.3">
      <c r="N244" s="118"/>
      <c r="O244" s="118"/>
      <c r="AW244" s="41"/>
    </row>
    <row r="245" spans="1:50" ht="15.75" thickTop="1" x14ac:dyDescent="0.25"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97">
        <f>SUM(N230:N234)/5</f>
        <v>6445.3858</v>
      </c>
      <c r="O245" s="97">
        <f>SUM(O230:O234)/5</f>
        <v>6590.3918000000003</v>
      </c>
      <c r="P245" s="50"/>
      <c r="Q245" s="120"/>
      <c r="R245" s="153"/>
      <c r="AV245" s="3" t="s">
        <v>47</v>
      </c>
      <c r="AW245" s="92">
        <f>SUM(AW233:AW237)/5</f>
        <v>8.8042145122063112E-2</v>
      </c>
    </row>
    <row r="246" spans="1:50" x14ac:dyDescent="0.25">
      <c r="A246" s="64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97"/>
      <c r="O246" s="97"/>
      <c r="P246" s="50"/>
      <c r="Q246" s="120"/>
      <c r="R246" s="153"/>
      <c r="AV246" s="63" t="s">
        <v>89</v>
      </c>
      <c r="AW246" s="93">
        <f>SUM(AW234:AW238)/5</f>
        <v>8.6889946925996109E-2</v>
      </c>
    </row>
    <row r="247" spans="1:50" x14ac:dyDescent="0.25"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97"/>
      <c r="O247" s="97"/>
      <c r="P247" s="50"/>
      <c r="Q247" s="120"/>
      <c r="R247" s="153"/>
      <c r="AV247" s="3" t="s">
        <v>81</v>
      </c>
      <c r="AW247" s="92">
        <f>SUM(AW233:AW241)/9</f>
        <v>8.7401007484824517E-2</v>
      </c>
    </row>
    <row r="249" spans="1:50" ht="75" x14ac:dyDescent="0.25">
      <c r="A249" s="165" t="s">
        <v>141</v>
      </c>
      <c r="B249" s="111" t="s">
        <v>0</v>
      </c>
      <c r="C249" s="111" t="s">
        <v>1</v>
      </c>
      <c r="D249" s="111" t="s">
        <v>2</v>
      </c>
      <c r="E249" s="111" t="s">
        <v>3</v>
      </c>
      <c r="F249" s="111" t="s">
        <v>4</v>
      </c>
      <c r="G249" s="111" t="s">
        <v>5</v>
      </c>
      <c r="H249" s="111" t="s">
        <v>6</v>
      </c>
      <c r="I249" s="111" t="s">
        <v>7</v>
      </c>
      <c r="J249" s="111" t="s">
        <v>8</v>
      </c>
      <c r="K249" s="111" t="s">
        <v>9</v>
      </c>
      <c r="L249" s="111" t="s">
        <v>10</v>
      </c>
      <c r="M249" s="111" t="s">
        <v>11</v>
      </c>
      <c r="N249" s="112" t="s">
        <v>78</v>
      </c>
      <c r="O249" s="112" t="s">
        <v>77</v>
      </c>
      <c r="P249" s="139" t="s">
        <v>162</v>
      </c>
      <c r="Q249" s="140" t="s">
        <v>72</v>
      </c>
      <c r="R249" s="148"/>
      <c r="S249" s="165" t="s">
        <v>144</v>
      </c>
      <c r="T249" s="5" t="s">
        <v>0</v>
      </c>
      <c r="U249" s="5" t="s">
        <v>1</v>
      </c>
      <c r="V249" s="5" t="s">
        <v>2</v>
      </c>
      <c r="W249" s="5" t="s">
        <v>3</v>
      </c>
      <c r="X249" s="5" t="s">
        <v>4</v>
      </c>
      <c r="Y249" s="5" t="s">
        <v>5</v>
      </c>
      <c r="Z249" s="5" t="s">
        <v>6</v>
      </c>
      <c r="AA249" s="5" t="s">
        <v>7</v>
      </c>
      <c r="AB249" s="5" t="s">
        <v>8</v>
      </c>
      <c r="AC249" s="5" t="s">
        <v>9</v>
      </c>
      <c r="AD249" s="5" t="s">
        <v>10</v>
      </c>
      <c r="AE249" s="5" t="s">
        <v>11</v>
      </c>
      <c r="AF249" s="30" t="s">
        <v>164</v>
      </c>
      <c r="AG249" s="30" t="s">
        <v>167</v>
      </c>
      <c r="AJ249" s="165" t="s">
        <v>153</v>
      </c>
      <c r="AK249" s="5" t="s">
        <v>0</v>
      </c>
      <c r="AL249" s="5" t="s">
        <v>1</v>
      </c>
      <c r="AM249" s="5" t="s">
        <v>2</v>
      </c>
      <c r="AN249" s="5" t="s">
        <v>3</v>
      </c>
      <c r="AO249" s="5" t="s">
        <v>4</v>
      </c>
      <c r="AP249" s="5" t="s">
        <v>5</v>
      </c>
      <c r="AQ249" s="5" t="s">
        <v>6</v>
      </c>
      <c r="AR249" s="5" t="s">
        <v>7</v>
      </c>
      <c r="AS249" s="5" t="s">
        <v>8</v>
      </c>
      <c r="AT249" s="5" t="s">
        <v>9</v>
      </c>
      <c r="AU249" s="5" t="s">
        <v>10</v>
      </c>
      <c r="AV249" s="5" t="s">
        <v>11</v>
      </c>
      <c r="AW249" s="5" t="s">
        <v>49</v>
      </c>
    </row>
    <row r="250" spans="1:50" x14ac:dyDescent="0.25">
      <c r="A250" s="77">
        <v>2023</v>
      </c>
      <c r="B250" s="145">
        <v>0</v>
      </c>
      <c r="C250" s="145">
        <v>0</v>
      </c>
      <c r="D250" s="145">
        <v>0</v>
      </c>
      <c r="E250" s="145">
        <v>0</v>
      </c>
      <c r="F250" s="145">
        <v>0</v>
      </c>
      <c r="G250" s="145">
        <v>0</v>
      </c>
      <c r="H250" s="145">
        <v>0</v>
      </c>
      <c r="I250" s="145">
        <v>0</v>
      </c>
      <c r="J250" s="145">
        <v>0</v>
      </c>
      <c r="K250" s="145">
        <v>0</v>
      </c>
      <c r="L250" s="145">
        <v>0</v>
      </c>
      <c r="M250" s="145">
        <v>0</v>
      </c>
      <c r="N250" s="111"/>
      <c r="O250" s="112"/>
      <c r="P250" s="139"/>
      <c r="Q250" s="140"/>
      <c r="R250" s="148"/>
      <c r="S250" s="77">
        <v>2023</v>
      </c>
      <c r="T250" s="34">
        <v>0</v>
      </c>
      <c r="U250" s="34">
        <v>0</v>
      </c>
      <c r="V250" s="34">
        <v>0</v>
      </c>
      <c r="W250" s="34">
        <v>0</v>
      </c>
      <c r="X250" s="34">
        <v>0</v>
      </c>
      <c r="Y250" s="34">
        <v>0</v>
      </c>
      <c r="Z250" s="34">
        <v>0</v>
      </c>
      <c r="AA250" s="34">
        <v>0</v>
      </c>
      <c r="AB250" s="34">
        <v>0</v>
      </c>
      <c r="AC250" s="34">
        <v>0</v>
      </c>
      <c r="AD250" s="34">
        <v>0</v>
      </c>
      <c r="AE250" s="34">
        <v>0</v>
      </c>
      <c r="AF250" s="30"/>
      <c r="AG250" s="6">
        <f>SUM(T250:AE250)/12</f>
        <v>0</v>
      </c>
      <c r="AJ250" s="77">
        <v>2023</v>
      </c>
      <c r="AK250" s="171">
        <v>0</v>
      </c>
      <c r="AL250" s="171">
        <v>0</v>
      </c>
      <c r="AM250" s="171">
        <v>0</v>
      </c>
      <c r="AN250" s="171">
        <v>0</v>
      </c>
      <c r="AO250" s="171">
        <v>0</v>
      </c>
      <c r="AP250" s="171">
        <v>0</v>
      </c>
      <c r="AQ250" s="171">
        <v>0</v>
      </c>
      <c r="AR250" s="171">
        <v>0</v>
      </c>
      <c r="AS250" s="171">
        <v>0</v>
      </c>
      <c r="AT250" s="171">
        <v>0</v>
      </c>
      <c r="AU250" s="171">
        <v>0</v>
      </c>
      <c r="AV250" s="171">
        <v>0</v>
      </c>
      <c r="AW250" s="90">
        <f t="shared" ref="AW250:AW252" si="605">(SUM(AK250:AP250)+SUM(AQ250:AV250))/365.25</f>
        <v>0</v>
      </c>
    </row>
    <row r="251" spans="1:50" x14ac:dyDescent="0.25">
      <c r="A251" s="61">
        <v>2022</v>
      </c>
      <c r="B251" s="145">
        <v>0</v>
      </c>
      <c r="C251" s="145">
        <v>0</v>
      </c>
      <c r="D251" s="145">
        <v>0</v>
      </c>
      <c r="E251" s="145">
        <v>0</v>
      </c>
      <c r="F251" s="145">
        <v>0</v>
      </c>
      <c r="G251" s="145">
        <v>0</v>
      </c>
      <c r="H251" s="145">
        <v>0</v>
      </c>
      <c r="I251" s="145">
        <v>0</v>
      </c>
      <c r="J251" s="145">
        <v>0</v>
      </c>
      <c r="K251" s="145">
        <v>0</v>
      </c>
      <c r="L251" s="145">
        <v>0</v>
      </c>
      <c r="M251" s="145">
        <v>0</v>
      </c>
      <c r="N251" s="67">
        <f t="shared" ref="N251:N255" si="606">SUM(B251:G251)+SUM(H252:M252)</f>
        <v>0</v>
      </c>
      <c r="O251" s="112"/>
      <c r="P251" s="136"/>
      <c r="Q251" s="138">
        <f t="shared" ref="Q251:Q255" si="607">P251/5</f>
        <v>0</v>
      </c>
      <c r="R251" s="148"/>
      <c r="S251" s="61">
        <v>2022</v>
      </c>
      <c r="T251" s="34">
        <v>0</v>
      </c>
      <c r="U251" s="34">
        <v>0</v>
      </c>
      <c r="V251" s="34">
        <v>0</v>
      </c>
      <c r="W251" s="34">
        <v>0</v>
      </c>
      <c r="X251" s="34">
        <v>0</v>
      </c>
      <c r="Y251" s="34">
        <v>0</v>
      </c>
      <c r="Z251" s="34">
        <v>0</v>
      </c>
      <c r="AA251" s="34">
        <v>0</v>
      </c>
      <c r="AB251" s="34">
        <v>0</v>
      </c>
      <c r="AC251" s="34">
        <v>0</v>
      </c>
      <c r="AD251" s="34">
        <v>0</v>
      </c>
      <c r="AE251" s="34">
        <v>0</v>
      </c>
      <c r="AF251" s="30"/>
      <c r="AG251" s="6">
        <f t="shared" ref="AG251:AG261" si="608">SUM(T251:AE251)/12</f>
        <v>0</v>
      </c>
      <c r="AJ251" s="61">
        <v>2022</v>
      </c>
      <c r="AK251" s="171">
        <v>0</v>
      </c>
      <c r="AL251" s="171">
        <v>0</v>
      </c>
      <c r="AM251" s="171">
        <v>0</v>
      </c>
      <c r="AN251" s="171">
        <v>0</v>
      </c>
      <c r="AO251" s="171">
        <v>0</v>
      </c>
      <c r="AP251" s="171">
        <v>0</v>
      </c>
      <c r="AQ251" s="171">
        <v>0</v>
      </c>
      <c r="AR251" s="171">
        <v>0</v>
      </c>
      <c r="AS251" s="171">
        <v>0</v>
      </c>
      <c r="AT251" s="171">
        <v>0</v>
      </c>
      <c r="AU251" s="171">
        <v>0</v>
      </c>
      <c r="AV251" s="171">
        <v>0</v>
      </c>
      <c r="AW251" s="90">
        <f t="shared" si="605"/>
        <v>0</v>
      </c>
    </row>
    <row r="252" spans="1:50" x14ac:dyDescent="0.25">
      <c r="A252" s="258" t="s">
        <v>179</v>
      </c>
      <c r="B252" s="145">
        <v>0</v>
      </c>
      <c r="C252" s="145">
        <v>0</v>
      </c>
      <c r="D252" s="145">
        <v>0</v>
      </c>
      <c r="E252" s="145">
        <v>0</v>
      </c>
      <c r="F252" s="145">
        <v>0</v>
      </c>
      <c r="G252" s="145">
        <v>0</v>
      </c>
      <c r="H252" s="145">
        <v>0</v>
      </c>
      <c r="I252" s="145">
        <v>0</v>
      </c>
      <c r="J252" s="145">
        <v>0</v>
      </c>
      <c r="K252" s="145">
        <v>0</v>
      </c>
      <c r="L252" s="145">
        <v>0</v>
      </c>
      <c r="M252" s="145">
        <v>0</v>
      </c>
      <c r="N252" s="67">
        <v>0</v>
      </c>
      <c r="O252" s="115">
        <f t="shared" ref="O252:O253" si="609">SUM(B252:M252)</f>
        <v>0</v>
      </c>
      <c r="P252" s="136"/>
      <c r="Q252" s="138">
        <f t="shared" si="607"/>
        <v>0</v>
      </c>
      <c r="R252" s="148"/>
      <c r="S252" s="61">
        <v>2021</v>
      </c>
      <c r="T252" s="34">
        <v>0</v>
      </c>
      <c r="U252" s="34">
        <v>0</v>
      </c>
      <c r="V252" s="34">
        <v>0</v>
      </c>
      <c r="W252" s="34">
        <v>0</v>
      </c>
      <c r="X252" s="34">
        <v>0</v>
      </c>
      <c r="Y252" s="34">
        <v>0</v>
      </c>
      <c r="Z252" s="34">
        <v>0</v>
      </c>
      <c r="AA252" s="34">
        <v>0</v>
      </c>
      <c r="AB252" s="34">
        <v>0</v>
      </c>
      <c r="AC252" s="34">
        <v>0</v>
      </c>
      <c r="AD252" s="34">
        <v>0</v>
      </c>
      <c r="AE252" s="34">
        <v>0</v>
      </c>
      <c r="AF252" s="88">
        <f t="shared" ref="AF252:AF255" si="610">(SUM(T252:Y252)+SUM(Z253:AE253))/12</f>
        <v>699.33333333333337</v>
      </c>
      <c r="AG252" s="6">
        <f t="shared" si="608"/>
        <v>0</v>
      </c>
      <c r="AJ252" s="61">
        <v>2021</v>
      </c>
      <c r="AK252" s="171">
        <v>0</v>
      </c>
      <c r="AL252" s="171">
        <v>0</v>
      </c>
      <c r="AM252" s="171">
        <v>0</v>
      </c>
      <c r="AN252" s="171">
        <v>0</v>
      </c>
      <c r="AO252" s="171">
        <v>0</v>
      </c>
      <c r="AP252" s="171">
        <v>0</v>
      </c>
      <c r="AQ252" s="171">
        <v>0</v>
      </c>
      <c r="AR252" s="171">
        <v>0</v>
      </c>
      <c r="AS252" s="171">
        <v>0</v>
      </c>
      <c r="AT252" s="171">
        <v>0</v>
      </c>
      <c r="AU252" s="171">
        <v>0</v>
      </c>
      <c r="AV252" s="171">
        <v>0</v>
      </c>
      <c r="AW252" s="90">
        <f t="shared" si="605"/>
        <v>0</v>
      </c>
      <c r="AX252" s="81"/>
    </row>
    <row r="253" spans="1:50" x14ac:dyDescent="0.25">
      <c r="A253" s="61">
        <v>2020</v>
      </c>
      <c r="B253" s="190">
        <v>4656.6080000000002</v>
      </c>
      <c r="C253" s="190">
        <v>3858.1640000000002</v>
      </c>
      <c r="D253" s="190">
        <v>3560.5279999999998</v>
      </c>
      <c r="E253" s="190">
        <v>4062.58</v>
      </c>
      <c r="F253" s="190">
        <v>4213.4650000000001</v>
      </c>
      <c r="G253" s="190">
        <v>4792.116</v>
      </c>
      <c r="H253" s="190">
        <v>7633.6049999999996</v>
      </c>
      <c r="I253" s="190">
        <v>9524.8520000000008</v>
      </c>
      <c r="J253" s="190">
        <v>8647.9860000000008</v>
      </c>
      <c r="K253" s="190">
        <v>7463.1729999999998</v>
      </c>
      <c r="L253" s="190">
        <v>6789.7339999999986</v>
      </c>
      <c r="M253" s="190">
        <v>4750.0150000000003</v>
      </c>
      <c r="N253" s="67">
        <f t="shared" si="606"/>
        <v>64666.460999999996</v>
      </c>
      <c r="O253" s="115">
        <f t="shared" si="609"/>
        <v>69952.826000000015</v>
      </c>
      <c r="P253" s="136">
        <f>SUM(O253:O257)</f>
        <v>342132.95</v>
      </c>
      <c r="Q253" s="138">
        <f t="shared" si="607"/>
        <v>68426.59</v>
      </c>
      <c r="R253" s="148"/>
      <c r="S253" s="61">
        <v>2020</v>
      </c>
      <c r="T253" s="190">
        <v>1371</v>
      </c>
      <c r="U253" s="190">
        <v>1372</v>
      </c>
      <c r="V253" s="190">
        <v>1383</v>
      </c>
      <c r="W253" s="190">
        <v>1385</v>
      </c>
      <c r="X253" s="190">
        <v>1395</v>
      </c>
      <c r="Y253" s="190">
        <v>1399</v>
      </c>
      <c r="Z253" s="190">
        <v>1399</v>
      </c>
      <c r="AA253" s="190">
        <v>1401</v>
      </c>
      <c r="AB253" s="190">
        <v>1401</v>
      </c>
      <c r="AC253" s="190">
        <v>1401</v>
      </c>
      <c r="AD253" s="190">
        <v>1395</v>
      </c>
      <c r="AE253" s="190">
        <v>1395</v>
      </c>
      <c r="AF253" s="88">
        <f t="shared" si="610"/>
        <v>1385</v>
      </c>
      <c r="AG253" s="6">
        <f t="shared" si="608"/>
        <v>1391.4166666666667</v>
      </c>
      <c r="AJ253" s="61">
        <v>2020</v>
      </c>
      <c r="AK253" s="9">
        <f t="shared" ref="AK253:AK261" si="611">B253/T253</f>
        <v>3.3965047410649163</v>
      </c>
      <c r="AL253" s="9">
        <f t="shared" ref="AL253:AL261" si="612">C253/U253</f>
        <v>2.8120728862973761</v>
      </c>
      <c r="AM253" s="79">
        <f t="shared" ref="AM253:AM261" si="613">D253/V253</f>
        <v>2.5744960231381055</v>
      </c>
      <c r="AN253" s="79">
        <f t="shared" ref="AN253:AN261" si="614">E253/W253</f>
        <v>2.9332707581227435</v>
      </c>
      <c r="AO253" s="79">
        <f t="shared" ref="AO253:AO261" si="615">F253/X253</f>
        <v>3.020405017921147</v>
      </c>
      <c r="AP253" s="79">
        <f t="shared" ref="AP253:AP261" si="616">G253/Y253</f>
        <v>3.4253867047891351</v>
      </c>
      <c r="AQ253" s="79">
        <f t="shared" ref="AQ253" si="617">H253/Z253</f>
        <v>5.4564724803431019</v>
      </c>
      <c r="AR253" s="79">
        <f t="shared" ref="AR253" si="618">I253/AA253</f>
        <v>6.7986095645967168</v>
      </c>
      <c r="AS253" s="79">
        <f t="shared" ref="AS253" si="619">J253/AB253</f>
        <v>6.172723768736617</v>
      </c>
      <c r="AT253" s="79">
        <f t="shared" ref="AT253" si="620">K253/AC253</f>
        <v>5.3270328336902208</v>
      </c>
      <c r="AU253" s="79">
        <f t="shared" ref="AU253" si="621">L253/AD253</f>
        <v>4.8671928315412174</v>
      </c>
      <c r="AV253" s="79">
        <f t="shared" ref="AV253" si="622">M253/AE253</f>
        <v>3.4050286738351256</v>
      </c>
      <c r="AW253" s="90">
        <f>(SUM(AK253:AP253)+SUM(AQ253:AV253))/365.25</f>
        <v>0.13741053055188618</v>
      </c>
      <c r="AX253" s="81"/>
    </row>
    <row r="254" spans="1:50" x14ac:dyDescent="0.25">
      <c r="A254" s="61">
        <v>2019</v>
      </c>
      <c r="B254" s="125">
        <v>4573.8999999999996</v>
      </c>
      <c r="C254" s="125">
        <v>3392.3</v>
      </c>
      <c r="D254" s="125">
        <v>3390.6</v>
      </c>
      <c r="E254" s="125">
        <v>4254.8</v>
      </c>
      <c r="F254" s="125">
        <v>4749.5</v>
      </c>
      <c r="G254" s="125">
        <v>5547.1</v>
      </c>
      <c r="H254" s="190">
        <v>6180.4</v>
      </c>
      <c r="I254" s="190">
        <v>8709.7999999999993</v>
      </c>
      <c r="J254" s="190">
        <v>7848.5</v>
      </c>
      <c r="K254" s="190">
        <v>6748.8</v>
      </c>
      <c r="L254" s="190">
        <v>5593.4</v>
      </c>
      <c r="M254" s="190">
        <v>4442.1000000000004</v>
      </c>
      <c r="N254" s="67">
        <f t="shared" si="606"/>
        <v>68525.399999999994</v>
      </c>
      <c r="O254" s="115">
        <f>SUM(B254:M254)</f>
        <v>65431.199999999997</v>
      </c>
      <c r="P254" s="136">
        <f t="shared" ref="P254:P257" si="623">SUM(O254:O258)</f>
        <v>335613.91200000001</v>
      </c>
      <c r="Q254" s="138">
        <f t="shared" si="607"/>
        <v>67122.782399999996</v>
      </c>
      <c r="R254" s="108"/>
      <c r="S254" s="61">
        <v>2019</v>
      </c>
      <c r="T254" s="35">
        <v>1364</v>
      </c>
      <c r="U254" s="35">
        <v>1369</v>
      </c>
      <c r="V254" s="35">
        <v>1372</v>
      </c>
      <c r="W254" s="35">
        <v>1384</v>
      </c>
      <c r="X254" s="35">
        <v>1387</v>
      </c>
      <c r="Y254" s="35">
        <v>1387</v>
      </c>
      <c r="Z254" s="190">
        <v>1390</v>
      </c>
      <c r="AA254" s="190">
        <v>1391</v>
      </c>
      <c r="AB254" s="190">
        <v>1393</v>
      </c>
      <c r="AC254" s="190">
        <v>1386</v>
      </c>
      <c r="AD254" s="190">
        <v>1378</v>
      </c>
      <c r="AE254" s="190">
        <v>1377</v>
      </c>
      <c r="AF254" s="8">
        <f t="shared" si="610"/>
        <v>1374.3333333333333</v>
      </c>
      <c r="AG254" s="6">
        <f t="shared" si="608"/>
        <v>1381.5</v>
      </c>
      <c r="AJ254" s="61">
        <v>2019</v>
      </c>
      <c r="AK254" s="9">
        <f t="shared" si="611"/>
        <v>3.3532991202346039</v>
      </c>
      <c r="AL254" s="9">
        <f t="shared" si="612"/>
        <v>2.4779401022644265</v>
      </c>
      <c r="AM254" s="9">
        <f t="shared" si="613"/>
        <v>2.4712827988338191</v>
      </c>
      <c r="AN254" s="9">
        <f t="shared" si="614"/>
        <v>3.0742774566473989</v>
      </c>
      <c r="AO254" s="9">
        <f t="shared" si="615"/>
        <v>3.4242970439798124</v>
      </c>
      <c r="AP254" s="9">
        <f t="shared" si="616"/>
        <v>3.9993511175198271</v>
      </c>
      <c r="AQ254" s="11">
        <f t="shared" ref="AQ254:AV261" si="624">H254/Z254</f>
        <v>4.4463309352517983</v>
      </c>
      <c r="AR254" s="11">
        <f t="shared" si="624"/>
        <v>6.2615384615384606</v>
      </c>
      <c r="AS254" s="11">
        <f t="shared" si="624"/>
        <v>5.6342426417803306</v>
      </c>
      <c r="AT254" s="11">
        <f t="shared" si="624"/>
        <v>4.8692640692640694</v>
      </c>
      <c r="AU254" s="11">
        <f t="shared" si="624"/>
        <v>4.0590711175616834</v>
      </c>
      <c r="AV254" s="11">
        <f t="shared" si="624"/>
        <v>3.2259259259259263</v>
      </c>
      <c r="AW254" s="90">
        <f t="shared" ref="AW254:AW262" si="625">(SUM(AK254:AP254)+SUM(AQ254:AV254))/365.25</f>
        <v>0.12949163803094363</v>
      </c>
      <c r="AX254" s="81"/>
    </row>
    <row r="255" spans="1:50" x14ac:dyDescent="0.25">
      <c r="A255" s="61">
        <v>2018</v>
      </c>
      <c r="B255" s="116">
        <v>5060.2</v>
      </c>
      <c r="C255" s="116">
        <v>3910</v>
      </c>
      <c r="D255" s="116">
        <v>3432.8</v>
      </c>
      <c r="E255" s="116">
        <v>4397.3</v>
      </c>
      <c r="F255" s="116">
        <v>3914.3</v>
      </c>
      <c r="G255" s="116">
        <v>6261.5</v>
      </c>
      <c r="H255" s="116">
        <v>9596.2999999999993</v>
      </c>
      <c r="I255" s="116">
        <v>9054.7000000000007</v>
      </c>
      <c r="J255" s="116">
        <v>7980.8</v>
      </c>
      <c r="K255" s="116">
        <v>6080.2</v>
      </c>
      <c r="L255" s="116">
        <v>5569.2</v>
      </c>
      <c r="M255" s="116">
        <v>4336</v>
      </c>
      <c r="N255" s="67">
        <f t="shared" si="606"/>
        <v>69322.175999999992</v>
      </c>
      <c r="O255" s="115">
        <f t="shared" ref="O255:O261" si="626">SUM(B255:M255)</f>
        <v>69593.299999999988</v>
      </c>
      <c r="P255" s="136">
        <f t="shared" si="623"/>
        <v>333433.88</v>
      </c>
      <c r="Q255" s="138">
        <f t="shared" si="607"/>
        <v>66686.775999999998</v>
      </c>
      <c r="R255" s="148"/>
      <c r="S255" s="61">
        <v>2018</v>
      </c>
      <c r="T255" s="35">
        <v>1339</v>
      </c>
      <c r="U255" s="35">
        <v>1342</v>
      </c>
      <c r="V255" s="35">
        <v>1346</v>
      </c>
      <c r="W255" s="35">
        <v>1354</v>
      </c>
      <c r="X255" s="35">
        <v>1359</v>
      </c>
      <c r="Y255" s="35">
        <v>1364</v>
      </c>
      <c r="Z255" s="35">
        <v>1369</v>
      </c>
      <c r="AA255" s="35">
        <v>1371</v>
      </c>
      <c r="AB255" s="35">
        <v>1377</v>
      </c>
      <c r="AC255" s="35">
        <v>1376</v>
      </c>
      <c r="AD255" s="35">
        <v>1370</v>
      </c>
      <c r="AE255" s="35">
        <v>1366</v>
      </c>
      <c r="AF255" s="8">
        <f t="shared" si="610"/>
        <v>1347.75</v>
      </c>
      <c r="AG255" s="6">
        <f t="shared" si="608"/>
        <v>1361.0833333333333</v>
      </c>
      <c r="AJ255" s="61">
        <v>2018</v>
      </c>
      <c r="AK255" s="9">
        <f t="shared" si="611"/>
        <v>3.7790888722927556</v>
      </c>
      <c r="AL255" s="9">
        <f t="shared" si="612"/>
        <v>2.9135618479880776</v>
      </c>
      <c r="AM255" s="9">
        <f t="shared" si="613"/>
        <v>2.5503714710252603</v>
      </c>
      <c r="AN255" s="9">
        <f t="shared" si="614"/>
        <v>3.2476366322008863</v>
      </c>
      <c r="AO255" s="9">
        <f t="shared" si="615"/>
        <v>2.8802796173657104</v>
      </c>
      <c r="AP255" s="9">
        <f t="shared" si="616"/>
        <v>4.5905425219941352</v>
      </c>
      <c r="AQ255" s="11">
        <f t="shared" si="624"/>
        <v>7.0097151205259305</v>
      </c>
      <c r="AR255" s="11">
        <f t="shared" si="624"/>
        <v>6.6044493070751278</v>
      </c>
      <c r="AS255" s="11">
        <f t="shared" si="624"/>
        <v>5.7957879448075529</v>
      </c>
      <c r="AT255" s="11">
        <f t="shared" si="624"/>
        <v>4.4187500000000002</v>
      </c>
      <c r="AU255" s="11">
        <f t="shared" si="624"/>
        <v>4.0651094890510944</v>
      </c>
      <c r="AV255" s="11">
        <f t="shared" si="624"/>
        <v>3.1742313323572473</v>
      </c>
      <c r="AW255" s="90">
        <f t="shared" si="625"/>
        <v>0.13971122287935325</v>
      </c>
      <c r="AX255" s="81"/>
    </row>
    <row r="256" spans="1:50" x14ac:dyDescent="0.25">
      <c r="A256" s="3">
        <v>2017</v>
      </c>
      <c r="B256" s="66">
        <v>4432.6480000000001</v>
      </c>
      <c r="C256" s="66">
        <v>3765.9639999999999</v>
      </c>
      <c r="D256" s="66">
        <v>3350.232</v>
      </c>
      <c r="E256" s="66">
        <v>4003.4920000000002</v>
      </c>
      <c r="F256" s="66">
        <v>4212.7560000000003</v>
      </c>
      <c r="G256" s="66">
        <v>5266.152</v>
      </c>
      <c r="H256" s="116">
        <v>7741.6279999999997</v>
      </c>
      <c r="I256" s="116">
        <v>8861.5679999999993</v>
      </c>
      <c r="J256" s="116">
        <v>7203.5839999999998</v>
      </c>
      <c r="K256" s="116">
        <v>7448.424</v>
      </c>
      <c r="L256" s="116">
        <v>6616.768</v>
      </c>
      <c r="M256" s="116">
        <v>4474.1040000000003</v>
      </c>
      <c r="N256" s="67">
        <f>SUM(B256:G256)+SUM(H257:M257)</f>
        <v>68675.54800000001</v>
      </c>
      <c r="O256" s="115">
        <f t="shared" si="626"/>
        <v>67377.320000000007</v>
      </c>
      <c r="P256" s="136">
        <f t="shared" si="623"/>
        <v>328353.08300978743</v>
      </c>
      <c r="Q256" s="138">
        <f>P256/5</f>
        <v>65670.616601957488</v>
      </c>
      <c r="R256" s="151"/>
      <c r="S256" s="3">
        <v>2017</v>
      </c>
      <c r="T256" s="6">
        <v>1371</v>
      </c>
      <c r="U256" s="6">
        <v>1315</v>
      </c>
      <c r="V256" s="6">
        <v>1328</v>
      </c>
      <c r="W256" s="6">
        <v>1329</v>
      </c>
      <c r="X256" s="6">
        <v>1337</v>
      </c>
      <c r="Y256" s="6">
        <v>1342</v>
      </c>
      <c r="Z256" s="6">
        <v>1343</v>
      </c>
      <c r="AA256" s="6">
        <v>1344</v>
      </c>
      <c r="AB256" s="6">
        <v>1347</v>
      </c>
      <c r="AC256" s="6">
        <v>1346</v>
      </c>
      <c r="AD256" s="6">
        <v>1346</v>
      </c>
      <c r="AE256" s="6">
        <v>1343</v>
      </c>
      <c r="AF256" s="8">
        <f>(SUM(T256:Y256)+SUM(Z257:AE257))/12</f>
        <v>1327.6666666666667</v>
      </c>
      <c r="AG256" s="6">
        <f t="shared" si="608"/>
        <v>1340.9166666666667</v>
      </c>
      <c r="AJ256" s="3">
        <v>2017</v>
      </c>
      <c r="AK256" s="9">
        <f t="shared" si="611"/>
        <v>3.2331495258935083</v>
      </c>
      <c r="AL256" s="9">
        <f t="shared" si="612"/>
        <v>2.8638509505703422</v>
      </c>
      <c r="AM256" s="9">
        <f t="shared" si="613"/>
        <v>2.5227650602409639</v>
      </c>
      <c r="AN256" s="9">
        <f t="shared" si="614"/>
        <v>3.0124093303235515</v>
      </c>
      <c r="AO256" s="9">
        <f t="shared" si="615"/>
        <v>3.1509020194465225</v>
      </c>
      <c r="AP256" s="9">
        <f t="shared" si="616"/>
        <v>3.9241073025335322</v>
      </c>
      <c r="AQ256" s="11">
        <f t="shared" si="624"/>
        <v>5.7644288905435586</v>
      </c>
      <c r="AR256" s="11">
        <f t="shared" si="624"/>
        <v>6.5934285714285705</v>
      </c>
      <c r="AS256" s="11">
        <f t="shared" si="624"/>
        <v>5.3478723088344466</v>
      </c>
      <c r="AT256" s="11">
        <f t="shared" si="624"/>
        <v>5.5337473997028228</v>
      </c>
      <c r="AU256" s="11">
        <f t="shared" si="624"/>
        <v>4.915875185735513</v>
      </c>
      <c r="AV256" s="11">
        <f t="shared" si="624"/>
        <v>3.331425167535369</v>
      </c>
      <c r="AW256" s="90">
        <f t="shared" si="625"/>
        <v>0.13742357758463711</v>
      </c>
      <c r="AX256" s="81"/>
    </row>
    <row r="257" spans="1:50" x14ac:dyDescent="0.25">
      <c r="A257" s="3">
        <v>2016</v>
      </c>
      <c r="B257" s="66">
        <v>4809.4399999999996</v>
      </c>
      <c r="C257" s="66">
        <v>3647.82</v>
      </c>
      <c r="D257" s="66">
        <v>3574.04</v>
      </c>
      <c r="E257" s="66">
        <v>3949.6320000000001</v>
      </c>
      <c r="F257" s="66">
        <v>4693.1639999999998</v>
      </c>
      <c r="G257" s="66">
        <v>5459.9040000000005</v>
      </c>
      <c r="H257" s="66">
        <v>8692.652</v>
      </c>
      <c r="I257" s="66">
        <v>9042.5040000000008</v>
      </c>
      <c r="J257" s="66">
        <v>8278.7919999999995</v>
      </c>
      <c r="K257" s="66">
        <v>7459.8360000000002</v>
      </c>
      <c r="L257" s="66">
        <v>5502.8440000000001</v>
      </c>
      <c r="M257" s="66">
        <v>4667.6760000000004</v>
      </c>
      <c r="N257" s="67">
        <f t="shared" ref="N257:N262" si="627">SUM(B257:G257)+SUM(H258:M258)</f>
        <v>65761.703999999998</v>
      </c>
      <c r="O257" s="115">
        <f t="shared" si="626"/>
        <v>69778.304000000004</v>
      </c>
      <c r="P257" s="136">
        <f t="shared" si="623"/>
        <v>324460.75395125593</v>
      </c>
      <c r="Q257" s="138">
        <f t="shared" ref="Q257" si="628">P257/5</f>
        <v>64892.150790251188</v>
      </c>
      <c r="R257" s="151"/>
      <c r="S257" s="3">
        <v>2016</v>
      </c>
      <c r="T257" s="6">
        <v>1293</v>
      </c>
      <c r="U257" s="6">
        <v>1299</v>
      </c>
      <c r="V257" s="6">
        <v>1301</v>
      </c>
      <c r="W257" s="6">
        <v>1310</v>
      </c>
      <c r="X257" s="6">
        <v>1311</v>
      </c>
      <c r="Y257" s="6">
        <v>1315</v>
      </c>
      <c r="Z257" s="6">
        <v>1313</v>
      </c>
      <c r="AA257" s="6">
        <v>1321</v>
      </c>
      <c r="AB257" s="6">
        <v>1323</v>
      </c>
      <c r="AC257" s="6">
        <v>1320</v>
      </c>
      <c r="AD257" s="6">
        <v>1317</v>
      </c>
      <c r="AE257" s="6">
        <v>1316</v>
      </c>
      <c r="AF257" s="8">
        <f t="shared" ref="AF257:AF260" si="629">(SUM(T257:Y257)+SUM(Z258:AE258))/12</f>
        <v>1303.0833333333333</v>
      </c>
      <c r="AG257" s="6">
        <f t="shared" si="608"/>
        <v>1311.5833333333333</v>
      </c>
      <c r="AJ257" s="3">
        <v>2016</v>
      </c>
      <c r="AK257" s="9">
        <f t="shared" si="611"/>
        <v>3.7195978344934257</v>
      </c>
      <c r="AL257" s="9">
        <f t="shared" si="612"/>
        <v>2.8081755196304852</v>
      </c>
      <c r="AM257" s="9">
        <f t="shared" si="613"/>
        <v>2.7471483474250578</v>
      </c>
      <c r="AN257" s="9">
        <f t="shared" si="614"/>
        <v>3.0149862595419847</v>
      </c>
      <c r="AO257" s="9">
        <f t="shared" si="615"/>
        <v>3.5798352402745994</v>
      </c>
      <c r="AP257" s="9">
        <f t="shared" si="616"/>
        <v>4.1520182509505705</v>
      </c>
      <c r="AQ257" s="11">
        <f t="shared" si="624"/>
        <v>6.6204508758568164</v>
      </c>
      <c r="AR257" s="11">
        <f t="shared" si="624"/>
        <v>6.8451960635881912</v>
      </c>
      <c r="AS257" s="11">
        <f t="shared" si="624"/>
        <v>6.2575903250188958</v>
      </c>
      <c r="AT257" s="11">
        <f t="shared" si="624"/>
        <v>5.6513909090909094</v>
      </c>
      <c r="AU257" s="11">
        <f t="shared" si="624"/>
        <v>4.1783173880030375</v>
      </c>
      <c r="AV257" s="11">
        <f t="shared" si="624"/>
        <v>3.5468662613981765</v>
      </c>
      <c r="AW257" s="90">
        <f t="shared" si="625"/>
        <v>0.14543894120539946</v>
      </c>
      <c r="AX257" s="81"/>
    </row>
    <row r="258" spans="1:50" x14ac:dyDescent="0.25">
      <c r="A258" s="3">
        <v>2015</v>
      </c>
      <c r="B258" s="66">
        <v>4030.2080000000001</v>
      </c>
      <c r="C258" s="66">
        <v>3573.8919999999998</v>
      </c>
      <c r="D258" s="66">
        <v>3573.9960000000001</v>
      </c>
      <c r="E258" s="66">
        <v>3864.6640000000002</v>
      </c>
      <c r="F258" s="66">
        <v>3954.192</v>
      </c>
      <c r="G258" s="66">
        <v>4809.1319999999996</v>
      </c>
      <c r="H258" s="66">
        <v>6933.4</v>
      </c>
      <c r="I258" s="66">
        <v>8047.5919999999996</v>
      </c>
      <c r="J258" s="66">
        <v>6921.4359999999997</v>
      </c>
      <c r="K258" s="66">
        <v>6894.6679999999997</v>
      </c>
      <c r="L258" s="66">
        <v>6198.3559999999998</v>
      </c>
      <c r="M258" s="66">
        <v>4632.2520000000004</v>
      </c>
      <c r="N258" s="67">
        <f t="shared" si="627"/>
        <v>62420.996000000006</v>
      </c>
      <c r="O258" s="115">
        <f t="shared" si="626"/>
        <v>63433.788</v>
      </c>
      <c r="P258" s="121"/>
      <c r="Q258" s="47"/>
      <c r="R258" s="151"/>
      <c r="S258" s="3">
        <v>2015</v>
      </c>
      <c r="T258" s="6">
        <v>1278</v>
      </c>
      <c r="U258" s="6">
        <v>1279</v>
      </c>
      <c r="V258" s="6">
        <v>1282</v>
      </c>
      <c r="W258" s="6">
        <v>1288</v>
      </c>
      <c r="X258" s="6">
        <v>1301</v>
      </c>
      <c r="Y258" s="6">
        <v>1303</v>
      </c>
      <c r="Z258" s="6">
        <v>1306</v>
      </c>
      <c r="AA258" s="6">
        <v>1305</v>
      </c>
      <c r="AB258" s="6">
        <v>1305</v>
      </c>
      <c r="AC258" s="6">
        <v>1303</v>
      </c>
      <c r="AD258" s="6">
        <v>1300</v>
      </c>
      <c r="AE258" s="6">
        <v>1289</v>
      </c>
      <c r="AF258" s="8">
        <f t="shared" si="629"/>
        <v>1285</v>
      </c>
      <c r="AG258" s="6">
        <f t="shared" si="608"/>
        <v>1294.9166666666667</v>
      </c>
      <c r="AJ258" s="3">
        <v>2015</v>
      </c>
      <c r="AK258" s="9">
        <f t="shared" si="611"/>
        <v>3.1535273865414712</v>
      </c>
      <c r="AL258" s="9">
        <f t="shared" si="612"/>
        <v>2.7942861610633307</v>
      </c>
      <c r="AM258" s="9">
        <f t="shared" si="613"/>
        <v>2.7878283931357255</v>
      </c>
      <c r="AN258" s="9">
        <f t="shared" si="614"/>
        <v>3.0005155279503106</v>
      </c>
      <c r="AO258" s="9">
        <f t="shared" si="615"/>
        <v>3.039348193697156</v>
      </c>
      <c r="AP258" s="9">
        <f t="shared" si="616"/>
        <v>3.6908150422102834</v>
      </c>
      <c r="AQ258" s="11">
        <f t="shared" si="624"/>
        <v>5.3088820826952521</v>
      </c>
      <c r="AR258" s="11">
        <f t="shared" si="624"/>
        <v>6.1667371647509572</v>
      </c>
      <c r="AS258" s="11">
        <f t="shared" si="624"/>
        <v>5.3037823754789271</v>
      </c>
      <c r="AT258" s="11">
        <f t="shared" si="624"/>
        <v>5.291379892555641</v>
      </c>
      <c r="AU258" s="11">
        <f t="shared" si="624"/>
        <v>4.767966153846154</v>
      </c>
      <c r="AV258" s="11">
        <f t="shared" si="624"/>
        <v>3.5936788207913115</v>
      </c>
      <c r="AW258" s="90">
        <f t="shared" si="625"/>
        <v>0.13387747349682824</v>
      </c>
      <c r="AX258" s="81"/>
    </row>
    <row r="259" spans="1:50" x14ac:dyDescent="0.25">
      <c r="A259" s="3">
        <v>2014</v>
      </c>
      <c r="B259" s="66">
        <v>3853.172</v>
      </c>
      <c r="C259" s="66">
        <v>3240.3159999999998</v>
      </c>
      <c r="D259" s="66">
        <v>2799.24</v>
      </c>
      <c r="E259" s="66">
        <v>4361.8</v>
      </c>
      <c r="F259" s="66">
        <v>4455.0680000000002</v>
      </c>
      <c r="G259" s="66">
        <v>5926.66</v>
      </c>
      <c r="H259" s="66">
        <v>5637.9639999999999</v>
      </c>
      <c r="I259" s="66">
        <v>9071.7080000000005</v>
      </c>
      <c r="J259" s="66">
        <v>8739.7880000000005</v>
      </c>
      <c r="K259" s="66">
        <v>6125.5720000000001</v>
      </c>
      <c r="L259" s="66">
        <v>5367.6880000000001</v>
      </c>
      <c r="M259" s="66">
        <v>3672.192</v>
      </c>
      <c r="N259" s="67">
        <f t="shared" si="627"/>
        <v>69687.356</v>
      </c>
      <c r="O259" s="115">
        <f t="shared" si="626"/>
        <v>63251.168000000005</v>
      </c>
      <c r="P259" s="121"/>
      <c r="Q259" s="47"/>
      <c r="R259" s="151"/>
      <c r="S259" s="3">
        <v>2014</v>
      </c>
      <c r="T259" s="6">
        <v>1271</v>
      </c>
      <c r="U259" s="6">
        <v>1272</v>
      </c>
      <c r="V259" s="6">
        <v>1272</v>
      </c>
      <c r="W259" s="6">
        <v>1274</v>
      </c>
      <c r="X259" s="6">
        <v>1276</v>
      </c>
      <c r="Y259" s="6">
        <v>1280</v>
      </c>
      <c r="Z259" s="6">
        <v>1284</v>
      </c>
      <c r="AA259" s="6">
        <v>1285</v>
      </c>
      <c r="AB259" s="6">
        <v>1286</v>
      </c>
      <c r="AC259" s="6">
        <v>1284</v>
      </c>
      <c r="AD259" s="6">
        <v>1276</v>
      </c>
      <c r="AE259" s="6">
        <v>1274</v>
      </c>
      <c r="AF259" s="8">
        <f t="shared" si="629"/>
        <v>1269.3333333333333</v>
      </c>
      <c r="AG259" s="6">
        <f t="shared" si="608"/>
        <v>1277.8333333333333</v>
      </c>
      <c r="AJ259" s="3">
        <v>2014</v>
      </c>
      <c r="AK259" s="9">
        <f t="shared" si="611"/>
        <v>3.0316066089693154</v>
      </c>
      <c r="AL259" s="9">
        <f t="shared" si="612"/>
        <v>2.5474182389937106</v>
      </c>
      <c r="AM259" s="9">
        <f t="shared" si="613"/>
        <v>2.2006603773584903</v>
      </c>
      <c r="AN259" s="9">
        <f t="shared" si="614"/>
        <v>3.4237048665620096</v>
      </c>
      <c r="AO259" s="9">
        <f t="shared" si="615"/>
        <v>3.4914326018808781</v>
      </c>
      <c r="AP259" s="9">
        <f t="shared" si="616"/>
        <v>4.6302031249999995</v>
      </c>
      <c r="AQ259" s="11">
        <f t="shared" si="624"/>
        <v>4.3909376947040499</v>
      </c>
      <c r="AR259" s="11">
        <f t="shared" si="624"/>
        <v>7.059694941634242</v>
      </c>
      <c r="AS259" s="11">
        <f t="shared" si="624"/>
        <v>6.796102643856921</v>
      </c>
      <c r="AT259" s="11">
        <f t="shared" si="624"/>
        <v>4.770694704049844</v>
      </c>
      <c r="AU259" s="11">
        <f t="shared" si="624"/>
        <v>4.2066520376175554</v>
      </c>
      <c r="AV259" s="11">
        <f t="shared" si="624"/>
        <v>2.8824113029827316</v>
      </c>
      <c r="AW259" s="90">
        <f t="shared" si="625"/>
        <v>0.13533612359646749</v>
      </c>
      <c r="AX259" s="81"/>
    </row>
    <row r="260" spans="1:50" x14ac:dyDescent="0.25">
      <c r="A260" s="3">
        <v>2013</v>
      </c>
      <c r="B260" s="66">
        <v>3620.3482939261412</v>
      </c>
      <c r="C260" s="66">
        <v>3473.890857909726</v>
      </c>
      <c r="D260" s="66">
        <v>2250.5405100079033</v>
      </c>
      <c r="E260" s="66">
        <v>3381.1123916549832</v>
      </c>
      <c r="F260" s="66">
        <v>3463.6189562886652</v>
      </c>
      <c r="G260" s="66">
        <v>3271.8919999999998</v>
      </c>
      <c r="H260" s="66">
        <v>13853.204</v>
      </c>
      <c r="I260" s="66">
        <v>627.62400000000002</v>
      </c>
      <c r="J260" s="66">
        <v>-2694.0120000000002</v>
      </c>
      <c r="K260" s="66">
        <v>873.71600000000001</v>
      </c>
      <c r="L260" s="66">
        <v>27366.68</v>
      </c>
      <c r="M260" s="66">
        <v>5023.8879999999999</v>
      </c>
      <c r="N260" s="67">
        <f t="shared" si="627"/>
        <v>61301.840477354846</v>
      </c>
      <c r="O260" s="115">
        <f t="shared" si="626"/>
        <v>64512.503009787419</v>
      </c>
      <c r="P260" s="121"/>
      <c r="Q260" s="47"/>
      <c r="R260" s="151"/>
      <c r="S260" s="3">
        <v>2013</v>
      </c>
      <c r="T260" s="6">
        <v>1159</v>
      </c>
      <c r="U260" s="6">
        <v>1172</v>
      </c>
      <c r="V260" s="6">
        <v>1177</v>
      </c>
      <c r="W260" s="6">
        <v>1198</v>
      </c>
      <c r="X260" s="6">
        <v>1259</v>
      </c>
      <c r="Y260" s="6">
        <v>1265</v>
      </c>
      <c r="Z260" s="6">
        <v>1279</v>
      </c>
      <c r="AA260" s="6">
        <v>1260</v>
      </c>
      <c r="AB260" s="6">
        <v>1261</v>
      </c>
      <c r="AC260" s="6">
        <v>1260</v>
      </c>
      <c r="AD260" s="6">
        <v>1255</v>
      </c>
      <c r="AE260" s="6">
        <v>1272</v>
      </c>
      <c r="AF260" s="8">
        <f t="shared" si="629"/>
        <v>1184</v>
      </c>
      <c r="AG260" s="6">
        <f t="shared" si="608"/>
        <v>1234.75</v>
      </c>
      <c r="AJ260" s="3">
        <v>2013</v>
      </c>
      <c r="AK260" s="9">
        <f t="shared" si="611"/>
        <v>3.1236827385040047</v>
      </c>
      <c r="AL260" s="9">
        <f t="shared" si="612"/>
        <v>2.9640706978751927</v>
      </c>
      <c r="AM260" s="9">
        <f t="shared" si="613"/>
        <v>1.9120989889616851</v>
      </c>
      <c r="AN260" s="9">
        <f t="shared" si="614"/>
        <v>2.822297488860587</v>
      </c>
      <c r="AO260" s="9">
        <f t="shared" si="615"/>
        <v>2.7510873362102184</v>
      </c>
      <c r="AP260" s="9">
        <f t="shared" si="616"/>
        <v>2.5864758893280633</v>
      </c>
      <c r="AQ260" s="11">
        <f t="shared" si="624"/>
        <v>10.831277560594215</v>
      </c>
      <c r="AR260" s="11">
        <f t="shared" si="624"/>
        <v>0.49811428571428573</v>
      </c>
      <c r="AS260" s="11">
        <f t="shared" si="624"/>
        <v>-2.1364091990483742</v>
      </c>
      <c r="AT260" s="11">
        <f t="shared" si="624"/>
        <v>0.69342539682539683</v>
      </c>
      <c r="AU260" s="11">
        <f t="shared" si="624"/>
        <v>21.80611952191235</v>
      </c>
      <c r="AV260" s="11">
        <f t="shared" si="624"/>
        <v>3.9495974842767296</v>
      </c>
      <c r="AW260" s="90">
        <f t="shared" si="625"/>
        <v>0.14182570346342055</v>
      </c>
      <c r="AX260" s="81"/>
    </row>
    <row r="261" spans="1:50" x14ac:dyDescent="0.25">
      <c r="A261" s="3">
        <v>2012</v>
      </c>
      <c r="B261" s="66">
        <v>2634.2457383043038</v>
      </c>
      <c r="C261" s="66">
        <v>2921.8589836940064</v>
      </c>
      <c r="D261" s="66">
        <v>3208.146822422927</v>
      </c>
      <c r="E261" s="66">
        <v>3744.9365200396528</v>
      </c>
      <c r="F261" s="66">
        <v>4997.4458144786804</v>
      </c>
      <c r="G261" s="66">
        <v>4137.9195949615278</v>
      </c>
      <c r="H261" s="66">
        <v>12162.594222666386</v>
      </c>
      <c r="I261" s="66">
        <v>8783.4699410025769</v>
      </c>
      <c r="J261" s="66">
        <v>5315.5434130663698</v>
      </c>
      <c r="K261" s="66">
        <v>7973.6464712647503</v>
      </c>
      <c r="L261" s="66">
        <v>4015.3194788391888</v>
      </c>
      <c r="M261" s="66">
        <v>3589.8639407281544</v>
      </c>
      <c r="N261" s="97">
        <f>SUM(B261:G261)+SUM(H262:M262)/11*12</f>
        <v>75435.006192515517</v>
      </c>
      <c r="O261" s="97">
        <f t="shared" si="626"/>
        <v>63484.990941468524</v>
      </c>
      <c r="P261" s="121"/>
      <c r="Q261" s="47"/>
      <c r="R261" s="154"/>
      <c r="S261" s="3">
        <v>2012</v>
      </c>
      <c r="T261" s="6">
        <v>1105</v>
      </c>
      <c r="U261" s="6">
        <v>1090</v>
      </c>
      <c r="V261" s="6">
        <v>1099</v>
      </c>
      <c r="W261" s="6">
        <v>1102</v>
      </c>
      <c r="X261" s="6">
        <v>1110</v>
      </c>
      <c r="Y261" s="6">
        <v>1110</v>
      </c>
      <c r="Z261" s="6">
        <v>1104</v>
      </c>
      <c r="AA261" s="6">
        <v>1183</v>
      </c>
      <c r="AB261" s="6">
        <v>1180</v>
      </c>
      <c r="AC261" s="6">
        <v>1178</v>
      </c>
      <c r="AD261" s="6">
        <v>1172</v>
      </c>
      <c r="AE261" s="6">
        <v>1161</v>
      </c>
      <c r="AF261" s="88">
        <f>(SUM(T261:Y261)+SUM(Z262:AE262))/11</f>
        <v>1293.6545454545455</v>
      </c>
      <c r="AG261" s="6">
        <f t="shared" si="608"/>
        <v>1132.8333333333333</v>
      </c>
      <c r="AJ261" s="3">
        <v>2012</v>
      </c>
      <c r="AK261" s="9">
        <f t="shared" si="611"/>
        <v>2.3839327948455238</v>
      </c>
      <c r="AL261" s="9">
        <f t="shared" si="612"/>
        <v>2.6806045721963363</v>
      </c>
      <c r="AM261" s="9">
        <f t="shared" si="613"/>
        <v>2.9191508848252292</v>
      </c>
      <c r="AN261" s="9">
        <f t="shared" si="614"/>
        <v>3.3983090018508646</v>
      </c>
      <c r="AO261" s="9">
        <f t="shared" si="615"/>
        <v>4.5022034364672798</v>
      </c>
      <c r="AP261" s="9">
        <f t="shared" si="616"/>
        <v>3.7278554909563315</v>
      </c>
      <c r="AQ261" s="11">
        <f t="shared" si="624"/>
        <v>11.016842592994916</v>
      </c>
      <c r="AR261" s="11">
        <f t="shared" si="624"/>
        <v>7.4247421310250017</v>
      </c>
      <c r="AS261" s="11">
        <f t="shared" si="624"/>
        <v>4.5046978076833639</v>
      </c>
      <c r="AT261" s="11">
        <f t="shared" si="624"/>
        <v>6.7688000604963925</v>
      </c>
      <c r="AU261" s="11">
        <f t="shared" si="624"/>
        <v>3.4260405109549392</v>
      </c>
      <c r="AV261" s="11">
        <f t="shared" si="624"/>
        <v>3.0920447379226137</v>
      </c>
      <c r="AW261" s="90">
        <f t="shared" si="625"/>
        <v>0.15289589054680025</v>
      </c>
      <c r="AX261" s="81"/>
    </row>
    <row r="262" spans="1:50" x14ac:dyDescent="0.25">
      <c r="A262" s="3">
        <v>2011</v>
      </c>
      <c r="B262" s="66"/>
      <c r="C262" s="66"/>
      <c r="D262" s="66"/>
      <c r="E262" s="66"/>
      <c r="F262" s="66"/>
      <c r="G262" s="66"/>
      <c r="H262" s="65">
        <f>AVERAGE(H257:H261)</f>
        <v>9455.9628445332783</v>
      </c>
      <c r="I262" s="66">
        <v>14096.47847502484</v>
      </c>
      <c r="J262" s="66">
        <v>11940.819832276318</v>
      </c>
      <c r="K262" s="66">
        <v>2958.4091317553593</v>
      </c>
      <c r="L262" s="66">
        <v>6224.8765744181046</v>
      </c>
      <c r="M262" s="66">
        <v>4631.3681340553248</v>
      </c>
      <c r="N262" s="67">
        <f t="shared" si="627"/>
        <v>0</v>
      </c>
      <c r="O262" s="327">
        <f>AVERAGE(I262:M262)*12</f>
        <v>95644.685154071864</v>
      </c>
      <c r="P262" s="47"/>
      <c r="Q262" s="117"/>
      <c r="R262" s="151"/>
      <c r="S262" s="3">
        <v>2011</v>
      </c>
      <c r="T262" s="6"/>
      <c r="U262" s="6"/>
      <c r="V262" s="6"/>
      <c r="W262" s="6"/>
      <c r="X262" s="6"/>
      <c r="Y262" s="6"/>
      <c r="Z262" s="35">
        <f>AVERAGE(Z257:Z261)</f>
        <v>1257.2</v>
      </c>
      <c r="AA262" s="6">
        <v>1591</v>
      </c>
      <c r="AB262" s="6">
        <v>1203</v>
      </c>
      <c r="AC262" s="6">
        <v>1192</v>
      </c>
      <c r="AD262" s="6">
        <v>1186</v>
      </c>
      <c r="AE262" s="6">
        <v>1185</v>
      </c>
      <c r="AG262" s="6">
        <f>SUM(T262:AE262)/6</f>
        <v>1269.0333333333333</v>
      </c>
      <c r="AJ262" s="3">
        <v>2011</v>
      </c>
      <c r="AQ262" s="45">
        <f>AVERAGE(AQ257:AQ261)</f>
        <v>7.6336781613690503</v>
      </c>
      <c r="AR262" s="11">
        <f>I262/AA262</f>
        <v>8.8601373193116526</v>
      </c>
      <c r="AS262" s="11">
        <f>J262/AB262</f>
        <v>9.9258685222579537</v>
      </c>
      <c r="AT262" s="11">
        <f>K262/AC262</f>
        <v>2.4818868554994626</v>
      </c>
      <c r="AU262" s="11">
        <f>L262/AD262</f>
        <v>5.2486311757319601</v>
      </c>
      <c r="AV262" s="11">
        <f>M262/AE262</f>
        <v>3.9083275392871939</v>
      </c>
      <c r="AW262" s="90">
        <f t="shared" si="625"/>
        <v>0.10419857514978034</v>
      </c>
      <c r="AX262" s="81"/>
    </row>
    <row r="263" spans="1:50" x14ac:dyDescent="0.25">
      <c r="A263" s="3">
        <v>2010</v>
      </c>
      <c r="S263" s="3">
        <v>2010</v>
      </c>
      <c r="AJ263" s="3">
        <v>2010</v>
      </c>
      <c r="AW263" s="73"/>
      <c r="AX263" s="81"/>
    </row>
    <row r="264" spans="1:50" ht="15.75" thickBot="1" x14ac:dyDescent="0.3">
      <c r="N264" s="118"/>
      <c r="O264" s="118"/>
      <c r="AW264" s="73"/>
      <c r="AX264" s="81"/>
    </row>
    <row r="265" spans="1:50" ht="15.75" thickTop="1" x14ac:dyDescent="0.25"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115">
        <f>SUM(N250:N254)/5</f>
        <v>26638.372199999994</v>
      </c>
      <c r="O265" s="115">
        <f>SUM(O252:O256)/5</f>
        <v>54470.929199999999</v>
      </c>
      <c r="P265" s="50"/>
      <c r="Q265" s="120"/>
      <c r="R265" s="153"/>
      <c r="AV265" s="3" t="s">
        <v>47</v>
      </c>
      <c r="AW265" s="92">
        <f>SUM(AW253:AW257)/5</f>
        <v>0.1378951820504439</v>
      </c>
      <c r="AX265" s="81"/>
    </row>
    <row r="266" spans="1:50" x14ac:dyDescent="0.25">
      <c r="A266" s="64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115"/>
      <c r="O266" s="115"/>
      <c r="P266" s="50"/>
      <c r="Q266" s="120"/>
      <c r="R266" s="153"/>
      <c r="AV266" s="63" t="s">
        <v>89</v>
      </c>
      <c r="AW266" s="93">
        <f>SUM(AW254:AW258)/5</f>
        <v>0.13718857063943232</v>
      </c>
      <c r="AX266" s="81"/>
    </row>
    <row r="267" spans="1:50" x14ac:dyDescent="0.25"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97"/>
      <c r="O267" s="97"/>
      <c r="P267" s="50"/>
      <c r="Q267" s="120"/>
      <c r="R267" s="153"/>
      <c r="AV267" s="3" t="s">
        <v>81</v>
      </c>
      <c r="AW267" s="92">
        <f>SUM(AW253:AW261)/9</f>
        <v>0.13926790015063734</v>
      </c>
      <c r="AX267" s="81"/>
    </row>
    <row r="269" spans="1:50" ht="60" x14ac:dyDescent="0.25">
      <c r="A269" s="165" t="s">
        <v>26</v>
      </c>
      <c r="B269" s="111" t="s">
        <v>0</v>
      </c>
      <c r="C269" s="111" t="s">
        <v>1</v>
      </c>
      <c r="D269" s="111" t="s">
        <v>2</v>
      </c>
      <c r="E269" s="111" t="s">
        <v>3</v>
      </c>
      <c r="F269" s="111" t="s">
        <v>4</v>
      </c>
      <c r="G269" s="111" t="s">
        <v>5</v>
      </c>
      <c r="H269" s="111" t="s">
        <v>6</v>
      </c>
      <c r="I269" s="111" t="s">
        <v>7</v>
      </c>
      <c r="J269" s="111" t="s">
        <v>8</v>
      </c>
      <c r="K269" s="111" t="s">
        <v>9</v>
      </c>
      <c r="L269" s="111" t="s">
        <v>10</v>
      </c>
      <c r="M269" s="111" t="s">
        <v>11</v>
      </c>
      <c r="N269" s="112" t="s">
        <v>78</v>
      </c>
      <c r="O269" s="112" t="s">
        <v>77</v>
      </c>
      <c r="P269" s="139" t="s">
        <v>162</v>
      </c>
      <c r="Q269" s="140" t="s">
        <v>72</v>
      </c>
      <c r="R269" s="148"/>
      <c r="S269" s="165" t="s">
        <v>39</v>
      </c>
      <c r="T269" s="5" t="s">
        <v>0</v>
      </c>
      <c r="U269" s="5" t="s">
        <v>1</v>
      </c>
      <c r="V269" s="5" t="s">
        <v>2</v>
      </c>
      <c r="W269" s="5" t="s">
        <v>3</v>
      </c>
      <c r="X269" s="5" t="s">
        <v>4</v>
      </c>
      <c r="Y269" s="5" t="s">
        <v>5</v>
      </c>
      <c r="Z269" s="5" t="s">
        <v>6</v>
      </c>
      <c r="AA269" s="5" t="s">
        <v>7</v>
      </c>
      <c r="AB269" s="5" t="s">
        <v>8</v>
      </c>
      <c r="AC269" s="5" t="s">
        <v>9</v>
      </c>
      <c r="AD269" s="5" t="s">
        <v>10</v>
      </c>
      <c r="AE269" s="5" t="s">
        <v>11</v>
      </c>
      <c r="AF269" s="30" t="s">
        <v>164</v>
      </c>
      <c r="AG269" s="30" t="s">
        <v>167</v>
      </c>
      <c r="AJ269" s="165" t="s">
        <v>60</v>
      </c>
      <c r="AK269" s="5" t="s">
        <v>0</v>
      </c>
      <c r="AL269" s="5" t="s">
        <v>1</v>
      </c>
      <c r="AM269" s="5" t="s">
        <v>2</v>
      </c>
      <c r="AN269" s="5" t="s">
        <v>3</v>
      </c>
      <c r="AO269" s="5" t="s">
        <v>4</v>
      </c>
      <c r="AP269" s="5" t="s">
        <v>5</v>
      </c>
      <c r="AQ269" s="5" t="s">
        <v>6</v>
      </c>
      <c r="AR269" s="5" t="s">
        <v>7</v>
      </c>
      <c r="AS269" s="5" t="s">
        <v>8</v>
      </c>
      <c r="AT269" s="5" t="s">
        <v>9</v>
      </c>
      <c r="AU269" s="5" t="s">
        <v>10</v>
      </c>
      <c r="AV269" s="5" t="s">
        <v>11</v>
      </c>
      <c r="AW269" s="5" t="s">
        <v>49</v>
      </c>
    </row>
    <row r="270" spans="1:50" x14ac:dyDescent="0.25">
      <c r="A270" s="77">
        <v>2023</v>
      </c>
      <c r="B270" s="145">
        <v>0</v>
      </c>
      <c r="C270" s="145">
        <v>0</v>
      </c>
      <c r="D270" s="145">
        <v>0</v>
      </c>
      <c r="E270" s="145">
        <v>0</v>
      </c>
      <c r="F270" s="145">
        <v>0</v>
      </c>
      <c r="G270" s="145">
        <v>0</v>
      </c>
      <c r="H270" s="145">
        <v>0</v>
      </c>
      <c r="I270" s="145">
        <v>0</v>
      </c>
      <c r="J270" s="145">
        <v>0</v>
      </c>
      <c r="K270" s="145">
        <v>0</v>
      </c>
      <c r="L270" s="145">
        <v>0</v>
      </c>
      <c r="M270" s="145">
        <v>0</v>
      </c>
      <c r="N270" s="111">
        <v>0</v>
      </c>
      <c r="O270" s="112">
        <v>0</v>
      </c>
      <c r="P270" s="139"/>
      <c r="Q270" s="140"/>
      <c r="R270" s="148"/>
      <c r="S270" s="77">
        <v>2023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0</v>
      </c>
      <c r="AE270" s="34">
        <v>0</v>
      </c>
      <c r="AF270" s="30"/>
      <c r="AG270" s="6">
        <f>SUM(T270:AE270)</f>
        <v>0</v>
      </c>
      <c r="AJ270" s="77">
        <v>2023</v>
      </c>
      <c r="AK270" s="171">
        <v>0</v>
      </c>
      <c r="AL270" s="171">
        <v>0</v>
      </c>
      <c r="AM270" s="171">
        <v>0</v>
      </c>
      <c r="AN270" s="171">
        <v>0</v>
      </c>
      <c r="AO270" s="171">
        <v>0</v>
      </c>
      <c r="AP270" s="171">
        <v>0</v>
      </c>
      <c r="AQ270" s="171">
        <v>0</v>
      </c>
      <c r="AR270" s="171">
        <v>0</v>
      </c>
      <c r="AS270" s="171">
        <v>0</v>
      </c>
      <c r="AT270" s="171">
        <v>0</v>
      </c>
      <c r="AU270" s="171">
        <v>0</v>
      </c>
      <c r="AV270" s="171">
        <v>0</v>
      </c>
      <c r="AW270" s="90">
        <f t="shared" ref="AW270:AW271" si="630">(SUM(AK270:AP270)+SUM(AQ270:AV270))/365.25</f>
        <v>0</v>
      </c>
    </row>
    <row r="271" spans="1:50" x14ac:dyDescent="0.25">
      <c r="A271" s="61">
        <v>2022</v>
      </c>
      <c r="B271" s="145">
        <v>0</v>
      </c>
      <c r="C271" s="145">
        <v>0</v>
      </c>
      <c r="D271" s="145">
        <v>0</v>
      </c>
      <c r="E271" s="145">
        <v>0</v>
      </c>
      <c r="F271" s="145">
        <v>0</v>
      </c>
      <c r="G271" s="145">
        <v>0</v>
      </c>
      <c r="H271" s="145">
        <v>0</v>
      </c>
      <c r="I271" s="145">
        <v>0</v>
      </c>
      <c r="J271" s="145">
        <v>0</v>
      </c>
      <c r="K271" s="145">
        <v>0</v>
      </c>
      <c r="L271" s="145">
        <v>0</v>
      </c>
      <c r="M271" s="145">
        <v>0</v>
      </c>
      <c r="N271" s="67">
        <f t="shared" ref="N271:N275" si="631">SUM(B271:G271)+SUM(H272:M272)</f>
        <v>0</v>
      </c>
      <c r="O271" s="112">
        <v>0</v>
      </c>
      <c r="P271" s="136"/>
      <c r="Q271" s="138">
        <f t="shared" ref="Q271:Q275" si="632">P271/5</f>
        <v>0</v>
      </c>
      <c r="R271" s="148"/>
      <c r="S271" s="61">
        <v>2022</v>
      </c>
      <c r="T271" s="34">
        <v>0</v>
      </c>
      <c r="U271" s="34">
        <v>0</v>
      </c>
      <c r="V271" s="34">
        <v>0</v>
      </c>
      <c r="W271" s="34">
        <v>0</v>
      </c>
      <c r="X271" s="34">
        <v>0</v>
      </c>
      <c r="Y271" s="34">
        <v>0</v>
      </c>
      <c r="Z271" s="34">
        <v>0</v>
      </c>
      <c r="AA271" s="34">
        <v>0</v>
      </c>
      <c r="AB271" s="34">
        <v>0</v>
      </c>
      <c r="AC271" s="34">
        <v>0</v>
      </c>
      <c r="AD271" s="34">
        <v>0</v>
      </c>
      <c r="AE271" s="34">
        <v>0</v>
      </c>
      <c r="AF271" s="30"/>
      <c r="AG271" s="6">
        <f t="shared" ref="AG271:AG272" si="633">SUM(T271:AE271)</f>
        <v>0</v>
      </c>
      <c r="AJ271" s="61">
        <v>2022</v>
      </c>
      <c r="AK271" s="171">
        <v>0</v>
      </c>
      <c r="AL271" s="171">
        <v>0</v>
      </c>
      <c r="AM271" s="171">
        <v>0</v>
      </c>
      <c r="AN271" s="171">
        <v>0</v>
      </c>
      <c r="AO271" s="171">
        <v>0</v>
      </c>
      <c r="AP271" s="171">
        <v>0</v>
      </c>
      <c r="AQ271" s="171">
        <v>0</v>
      </c>
      <c r="AR271" s="171">
        <v>0</v>
      </c>
      <c r="AS271" s="171">
        <v>0</v>
      </c>
      <c r="AT271" s="171">
        <v>0</v>
      </c>
      <c r="AU271" s="171">
        <v>0</v>
      </c>
      <c r="AV271" s="171">
        <v>0</v>
      </c>
      <c r="AW271" s="90">
        <f t="shared" si="630"/>
        <v>0</v>
      </c>
    </row>
    <row r="272" spans="1:50" x14ac:dyDescent="0.25">
      <c r="A272" s="61">
        <v>2021</v>
      </c>
      <c r="B272" s="145">
        <v>0</v>
      </c>
      <c r="C272" s="145">
        <v>0</v>
      </c>
      <c r="D272" s="145">
        <v>0</v>
      </c>
      <c r="E272" s="145">
        <v>0</v>
      </c>
      <c r="F272" s="145">
        <v>0</v>
      </c>
      <c r="G272" s="145">
        <v>0</v>
      </c>
      <c r="H272" s="145">
        <v>0</v>
      </c>
      <c r="I272" s="145">
        <v>0</v>
      </c>
      <c r="J272" s="145">
        <v>0</v>
      </c>
      <c r="K272" s="145">
        <v>0</v>
      </c>
      <c r="L272" s="145">
        <v>0</v>
      </c>
      <c r="M272" s="145">
        <v>0</v>
      </c>
      <c r="N272" s="67">
        <v>0</v>
      </c>
      <c r="O272" s="115">
        <f t="shared" ref="O272:O273" si="634">SUM(B272:M272)</f>
        <v>0</v>
      </c>
      <c r="P272" s="136"/>
      <c r="Q272" s="138">
        <f t="shared" si="632"/>
        <v>0</v>
      </c>
      <c r="R272" s="148"/>
      <c r="S272" s="61">
        <v>2021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0</v>
      </c>
      <c r="Z272" s="34">
        <v>0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88">
        <f t="shared" ref="AF272:AF275" si="635">(SUM(T272:Y272)+SUM(Z273:AE273))/12</f>
        <v>63.416666666666664</v>
      </c>
      <c r="AG272" s="6">
        <f t="shared" si="633"/>
        <v>0</v>
      </c>
      <c r="AJ272" s="61">
        <v>2021</v>
      </c>
      <c r="AK272" s="171">
        <v>0</v>
      </c>
      <c r="AL272" s="171">
        <v>0</v>
      </c>
      <c r="AM272" s="171">
        <v>0</v>
      </c>
      <c r="AN272" s="171">
        <v>0</v>
      </c>
      <c r="AO272" s="171">
        <v>0</v>
      </c>
      <c r="AP272" s="171">
        <v>0</v>
      </c>
      <c r="AQ272" s="171">
        <v>0</v>
      </c>
      <c r="AR272" s="171">
        <v>0</v>
      </c>
      <c r="AS272" s="171">
        <v>0</v>
      </c>
      <c r="AT272" s="171">
        <v>0</v>
      </c>
      <c r="AU272" s="171">
        <v>0</v>
      </c>
      <c r="AV272" s="171">
        <v>0</v>
      </c>
      <c r="AW272" s="90">
        <f>(SUM(AK272:AP272)+SUM(AQ272:AV272))/365.25</f>
        <v>0</v>
      </c>
    </row>
    <row r="273" spans="1:49" x14ac:dyDescent="0.25">
      <c r="A273" s="61">
        <v>2020</v>
      </c>
      <c r="B273" s="190">
        <v>651.9</v>
      </c>
      <c r="C273" s="190">
        <v>342.32299999999998</v>
      </c>
      <c r="D273" s="190">
        <v>359.6</v>
      </c>
      <c r="E273" s="190">
        <v>427.7</v>
      </c>
      <c r="F273" s="190">
        <v>479.4</v>
      </c>
      <c r="G273" s="190">
        <v>504.9</v>
      </c>
      <c r="H273" s="190">
        <v>2110.4</v>
      </c>
      <c r="I273" s="190">
        <v>2084</v>
      </c>
      <c r="J273" s="190">
        <v>2087.9549999999999</v>
      </c>
      <c r="K273" s="190">
        <v>2091.3000000000002</v>
      </c>
      <c r="L273" s="190">
        <v>1637.9</v>
      </c>
      <c r="M273" s="190">
        <v>668.05</v>
      </c>
      <c r="N273" s="67">
        <f t="shared" si="631"/>
        <v>9077.8229999999985</v>
      </c>
      <c r="O273" s="115">
        <f t="shared" si="634"/>
        <v>13445.427999999998</v>
      </c>
      <c r="P273" s="136">
        <f>SUM(O273:O277)</f>
        <v>58057.527999999991</v>
      </c>
      <c r="Q273" s="138">
        <f t="shared" si="632"/>
        <v>11611.505599999999</v>
      </c>
      <c r="R273" s="148"/>
      <c r="S273" s="61">
        <v>2020</v>
      </c>
      <c r="T273" s="190">
        <v>115</v>
      </c>
      <c r="U273" s="190">
        <v>116</v>
      </c>
      <c r="V273" s="190">
        <v>119</v>
      </c>
      <c r="W273" s="190">
        <v>122</v>
      </c>
      <c r="X273" s="190">
        <v>124</v>
      </c>
      <c r="Y273" s="190">
        <v>125</v>
      </c>
      <c r="Z273" s="190">
        <v>127</v>
      </c>
      <c r="AA273" s="190">
        <v>127</v>
      </c>
      <c r="AB273" s="190">
        <v>127</v>
      </c>
      <c r="AC273" s="190">
        <v>125</v>
      </c>
      <c r="AD273" s="190">
        <v>130</v>
      </c>
      <c r="AE273" s="190">
        <v>125</v>
      </c>
      <c r="AF273" s="88">
        <f t="shared" si="635"/>
        <v>118.58333333333333</v>
      </c>
      <c r="AG273" s="43">
        <f>SUM(T273:AE273)/12</f>
        <v>123.5</v>
      </c>
      <c r="AJ273" s="61">
        <v>2020</v>
      </c>
      <c r="AK273" s="9">
        <f t="shared" ref="AK273:AK281" si="636">B273/T273</f>
        <v>5.6686956521739127</v>
      </c>
      <c r="AL273" s="9">
        <f t="shared" ref="AL273:AL281" si="637">C273/U273</f>
        <v>2.9510603448275861</v>
      </c>
      <c r="AM273" s="79">
        <f t="shared" ref="AM273:AM281" si="638">D273/V273</f>
        <v>3.0218487394957987</v>
      </c>
      <c r="AN273" s="79">
        <f t="shared" ref="AN273:AN281" si="639">E273/W273</f>
        <v>3.5057377049180327</v>
      </c>
      <c r="AO273" s="79">
        <f t="shared" ref="AO273:AO281" si="640">F273/X273</f>
        <v>3.8661290322580641</v>
      </c>
      <c r="AP273" s="79">
        <f t="shared" ref="AP273:AP281" si="641">G273/Y273</f>
        <v>4.0392000000000001</v>
      </c>
      <c r="AQ273" s="79">
        <f t="shared" ref="AQ273" si="642">H273/Z273</f>
        <v>16.61732283464567</v>
      </c>
      <c r="AR273" s="79">
        <f t="shared" ref="AR273" si="643">I273/AA273</f>
        <v>16.409448818897637</v>
      </c>
      <c r="AS273" s="79">
        <f t="shared" ref="AS273" si="644">J273/AB273</f>
        <v>16.440590551181103</v>
      </c>
      <c r="AT273" s="79">
        <f t="shared" ref="AT273" si="645">K273/AC273</f>
        <v>16.730400000000003</v>
      </c>
      <c r="AU273" s="79">
        <f t="shared" ref="AU273" si="646">L273/AD273</f>
        <v>12.59923076923077</v>
      </c>
      <c r="AV273" s="79">
        <f t="shared" ref="AV273" si="647">M273/AE273</f>
        <v>5.3443999999999994</v>
      </c>
      <c r="AW273" s="90">
        <f t="shared" ref="AW273:AW281" si="648">(SUM(AK273:AP273)+SUM(AQ273:AV273))/365.25</f>
        <v>0.29348135372382911</v>
      </c>
    </row>
    <row r="274" spans="1:49" x14ac:dyDescent="0.25">
      <c r="A274" s="61">
        <v>2019</v>
      </c>
      <c r="B274" s="125">
        <v>399.6</v>
      </c>
      <c r="C274" s="125">
        <v>352</v>
      </c>
      <c r="D274" s="125">
        <v>319.89999999999998</v>
      </c>
      <c r="E274" s="125">
        <v>383.1</v>
      </c>
      <c r="F274" s="125">
        <v>507</v>
      </c>
      <c r="G274" s="125">
        <v>652.70000000000005</v>
      </c>
      <c r="H274" s="190">
        <v>978</v>
      </c>
      <c r="I274" s="190">
        <v>1580.7</v>
      </c>
      <c r="J274" s="190">
        <v>1158.5999999999999</v>
      </c>
      <c r="K274" s="190">
        <v>1425.5</v>
      </c>
      <c r="L274" s="190">
        <v>700.9</v>
      </c>
      <c r="M274" s="190">
        <v>468.3</v>
      </c>
      <c r="N274" s="67">
        <f t="shared" si="631"/>
        <v>10701</v>
      </c>
      <c r="O274" s="115">
        <f>SUM(B274:M274)</f>
        <v>8926.2999999999993</v>
      </c>
      <c r="P274" s="136">
        <f t="shared" ref="P274:P277" si="649">SUM(O274:O278)</f>
        <v>55516.100000000006</v>
      </c>
      <c r="Q274" s="138">
        <f t="shared" si="632"/>
        <v>11103.220000000001</v>
      </c>
      <c r="R274" s="108"/>
      <c r="S274" s="61">
        <v>2019</v>
      </c>
      <c r="T274" s="35">
        <v>110</v>
      </c>
      <c r="U274" s="35">
        <v>110</v>
      </c>
      <c r="V274" s="35">
        <v>110</v>
      </c>
      <c r="W274" s="35">
        <v>115</v>
      </c>
      <c r="X274" s="35">
        <v>117</v>
      </c>
      <c r="Y274" s="35">
        <v>117</v>
      </c>
      <c r="Z274" s="35">
        <v>118</v>
      </c>
      <c r="AA274" s="35">
        <v>118</v>
      </c>
      <c r="AB274" s="35">
        <v>117</v>
      </c>
      <c r="AC274" s="35">
        <v>117</v>
      </c>
      <c r="AD274" s="35">
        <v>117</v>
      </c>
      <c r="AE274" s="35">
        <v>115</v>
      </c>
      <c r="AF274" s="8">
        <f t="shared" si="635"/>
        <v>112.83333333333333</v>
      </c>
      <c r="AG274" s="43">
        <f t="shared" ref="AG274:AG281" si="650">SUM(T274:AE274)/12</f>
        <v>115.08333333333333</v>
      </c>
      <c r="AJ274" s="61">
        <v>2019</v>
      </c>
      <c r="AK274" s="9">
        <f t="shared" si="636"/>
        <v>3.6327272727272728</v>
      </c>
      <c r="AL274" s="9">
        <f t="shared" si="637"/>
        <v>3.2</v>
      </c>
      <c r="AM274" s="9">
        <f t="shared" si="638"/>
        <v>2.9081818181818178</v>
      </c>
      <c r="AN274" s="9">
        <f t="shared" si="639"/>
        <v>3.3313043478260873</v>
      </c>
      <c r="AO274" s="9">
        <f t="shared" si="640"/>
        <v>4.333333333333333</v>
      </c>
      <c r="AP274" s="9">
        <f t="shared" si="641"/>
        <v>5.5786324786324792</v>
      </c>
      <c r="AQ274" s="11">
        <f t="shared" ref="AQ274:AV281" si="651">H274/Z274</f>
        <v>8.2881355932203391</v>
      </c>
      <c r="AR274" s="11">
        <f t="shared" si="651"/>
        <v>13.395762711864407</v>
      </c>
      <c r="AS274" s="11">
        <f t="shared" si="651"/>
        <v>9.9025641025641011</v>
      </c>
      <c r="AT274" s="11">
        <f t="shared" si="651"/>
        <v>12.183760683760683</v>
      </c>
      <c r="AU274" s="11">
        <f t="shared" si="651"/>
        <v>5.9905982905982906</v>
      </c>
      <c r="AV274" s="11">
        <f t="shared" si="651"/>
        <v>4.0721739130434784</v>
      </c>
      <c r="AW274" s="90">
        <f t="shared" si="648"/>
        <v>0.21031396179535194</v>
      </c>
    </row>
    <row r="275" spans="1:49" x14ac:dyDescent="0.25">
      <c r="A275" s="61">
        <v>2018</v>
      </c>
      <c r="B275" s="116">
        <v>355.1</v>
      </c>
      <c r="C275" s="116">
        <v>369.2</v>
      </c>
      <c r="D275" s="116">
        <v>312.7</v>
      </c>
      <c r="E275" s="116">
        <v>380</v>
      </c>
      <c r="F275" s="116">
        <v>493.6</v>
      </c>
      <c r="G275" s="116">
        <v>1292.3</v>
      </c>
      <c r="H275" s="116">
        <v>2371.5</v>
      </c>
      <c r="I275" s="116">
        <v>2325</v>
      </c>
      <c r="J275" s="116">
        <v>1333.1</v>
      </c>
      <c r="K275" s="116">
        <v>1182.7</v>
      </c>
      <c r="L275" s="116">
        <v>524.29999999999995</v>
      </c>
      <c r="M275" s="116">
        <v>350.1</v>
      </c>
      <c r="N275" s="67">
        <f t="shared" si="631"/>
        <v>12453.999999999998</v>
      </c>
      <c r="O275" s="115">
        <f t="shared" ref="O275:O280" si="652">SUM(B275:M275)</f>
        <v>11289.6</v>
      </c>
      <c r="P275" s="136">
        <f t="shared" si="649"/>
        <v>57646.600000000006</v>
      </c>
      <c r="Q275" s="138">
        <f t="shared" si="632"/>
        <v>11529.320000000002</v>
      </c>
      <c r="R275" s="148"/>
      <c r="S275" s="61">
        <v>2018</v>
      </c>
      <c r="T275" s="35">
        <v>108</v>
      </c>
      <c r="U275" s="35">
        <v>108</v>
      </c>
      <c r="V275" s="35">
        <v>109</v>
      </c>
      <c r="W275" s="35">
        <v>111</v>
      </c>
      <c r="X275" s="35">
        <v>114</v>
      </c>
      <c r="Y275" s="35">
        <v>115</v>
      </c>
      <c r="Z275" s="35">
        <v>115</v>
      </c>
      <c r="AA275" s="35">
        <v>114</v>
      </c>
      <c r="AB275" s="35">
        <v>113</v>
      </c>
      <c r="AC275" s="35">
        <v>112</v>
      </c>
      <c r="AD275" s="35">
        <v>110</v>
      </c>
      <c r="AE275" s="35">
        <v>111</v>
      </c>
      <c r="AF275" s="8">
        <f t="shared" si="635"/>
        <v>109.25</v>
      </c>
      <c r="AG275" s="43">
        <f t="shared" si="650"/>
        <v>111.66666666666667</v>
      </c>
      <c r="AJ275" s="61">
        <v>2018</v>
      </c>
      <c r="AK275" s="9">
        <f t="shared" si="636"/>
        <v>3.287962962962963</v>
      </c>
      <c r="AL275" s="9">
        <f t="shared" si="637"/>
        <v>3.4185185185185185</v>
      </c>
      <c r="AM275" s="9">
        <f t="shared" si="638"/>
        <v>2.8688073394495412</v>
      </c>
      <c r="AN275" s="9">
        <f t="shared" si="639"/>
        <v>3.4234234234234235</v>
      </c>
      <c r="AO275" s="9">
        <f t="shared" si="640"/>
        <v>4.3298245614035089</v>
      </c>
      <c r="AP275" s="9">
        <f t="shared" si="641"/>
        <v>11.237391304347826</v>
      </c>
      <c r="AQ275" s="11">
        <f t="shared" si="651"/>
        <v>20.621739130434783</v>
      </c>
      <c r="AR275" s="11">
        <f t="shared" si="651"/>
        <v>20.394736842105264</v>
      </c>
      <c r="AS275" s="11">
        <f t="shared" si="651"/>
        <v>11.797345132743361</v>
      </c>
      <c r="AT275" s="11">
        <f t="shared" si="651"/>
        <v>10.559821428571428</v>
      </c>
      <c r="AU275" s="11">
        <f t="shared" si="651"/>
        <v>4.7663636363636357</v>
      </c>
      <c r="AV275" s="11">
        <f t="shared" si="651"/>
        <v>3.1540540540540545</v>
      </c>
      <c r="AW275" s="90">
        <f t="shared" si="648"/>
        <v>0.2734017476642801</v>
      </c>
    </row>
    <row r="276" spans="1:49" x14ac:dyDescent="0.25">
      <c r="A276" s="3">
        <v>2017</v>
      </c>
      <c r="B276" s="66">
        <v>471.1</v>
      </c>
      <c r="C276" s="66">
        <v>377.5</v>
      </c>
      <c r="D276" s="66">
        <v>357.5</v>
      </c>
      <c r="E276" s="66">
        <v>395.1</v>
      </c>
      <c r="F276" s="66">
        <v>575.29999999999995</v>
      </c>
      <c r="G276" s="66">
        <v>662.3</v>
      </c>
      <c r="H276" s="116">
        <v>1947</v>
      </c>
      <c r="I276" s="116">
        <v>2315.9</v>
      </c>
      <c r="J276" s="116">
        <v>1500.3</v>
      </c>
      <c r="K276" s="116">
        <v>1896.2</v>
      </c>
      <c r="L276" s="116">
        <v>1083.8</v>
      </c>
      <c r="M276" s="116">
        <v>507.9</v>
      </c>
      <c r="N276" s="67">
        <f>SUM(B276:G276)+SUM(H277:M277)</f>
        <v>11908</v>
      </c>
      <c r="O276" s="115">
        <f t="shared" si="652"/>
        <v>12089.9</v>
      </c>
      <c r="P276" s="136">
        <f t="shared" si="649"/>
        <v>60077.053436056987</v>
      </c>
      <c r="Q276" s="138">
        <f>P276/5</f>
        <v>12015.410687211397</v>
      </c>
      <c r="R276" s="151"/>
      <c r="S276" s="3">
        <v>2017</v>
      </c>
      <c r="T276" s="6">
        <v>99</v>
      </c>
      <c r="U276" s="6">
        <v>99</v>
      </c>
      <c r="V276" s="6">
        <v>101</v>
      </c>
      <c r="W276" s="6">
        <v>102</v>
      </c>
      <c r="X276" s="6">
        <v>106</v>
      </c>
      <c r="Y276" s="6">
        <v>107</v>
      </c>
      <c r="Z276" s="6">
        <v>107</v>
      </c>
      <c r="AA276" s="6">
        <v>106</v>
      </c>
      <c r="AB276" s="6">
        <v>108</v>
      </c>
      <c r="AC276" s="6">
        <v>109</v>
      </c>
      <c r="AD276" s="6">
        <v>108</v>
      </c>
      <c r="AE276" s="6">
        <v>108</v>
      </c>
      <c r="AF276" s="8">
        <f>(SUM(T276:Y276)+SUM(Z277:AE277))/12</f>
        <v>100.25</v>
      </c>
      <c r="AG276" s="43">
        <f t="shared" si="650"/>
        <v>105</v>
      </c>
      <c r="AJ276" s="3">
        <v>2017</v>
      </c>
      <c r="AK276" s="9">
        <f t="shared" si="636"/>
        <v>4.7585858585858585</v>
      </c>
      <c r="AL276" s="9">
        <f t="shared" si="637"/>
        <v>3.8131313131313131</v>
      </c>
      <c r="AM276" s="9">
        <f t="shared" si="638"/>
        <v>3.5396039603960396</v>
      </c>
      <c r="AN276" s="9">
        <f t="shared" si="639"/>
        <v>3.8735294117647059</v>
      </c>
      <c r="AO276" s="9">
        <f t="shared" si="640"/>
        <v>5.4273584905660375</v>
      </c>
      <c r="AP276" s="9">
        <f t="shared" si="641"/>
        <v>6.1897196261682241</v>
      </c>
      <c r="AQ276" s="11">
        <f t="shared" si="651"/>
        <v>18.196261682242991</v>
      </c>
      <c r="AR276" s="11">
        <f t="shared" si="651"/>
        <v>21.848113207547172</v>
      </c>
      <c r="AS276" s="11">
        <f t="shared" si="651"/>
        <v>13.891666666666666</v>
      </c>
      <c r="AT276" s="11">
        <f t="shared" si="651"/>
        <v>17.396330275229356</v>
      </c>
      <c r="AU276" s="11">
        <f t="shared" si="651"/>
        <v>10.035185185185185</v>
      </c>
      <c r="AV276" s="11">
        <f t="shared" si="651"/>
        <v>4.7027777777777775</v>
      </c>
      <c r="AW276" s="90">
        <f t="shared" si="648"/>
        <v>0.31121769597607485</v>
      </c>
    </row>
    <row r="277" spans="1:49" x14ac:dyDescent="0.25">
      <c r="A277" s="3">
        <v>2016</v>
      </c>
      <c r="B277" s="66">
        <v>350.3</v>
      </c>
      <c r="C277" s="66">
        <v>290.2</v>
      </c>
      <c r="D277" s="66">
        <v>356.1</v>
      </c>
      <c r="E277" s="66">
        <v>452.2</v>
      </c>
      <c r="F277" s="66">
        <v>782.2</v>
      </c>
      <c r="G277" s="66">
        <v>1006.1</v>
      </c>
      <c r="H277" s="66">
        <v>1843.5</v>
      </c>
      <c r="I277" s="66">
        <v>1858.2</v>
      </c>
      <c r="J277" s="66">
        <v>2274.6999999999998</v>
      </c>
      <c r="K277" s="66">
        <v>1609.3</v>
      </c>
      <c r="L277" s="66">
        <v>999.3</v>
      </c>
      <c r="M277" s="66">
        <v>484.2</v>
      </c>
      <c r="N277" s="67">
        <f t="shared" ref="N277:N279" si="653">SUM(B277:G277)+SUM(H278:M278)</f>
        <v>11628.800000000001</v>
      </c>
      <c r="O277" s="115">
        <f t="shared" si="652"/>
        <v>12306.3</v>
      </c>
      <c r="P277" s="136">
        <f t="shared" si="649"/>
        <v>62615.226359276341</v>
      </c>
      <c r="Q277" s="138">
        <f>P277/5</f>
        <v>12523.045271855268</v>
      </c>
      <c r="R277" s="151"/>
      <c r="S277" s="3">
        <v>2016</v>
      </c>
      <c r="T277" s="6">
        <v>91</v>
      </c>
      <c r="U277" s="6">
        <v>91</v>
      </c>
      <c r="V277" s="6">
        <v>92</v>
      </c>
      <c r="W277" s="6">
        <v>96</v>
      </c>
      <c r="X277" s="6">
        <v>98</v>
      </c>
      <c r="Y277" s="6">
        <v>98</v>
      </c>
      <c r="Z277" s="6">
        <v>98</v>
      </c>
      <c r="AA277" s="6">
        <v>99</v>
      </c>
      <c r="AB277" s="6">
        <v>100</v>
      </c>
      <c r="AC277" s="6">
        <v>100</v>
      </c>
      <c r="AD277" s="6">
        <v>96</v>
      </c>
      <c r="AE277" s="6">
        <v>96</v>
      </c>
      <c r="AF277" s="8">
        <f t="shared" ref="AF277:AF279" si="654">(SUM(T277:Y277)+SUM(Z278:AE278))/12</f>
        <v>92.666666666666671</v>
      </c>
      <c r="AG277" s="43">
        <f t="shared" si="650"/>
        <v>96.25</v>
      </c>
      <c r="AJ277" s="3">
        <v>2016</v>
      </c>
      <c r="AK277" s="9">
        <f t="shared" si="636"/>
        <v>3.8494505494505495</v>
      </c>
      <c r="AL277" s="9">
        <f t="shared" si="637"/>
        <v>3.1890109890109888</v>
      </c>
      <c r="AM277" s="9">
        <f t="shared" si="638"/>
        <v>3.8706521739130437</v>
      </c>
      <c r="AN277" s="9">
        <f t="shared" si="639"/>
        <v>4.7104166666666663</v>
      </c>
      <c r="AO277" s="9">
        <f t="shared" si="640"/>
        <v>7.9816326530612249</v>
      </c>
      <c r="AP277" s="9">
        <f t="shared" si="641"/>
        <v>10.266326530612245</v>
      </c>
      <c r="AQ277" s="11">
        <f t="shared" si="651"/>
        <v>18.811224489795919</v>
      </c>
      <c r="AR277" s="11">
        <f t="shared" si="651"/>
        <v>18.76969696969697</v>
      </c>
      <c r="AS277" s="11">
        <f t="shared" si="651"/>
        <v>22.747</v>
      </c>
      <c r="AT277" s="11">
        <f t="shared" si="651"/>
        <v>16.093</v>
      </c>
      <c r="AU277" s="11">
        <f t="shared" si="651"/>
        <v>10.409374999999999</v>
      </c>
      <c r="AV277" s="11">
        <f t="shared" si="651"/>
        <v>5.0437500000000002</v>
      </c>
      <c r="AW277" s="90">
        <f t="shared" si="648"/>
        <v>0.34426156337360059</v>
      </c>
    </row>
    <row r="278" spans="1:49" x14ac:dyDescent="0.25">
      <c r="A278" s="3">
        <v>2015</v>
      </c>
      <c r="B278" s="66">
        <v>420</v>
      </c>
      <c r="C278" s="66">
        <v>303.3</v>
      </c>
      <c r="D278" s="66">
        <v>296</v>
      </c>
      <c r="E278" s="66">
        <v>292.8</v>
      </c>
      <c r="F278" s="66">
        <v>659.5</v>
      </c>
      <c r="G278" s="66">
        <v>540.70000000000005</v>
      </c>
      <c r="H278" s="66">
        <v>1337.8</v>
      </c>
      <c r="I278" s="66">
        <v>1586.8</v>
      </c>
      <c r="J278" s="66">
        <v>1436</v>
      </c>
      <c r="K278" s="66">
        <v>1513.8</v>
      </c>
      <c r="L278" s="66">
        <v>2088.3000000000002</v>
      </c>
      <c r="M278" s="66">
        <v>429</v>
      </c>
      <c r="N278" s="67">
        <f t="shared" si="653"/>
        <v>10842</v>
      </c>
      <c r="O278" s="115">
        <f t="shared" si="652"/>
        <v>10904</v>
      </c>
      <c r="P278" s="121"/>
      <c r="Q278" s="47"/>
      <c r="R278" s="151"/>
      <c r="S278" s="3">
        <v>2015</v>
      </c>
      <c r="T278" s="6">
        <v>88</v>
      </c>
      <c r="U278" s="6">
        <v>88</v>
      </c>
      <c r="V278" s="6">
        <v>89</v>
      </c>
      <c r="W278" s="6">
        <v>91</v>
      </c>
      <c r="X278" s="6">
        <v>93</v>
      </c>
      <c r="Y278" s="6">
        <v>93</v>
      </c>
      <c r="Z278" s="6">
        <v>93</v>
      </c>
      <c r="AA278" s="6">
        <v>93</v>
      </c>
      <c r="AB278" s="6">
        <v>91</v>
      </c>
      <c r="AC278" s="6">
        <v>91</v>
      </c>
      <c r="AD278" s="6">
        <v>89</v>
      </c>
      <c r="AE278" s="6">
        <v>89</v>
      </c>
      <c r="AF278" s="8">
        <f t="shared" si="654"/>
        <v>89.75</v>
      </c>
      <c r="AG278" s="43">
        <f t="shared" si="650"/>
        <v>90.666666666666671</v>
      </c>
      <c r="AJ278" s="3">
        <v>2015</v>
      </c>
      <c r="AK278" s="9">
        <f t="shared" si="636"/>
        <v>4.7727272727272725</v>
      </c>
      <c r="AL278" s="9">
        <f t="shared" si="637"/>
        <v>3.4465909090909093</v>
      </c>
      <c r="AM278" s="9">
        <f t="shared" si="638"/>
        <v>3.3258426966292136</v>
      </c>
      <c r="AN278" s="9">
        <f t="shared" si="639"/>
        <v>3.2175824175824177</v>
      </c>
      <c r="AO278" s="9">
        <f t="shared" si="640"/>
        <v>7.091397849462366</v>
      </c>
      <c r="AP278" s="9">
        <f t="shared" si="641"/>
        <v>5.8139784946236563</v>
      </c>
      <c r="AQ278" s="11">
        <f t="shared" si="651"/>
        <v>14.38494623655914</v>
      </c>
      <c r="AR278" s="11">
        <f t="shared" si="651"/>
        <v>17.06236559139785</v>
      </c>
      <c r="AS278" s="11">
        <f t="shared" si="651"/>
        <v>15.780219780219781</v>
      </c>
      <c r="AT278" s="11">
        <f t="shared" si="651"/>
        <v>16.635164835164833</v>
      </c>
      <c r="AU278" s="11">
        <f t="shared" si="651"/>
        <v>23.464044943820227</v>
      </c>
      <c r="AV278" s="11">
        <f t="shared" si="651"/>
        <v>4.8202247191011232</v>
      </c>
      <c r="AW278" s="90">
        <f t="shared" si="648"/>
        <v>0.32803582682102339</v>
      </c>
    </row>
    <row r="279" spans="1:49" x14ac:dyDescent="0.25">
      <c r="A279" s="3">
        <v>2014</v>
      </c>
      <c r="B279" s="66">
        <v>399.4</v>
      </c>
      <c r="C279" s="66">
        <v>380.5</v>
      </c>
      <c r="D279" s="66">
        <v>-14.9</v>
      </c>
      <c r="E279" s="66">
        <v>1308.3</v>
      </c>
      <c r="F279" s="66">
        <v>634</v>
      </c>
      <c r="G279" s="66">
        <v>19.8</v>
      </c>
      <c r="H279" s="66">
        <v>1319.6</v>
      </c>
      <c r="I279" s="66">
        <v>2109.8000000000002</v>
      </c>
      <c r="J279" s="66">
        <v>2403.4</v>
      </c>
      <c r="K279" s="66">
        <v>1303.7</v>
      </c>
      <c r="L279" s="66">
        <v>871.7</v>
      </c>
      <c r="M279" s="66">
        <v>321.5</v>
      </c>
      <c r="N279" s="67">
        <f t="shared" si="653"/>
        <v>12792.1</v>
      </c>
      <c r="O279" s="115">
        <f t="shared" si="652"/>
        <v>11056.800000000001</v>
      </c>
      <c r="P279" s="121"/>
      <c r="Q279" s="47"/>
      <c r="R279" s="151"/>
      <c r="S279" s="3">
        <v>2014</v>
      </c>
      <c r="T279" s="6">
        <v>84</v>
      </c>
      <c r="U279" s="6">
        <v>84</v>
      </c>
      <c r="V279" s="6">
        <v>86</v>
      </c>
      <c r="W279" s="6">
        <v>88</v>
      </c>
      <c r="X279" s="6">
        <v>89</v>
      </c>
      <c r="Y279" s="6">
        <v>89</v>
      </c>
      <c r="Z279" s="6">
        <v>91</v>
      </c>
      <c r="AA279" s="6">
        <v>89</v>
      </c>
      <c r="AB279" s="6">
        <v>90</v>
      </c>
      <c r="AC279" s="6">
        <v>90</v>
      </c>
      <c r="AD279" s="6">
        <v>87</v>
      </c>
      <c r="AE279" s="6">
        <v>88</v>
      </c>
      <c r="AF279" s="8">
        <f t="shared" si="654"/>
        <v>86.666666666666671</v>
      </c>
      <c r="AG279" s="43">
        <f t="shared" si="650"/>
        <v>87.916666666666671</v>
      </c>
      <c r="AJ279" s="3">
        <v>2014</v>
      </c>
      <c r="AK279" s="9">
        <f t="shared" si="636"/>
        <v>4.7547619047619047</v>
      </c>
      <c r="AL279" s="9">
        <f t="shared" si="637"/>
        <v>4.5297619047619051</v>
      </c>
      <c r="AM279" s="11">
        <f t="shared" si="638"/>
        <v>-0.17325581395348838</v>
      </c>
      <c r="AN279" s="9">
        <f t="shared" si="639"/>
        <v>14.867045454545455</v>
      </c>
      <c r="AO279" s="9">
        <f t="shared" si="640"/>
        <v>7.1235955056179776</v>
      </c>
      <c r="AP279" s="9">
        <f t="shared" si="641"/>
        <v>0.22247191011235956</v>
      </c>
      <c r="AQ279" s="11">
        <f t="shared" si="651"/>
        <v>14.501098901098899</v>
      </c>
      <c r="AR279" s="11">
        <f t="shared" si="651"/>
        <v>23.705617977528092</v>
      </c>
      <c r="AS279" s="11">
        <f t="shared" si="651"/>
        <v>26.704444444444444</v>
      </c>
      <c r="AT279" s="11">
        <f t="shared" si="651"/>
        <v>14.485555555555557</v>
      </c>
      <c r="AU279" s="11">
        <f t="shared" si="651"/>
        <v>10.019540229885058</v>
      </c>
      <c r="AV279" s="11">
        <f t="shared" si="651"/>
        <v>3.6534090909090908</v>
      </c>
      <c r="AW279" s="90">
        <f t="shared" si="648"/>
        <v>0.34057233967218958</v>
      </c>
    </row>
    <row r="280" spans="1:49" x14ac:dyDescent="0.25">
      <c r="A280" s="3">
        <v>2013</v>
      </c>
      <c r="B280" s="66">
        <v>632.8652621289549</v>
      </c>
      <c r="C280" s="66">
        <v>607.26335421562908</v>
      </c>
      <c r="D280" s="66">
        <v>393.4121234102015</v>
      </c>
      <c r="E280" s="66">
        <v>591.04495101261716</v>
      </c>
      <c r="F280" s="66">
        <v>605.46774528958133</v>
      </c>
      <c r="G280" s="66">
        <v>825</v>
      </c>
      <c r="H280" s="66">
        <v>2218</v>
      </c>
      <c r="I280" s="66">
        <v>3168</v>
      </c>
      <c r="J280" s="66">
        <v>-51</v>
      </c>
      <c r="K280" s="66">
        <v>-5140</v>
      </c>
      <c r="L280" s="66">
        <v>9499.7000000000007</v>
      </c>
      <c r="M280" s="66">
        <v>370.3</v>
      </c>
      <c r="N280" s="67">
        <f>SUM(B280:G280)+SUM(H281:M281)</f>
        <v>10969.089897666665</v>
      </c>
      <c r="O280" s="115">
        <f t="shared" si="652"/>
        <v>13720.053436056984</v>
      </c>
      <c r="P280" s="121"/>
      <c r="Q280" s="47"/>
      <c r="R280" s="151"/>
      <c r="S280" s="3">
        <v>2013</v>
      </c>
      <c r="T280" s="6">
        <v>84</v>
      </c>
      <c r="U280" s="6">
        <v>84</v>
      </c>
      <c r="V280" s="6">
        <v>86</v>
      </c>
      <c r="W280" s="6">
        <v>83</v>
      </c>
      <c r="X280" s="6">
        <v>86</v>
      </c>
      <c r="Y280" s="6">
        <v>87</v>
      </c>
      <c r="Z280" s="6">
        <v>87</v>
      </c>
      <c r="AA280" s="6">
        <v>87</v>
      </c>
      <c r="AB280" s="6">
        <v>87</v>
      </c>
      <c r="AC280" s="6">
        <v>87</v>
      </c>
      <c r="AD280" s="6">
        <v>86</v>
      </c>
      <c r="AE280" s="6">
        <v>86</v>
      </c>
      <c r="AF280" s="8">
        <f>(SUM(T280:Y280)+SUM(Z281:AE281))/12</f>
        <v>84.5</v>
      </c>
      <c r="AG280" s="43">
        <f t="shared" si="650"/>
        <v>85.833333333333329</v>
      </c>
      <c r="AJ280" s="3">
        <v>2013</v>
      </c>
      <c r="AK280" s="9">
        <f t="shared" si="636"/>
        <v>7.5341102634399393</v>
      </c>
      <c r="AL280" s="9">
        <f t="shared" si="637"/>
        <v>7.2293256454241561</v>
      </c>
      <c r="AM280" s="9">
        <f t="shared" si="638"/>
        <v>4.5745595745372265</v>
      </c>
      <c r="AN280" s="9">
        <f t="shared" si="639"/>
        <v>7.12102350617611</v>
      </c>
      <c r="AO280" s="9">
        <f t="shared" si="640"/>
        <v>7.0403226196462949</v>
      </c>
      <c r="AP280" s="9">
        <f t="shared" si="641"/>
        <v>9.4827586206896548</v>
      </c>
      <c r="AQ280" s="11">
        <f t="shared" si="651"/>
        <v>25.494252873563219</v>
      </c>
      <c r="AR280" s="11">
        <f t="shared" si="651"/>
        <v>36.413793103448278</v>
      </c>
      <c r="AS280" s="11">
        <f t="shared" si="651"/>
        <v>-0.58620689655172409</v>
      </c>
      <c r="AT280" s="11">
        <f t="shared" si="651"/>
        <v>-59.080459770114942</v>
      </c>
      <c r="AU280" s="11">
        <f t="shared" si="651"/>
        <v>110.46162790697676</v>
      </c>
      <c r="AV280" s="11">
        <f t="shared" si="651"/>
        <v>4.3058139534883724</v>
      </c>
      <c r="AW280" s="90">
        <f t="shared" si="648"/>
        <v>0.43803127009096049</v>
      </c>
    </row>
    <row r="281" spans="1:49" x14ac:dyDescent="0.25">
      <c r="A281" s="3">
        <v>2012</v>
      </c>
      <c r="B281" s="66"/>
      <c r="C281" s="66"/>
      <c r="D281" s="66"/>
      <c r="E281" s="66"/>
      <c r="F281" s="66"/>
      <c r="G281" s="66"/>
      <c r="H281" s="66">
        <v>2126.116814177688</v>
      </c>
      <c r="I281" s="66">
        <v>1535.4194003765638</v>
      </c>
      <c r="J281" s="66">
        <v>929.19865779541408</v>
      </c>
      <c r="K281" s="66">
        <v>1393.8559095617034</v>
      </c>
      <c r="L281" s="66">
        <v>701.90932147891954</v>
      </c>
      <c r="M281" s="66">
        <v>627.53635821939383</v>
      </c>
      <c r="N281" s="97">
        <f>SUM(N276:N280)/5</f>
        <v>11627.997979533333</v>
      </c>
      <c r="O281" s="328">
        <f>SUM(B281:M281)*2</f>
        <v>14628.072923219364</v>
      </c>
      <c r="P281" s="47"/>
      <c r="Q281" s="117"/>
      <c r="R281" s="151"/>
      <c r="S281" s="3">
        <v>2012</v>
      </c>
      <c r="T281" s="6">
        <v>84</v>
      </c>
      <c r="U281" s="6">
        <v>84</v>
      </c>
      <c r="V281" s="6">
        <v>84</v>
      </c>
      <c r="W281" s="6">
        <v>84</v>
      </c>
      <c r="X281" s="6">
        <v>84</v>
      </c>
      <c r="Y281" s="6">
        <v>84</v>
      </c>
      <c r="Z281" s="6">
        <v>84</v>
      </c>
      <c r="AA281" s="6">
        <v>84</v>
      </c>
      <c r="AB281" s="6">
        <v>84</v>
      </c>
      <c r="AC281" s="6">
        <v>84</v>
      </c>
      <c r="AD281" s="6">
        <v>84</v>
      </c>
      <c r="AE281" s="6">
        <v>84</v>
      </c>
      <c r="AF281" s="8">
        <f>SUM(T281+U281+V281+W281+X281+Y281)/6</f>
        <v>84</v>
      </c>
      <c r="AG281" s="43">
        <f t="shared" si="650"/>
        <v>84</v>
      </c>
      <c r="AJ281" s="3">
        <v>2012</v>
      </c>
      <c r="AK281" s="9">
        <f t="shared" si="636"/>
        <v>0</v>
      </c>
      <c r="AL281" s="9">
        <f t="shared" si="637"/>
        <v>0</v>
      </c>
      <c r="AM281" s="9">
        <f t="shared" si="638"/>
        <v>0</v>
      </c>
      <c r="AN281" s="9">
        <f t="shared" si="639"/>
        <v>0</v>
      </c>
      <c r="AO281" s="9">
        <f t="shared" si="640"/>
        <v>0</v>
      </c>
      <c r="AP281" s="9">
        <f t="shared" si="641"/>
        <v>0</v>
      </c>
      <c r="AQ281" s="11">
        <f t="shared" si="651"/>
        <v>25.310914454496285</v>
      </c>
      <c r="AR281" s="11">
        <f t="shared" si="651"/>
        <v>18.278802385435284</v>
      </c>
      <c r="AS281" s="11">
        <f t="shared" si="651"/>
        <v>11.061888783278739</v>
      </c>
      <c r="AT281" s="11">
        <f t="shared" si="651"/>
        <v>16.593522732877421</v>
      </c>
      <c r="AU281" s="11">
        <f t="shared" si="651"/>
        <v>8.3560633509395181</v>
      </c>
      <c r="AV281" s="11">
        <f t="shared" si="651"/>
        <v>7.4706709311832595</v>
      </c>
      <c r="AW281" s="90">
        <f t="shared" si="648"/>
        <v>0.23838976766108286</v>
      </c>
    </row>
    <row r="282" spans="1:49" x14ac:dyDescent="0.25">
      <c r="A282" s="3">
        <v>2011</v>
      </c>
      <c r="S282" s="3">
        <v>2011</v>
      </c>
      <c r="AJ282" s="3">
        <v>2011</v>
      </c>
      <c r="AW282" s="73"/>
    </row>
    <row r="283" spans="1:49" x14ac:dyDescent="0.25">
      <c r="A283" s="3">
        <v>2010</v>
      </c>
      <c r="S283" s="3">
        <v>2010</v>
      </c>
      <c r="AJ283" s="3">
        <v>2010</v>
      </c>
      <c r="AW283" s="73"/>
    </row>
    <row r="284" spans="1:49" ht="15.75" thickBot="1" x14ac:dyDescent="0.3">
      <c r="N284" s="118"/>
      <c r="O284" s="118"/>
      <c r="AW284" s="73"/>
    </row>
    <row r="285" spans="1:49" ht="15.75" thickTop="1" x14ac:dyDescent="0.25"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115">
        <f>SUM(N270:N274)/5</f>
        <v>3955.7645999999995</v>
      </c>
      <c r="O285" s="115">
        <f>SUM(O270:O274)/5</f>
        <v>4474.3455999999987</v>
      </c>
      <c r="P285" s="50"/>
      <c r="Q285" s="120"/>
      <c r="R285" s="153"/>
      <c r="AV285" s="3" t="s">
        <v>47</v>
      </c>
      <c r="AW285" s="92">
        <f>SUM(AW273:AW277)/5</f>
        <v>0.28653526450662731</v>
      </c>
    </row>
    <row r="286" spans="1:49" x14ac:dyDescent="0.25">
      <c r="A286" s="64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115"/>
      <c r="O286" s="115"/>
      <c r="P286" s="50"/>
      <c r="Q286" s="120"/>
      <c r="R286" s="153"/>
      <c r="AV286" s="63" t="s">
        <v>89</v>
      </c>
      <c r="AW286" s="93">
        <f>SUM(AW274:AW278)/5</f>
        <v>0.29344615912606614</v>
      </c>
    </row>
    <row r="287" spans="1:49" x14ac:dyDescent="0.25">
      <c r="A287" s="64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115"/>
      <c r="O287" s="97"/>
      <c r="P287" s="50"/>
      <c r="Q287" s="120"/>
      <c r="R287" s="153"/>
      <c r="AV287" s="3" t="s">
        <v>80</v>
      </c>
      <c r="AW287" s="92">
        <f>SUM(AW273:AW280)/8</f>
        <v>0.31741446988966376</v>
      </c>
    </row>
    <row r="289" spans="1:49" ht="60" x14ac:dyDescent="0.25">
      <c r="A289" s="166" t="s">
        <v>27</v>
      </c>
      <c r="B289" s="105" t="s">
        <v>0</v>
      </c>
      <c r="C289" s="105" t="s">
        <v>1</v>
      </c>
      <c r="D289" s="105" t="s">
        <v>2</v>
      </c>
      <c r="E289" s="105" t="s">
        <v>3</v>
      </c>
      <c r="F289" s="105" t="s">
        <v>4</v>
      </c>
      <c r="G289" s="105" t="s">
        <v>5</v>
      </c>
      <c r="H289" s="105" t="s">
        <v>6</v>
      </c>
      <c r="I289" s="105" t="s">
        <v>7</v>
      </c>
      <c r="J289" s="105" t="s">
        <v>8</v>
      </c>
      <c r="K289" s="105" t="s">
        <v>9</v>
      </c>
      <c r="L289" s="105" t="s">
        <v>10</v>
      </c>
      <c r="M289" s="105" t="s">
        <v>11</v>
      </c>
      <c r="N289" s="112" t="s">
        <v>78</v>
      </c>
      <c r="O289" s="112" t="s">
        <v>77</v>
      </c>
      <c r="P289" s="139" t="s">
        <v>162</v>
      </c>
      <c r="Q289" s="140" t="s">
        <v>72</v>
      </c>
      <c r="R289" s="148"/>
      <c r="S289" s="165" t="s">
        <v>40</v>
      </c>
      <c r="T289" s="5" t="s">
        <v>0</v>
      </c>
      <c r="U289" s="5" t="s">
        <v>1</v>
      </c>
      <c r="V289" s="5" t="s">
        <v>2</v>
      </c>
      <c r="W289" s="5" t="s">
        <v>3</v>
      </c>
      <c r="X289" s="5" t="s">
        <v>4</v>
      </c>
      <c r="Y289" s="5" t="s">
        <v>5</v>
      </c>
      <c r="Z289" s="5" t="s">
        <v>6</v>
      </c>
      <c r="AA289" s="5" t="s">
        <v>7</v>
      </c>
      <c r="AB289" s="5" t="s">
        <v>8</v>
      </c>
      <c r="AC289" s="5" t="s">
        <v>9</v>
      </c>
      <c r="AD289" s="5" t="s">
        <v>10</v>
      </c>
      <c r="AE289" s="5" t="s">
        <v>11</v>
      </c>
      <c r="AF289" s="30" t="s">
        <v>164</v>
      </c>
      <c r="AG289" s="30" t="s">
        <v>167</v>
      </c>
      <c r="AJ289" s="165" t="s">
        <v>61</v>
      </c>
      <c r="AK289" s="5" t="s">
        <v>0</v>
      </c>
      <c r="AL289" s="5" t="s">
        <v>1</v>
      </c>
      <c r="AM289" s="5" t="s">
        <v>2</v>
      </c>
      <c r="AN289" s="5" t="s">
        <v>3</v>
      </c>
      <c r="AO289" s="5" t="s">
        <v>4</v>
      </c>
      <c r="AP289" s="5" t="s">
        <v>5</v>
      </c>
      <c r="AQ289" s="5" t="s">
        <v>6</v>
      </c>
      <c r="AR289" s="5" t="s">
        <v>7</v>
      </c>
      <c r="AS289" s="5" t="s">
        <v>8</v>
      </c>
      <c r="AT289" s="5" t="s">
        <v>9</v>
      </c>
      <c r="AU289" s="5" t="s">
        <v>10</v>
      </c>
      <c r="AV289" s="5" t="s">
        <v>11</v>
      </c>
      <c r="AW289" s="5" t="s">
        <v>49</v>
      </c>
    </row>
    <row r="290" spans="1:49" x14ac:dyDescent="0.25">
      <c r="A290" s="77">
        <v>2023</v>
      </c>
      <c r="B290" s="145">
        <v>0</v>
      </c>
      <c r="C290" s="145">
        <v>0</v>
      </c>
      <c r="D290" s="145">
        <v>0</v>
      </c>
      <c r="E290" s="145">
        <v>0</v>
      </c>
      <c r="F290" s="145">
        <v>0</v>
      </c>
      <c r="G290" s="145">
        <v>0</v>
      </c>
      <c r="H290" s="145">
        <v>0</v>
      </c>
      <c r="I290" s="145">
        <v>0</v>
      </c>
      <c r="J290" s="145">
        <v>0</v>
      </c>
      <c r="K290" s="145">
        <v>0</v>
      </c>
      <c r="L290" s="145">
        <v>0</v>
      </c>
      <c r="M290" s="145">
        <v>0</v>
      </c>
      <c r="N290" s="105"/>
      <c r="O290" s="112"/>
      <c r="P290" s="139"/>
      <c r="Q290" s="140"/>
      <c r="R290" s="148"/>
      <c r="S290" s="77">
        <v>2023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0</v>
      </c>
      <c r="AE290" s="34">
        <v>0</v>
      </c>
      <c r="AF290" s="30"/>
      <c r="AG290" s="6">
        <f>SUM(T290:AE290)</f>
        <v>0</v>
      </c>
      <c r="AJ290" s="77">
        <v>2023</v>
      </c>
      <c r="AK290" s="171">
        <v>0</v>
      </c>
      <c r="AL290" s="171">
        <v>0</v>
      </c>
      <c r="AM290" s="171">
        <v>0</v>
      </c>
      <c r="AN290" s="171">
        <v>0</v>
      </c>
      <c r="AO290" s="171">
        <v>0</v>
      </c>
      <c r="AP290" s="171">
        <v>0</v>
      </c>
      <c r="AQ290" s="171">
        <v>0</v>
      </c>
      <c r="AR290" s="171">
        <v>0</v>
      </c>
      <c r="AS290" s="171">
        <v>0</v>
      </c>
      <c r="AT290" s="171">
        <v>0</v>
      </c>
      <c r="AU290" s="171">
        <v>0</v>
      </c>
      <c r="AV290" s="171">
        <v>0</v>
      </c>
      <c r="AW290" s="90">
        <f t="shared" ref="AW290:AW291" si="655">(SUM(AK290:AP290)+SUM(AQ290:AV290))/365.25</f>
        <v>0</v>
      </c>
    </row>
    <row r="291" spans="1:49" x14ac:dyDescent="0.25">
      <c r="A291" s="61">
        <v>2022</v>
      </c>
      <c r="B291" s="145">
        <v>0</v>
      </c>
      <c r="C291" s="145">
        <v>0</v>
      </c>
      <c r="D291" s="145">
        <v>0</v>
      </c>
      <c r="E291" s="145">
        <v>0</v>
      </c>
      <c r="F291" s="145">
        <v>0</v>
      </c>
      <c r="G291" s="145">
        <v>0</v>
      </c>
      <c r="H291" s="145">
        <v>0</v>
      </c>
      <c r="I291" s="145">
        <v>0</v>
      </c>
      <c r="J291" s="145">
        <v>0</v>
      </c>
      <c r="K291" s="145">
        <v>0</v>
      </c>
      <c r="L291" s="145">
        <v>0</v>
      </c>
      <c r="M291" s="145">
        <v>0</v>
      </c>
      <c r="N291" s="97">
        <f t="shared" ref="N291:N295" si="656">SUM(B291:G291)+SUM(H292:M292)</f>
        <v>0</v>
      </c>
      <c r="O291" s="112"/>
      <c r="P291" s="146"/>
      <c r="Q291" s="147">
        <f t="shared" ref="Q291:Q292" si="657">P291/5</f>
        <v>0</v>
      </c>
      <c r="R291" s="148"/>
      <c r="S291" s="61">
        <v>2022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0</v>
      </c>
      <c r="AE291" s="34">
        <v>0</v>
      </c>
      <c r="AF291" s="30"/>
      <c r="AG291" s="6">
        <f t="shared" ref="AG291:AG292" si="658">SUM(T291:AE291)</f>
        <v>0</v>
      </c>
      <c r="AJ291" s="61">
        <v>2022</v>
      </c>
      <c r="AK291" s="171">
        <v>0</v>
      </c>
      <c r="AL291" s="171">
        <v>0</v>
      </c>
      <c r="AM291" s="171">
        <v>0</v>
      </c>
      <c r="AN291" s="171">
        <v>0</v>
      </c>
      <c r="AO291" s="171">
        <v>0</v>
      </c>
      <c r="AP291" s="171">
        <v>0</v>
      </c>
      <c r="AQ291" s="171">
        <v>0</v>
      </c>
      <c r="AR291" s="171">
        <v>0</v>
      </c>
      <c r="AS291" s="171">
        <v>0</v>
      </c>
      <c r="AT291" s="171">
        <v>0</v>
      </c>
      <c r="AU291" s="171">
        <v>0</v>
      </c>
      <c r="AV291" s="171">
        <v>0</v>
      </c>
      <c r="AW291" s="90">
        <f t="shared" si="655"/>
        <v>0</v>
      </c>
    </row>
    <row r="292" spans="1:49" x14ac:dyDescent="0.25">
      <c r="A292" s="258" t="s">
        <v>180</v>
      </c>
      <c r="B292" s="145">
        <v>0</v>
      </c>
      <c r="C292" s="145">
        <v>0</v>
      </c>
      <c r="D292" s="145">
        <v>0</v>
      </c>
      <c r="E292" s="145">
        <v>0</v>
      </c>
      <c r="F292" s="145">
        <v>0</v>
      </c>
      <c r="G292" s="145">
        <v>0</v>
      </c>
      <c r="H292" s="145">
        <v>0</v>
      </c>
      <c r="I292" s="145">
        <v>0</v>
      </c>
      <c r="J292" s="145">
        <v>0</v>
      </c>
      <c r="K292" s="145">
        <v>0</v>
      </c>
      <c r="L292" s="145">
        <v>0</v>
      </c>
      <c r="M292" s="145">
        <v>0</v>
      </c>
      <c r="N292" s="97">
        <v>0</v>
      </c>
      <c r="O292" s="97">
        <f t="shared" ref="O292:O293" si="659">SUM(B292:M292)</f>
        <v>0</v>
      </c>
      <c r="P292" s="146"/>
      <c r="Q292" s="147">
        <f t="shared" si="657"/>
        <v>0</v>
      </c>
      <c r="R292" s="148"/>
      <c r="S292" s="61">
        <v>2021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0</v>
      </c>
      <c r="AE292" s="34">
        <v>0</v>
      </c>
      <c r="AF292" s="88">
        <f t="shared" ref="AF292:AF295" si="660">(SUM(T292:Y292)+SUM(Z293:AE293))/12</f>
        <v>1545.6666666666667</v>
      </c>
      <c r="AG292" s="6">
        <f t="shared" si="658"/>
        <v>0</v>
      </c>
      <c r="AJ292" s="61">
        <v>2021</v>
      </c>
      <c r="AK292" s="171">
        <v>0</v>
      </c>
      <c r="AL292" s="171">
        <v>0</v>
      </c>
      <c r="AM292" s="171">
        <v>0</v>
      </c>
      <c r="AN292" s="171">
        <v>0</v>
      </c>
      <c r="AO292" s="171">
        <v>0</v>
      </c>
      <c r="AP292" s="171">
        <v>0</v>
      </c>
      <c r="AQ292" s="171">
        <v>0</v>
      </c>
      <c r="AR292" s="171">
        <v>0</v>
      </c>
      <c r="AS292" s="171">
        <v>0</v>
      </c>
      <c r="AT292" s="171">
        <v>0</v>
      </c>
      <c r="AU292" s="171">
        <v>0</v>
      </c>
      <c r="AV292" s="171">
        <v>0</v>
      </c>
      <c r="AW292" s="90">
        <f>(SUM(AK292:AP292)+SUM(AQ292:AV292))/365.25</f>
        <v>0</v>
      </c>
    </row>
    <row r="293" spans="1:49" x14ac:dyDescent="0.25">
      <c r="A293" s="103">
        <v>2020</v>
      </c>
      <c r="B293" s="190">
        <v>6766.1940000000004</v>
      </c>
      <c r="C293" s="190">
        <v>6052.5820000000003</v>
      </c>
      <c r="D293" s="190">
        <v>7024.9580000000014</v>
      </c>
      <c r="E293" s="190">
        <v>6996.1750000000002</v>
      </c>
      <c r="F293" s="190">
        <v>7935.4979999999996</v>
      </c>
      <c r="G293" s="190">
        <v>9277.1</v>
      </c>
      <c r="H293" s="190">
        <v>13071.168</v>
      </c>
      <c r="I293" s="190">
        <v>14279.837</v>
      </c>
      <c r="J293" s="190">
        <v>10126.412</v>
      </c>
      <c r="K293" s="190">
        <v>9840.8449999999993</v>
      </c>
      <c r="L293" s="190">
        <v>7943.9149999999991</v>
      </c>
      <c r="M293" s="190">
        <v>8286.94</v>
      </c>
      <c r="N293" s="97">
        <f t="shared" si="656"/>
        <v>103990.807</v>
      </c>
      <c r="O293" s="97">
        <f t="shared" si="659"/>
        <v>107601.624</v>
      </c>
      <c r="P293" s="146">
        <f>SUM(O293:O297)</f>
        <v>561001.46400000004</v>
      </c>
      <c r="Q293" s="147">
        <f>P293/5</f>
        <v>112200.29280000001</v>
      </c>
      <c r="R293" s="148"/>
      <c r="S293" s="61">
        <v>2020</v>
      </c>
      <c r="T293" s="190">
        <v>3053</v>
      </c>
      <c r="U293" s="190">
        <v>3045</v>
      </c>
      <c r="V293" s="190">
        <v>3055</v>
      </c>
      <c r="W293" s="190">
        <v>3061</v>
      </c>
      <c r="X293" s="190">
        <v>3076</v>
      </c>
      <c r="Y293" s="190">
        <v>3090</v>
      </c>
      <c r="Z293" s="190">
        <v>3101</v>
      </c>
      <c r="AA293" s="190">
        <v>3100</v>
      </c>
      <c r="AB293" s="190">
        <v>3092</v>
      </c>
      <c r="AC293" s="190">
        <v>3091</v>
      </c>
      <c r="AD293" s="190">
        <v>3082</v>
      </c>
      <c r="AE293" s="190">
        <v>3082</v>
      </c>
      <c r="AF293" s="88">
        <f t="shared" si="660"/>
        <v>3067.5833333333335</v>
      </c>
      <c r="AG293" s="43">
        <f>SUM(T293:AE293)/12</f>
        <v>3077.3333333333335</v>
      </c>
      <c r="AJ293" s="61">
        <v>2020</v>
      </c>
      <c r="AK293" s="9">
        <f t="shared" ref="AK293:AP299" si="661">B293/T293</f>
        <v>2.2162443498198496</v>
      </c>
      <c r="AL293" s="9">
        <f t="shared" si="661"/>
        <v>1.9877116584564862</v>
      </c>
      <c r="AM293" s="79">
        <f t="shared" si="661"/>
        <v>2.2994952536824882</v>
      </c>
      <c r="AN293" s="79">
        <f t="shared" si="661"/>
        <v>2.2855847762169228</v>
      </c>
      <c r="AO293" s="79">
        <f t="shared" si="661"/>
        <v>2.5798107932379715</v>
      </c>
      <c r="AP293" s="79">
        <f t="shared" si="661"/>
        <v>3.0022977346278319</v>
      </c>
      <c r="AQ293" s="79">
        <f t="shared" ref="AQ293" si="662">H293/Z293</f>
        <v>4.2151460819090616</v>
      </c>
      <c r="AR293" s="79">
        <f t="shared" ref="AR293" si="663">I293/AA293</f>
        <v>4.6063990322580644</v>
      </c>
      <c r="AS293" s="79">
        <f t="shared" ref="AS293" si="664">J293/AB293</f>
        <v>3.2750362225097027</v>
      </c>
      <c r="AT293" s="79">
        <f t="shared" ref="AT293" si="665">K293/AC293</f>
        <v>3.1837091556130699</v>
      </c>
      <c r="AU293" s="79">
        <f t="shared" ref="AU293" si="666">L293/AD293</f>
        <v>2.5775194678780009</v>
      </c>
      <c r="AV293" s="79">
        <f t="shared" ref="AV293" si="667">M293/AE293</f>
        <v>2.6888189487345882</v>
      </c>
      <c r="AW293" s="90">
        <f t="shared" ref="AW293:AW300" si="668">(SUM(AK293:AP293)+SUM(AQ293:AV293))/365.25</f>
        <v>9.5599653593275949E-2</v>
      </c>
    </row>
    <row r="294" spans="1:49" x14ac:dyDescent="0.25">
      <c r="A294" s="103">
        <v>2019</v>
      </c>
      <c r="B294" s="125">
        <v>6964</v>
      </c>
      <c r="C294" s="125">
        <v>7135.1</v>
      </c>
      <c r="D294" s="125">
        <v>7310.6</v>
      </c>
      <c r="E294" s="125">
        <v>7557.9</v>
      </c>
      <c r="F294" s="125">
        <v>8252.7999999999993</v>
      </c>
      <c r="G294" s="125">
        <v>8909.1</v>
      </c>
      <c r="H294" s="190">
        <v>12408.6</v>
      </c>
      <c r="I294" s="190">
        <v>11713.7</v>
      </c>
      <c r="J294" s="190">
        <v>10781.5</v>
      </c>
      <c r="K294" s="190">
        <v>8684.1</v>
      </c>
      <c r="L294" s="190">
        <v>7188.2</v>
      </c>
      <c r="M294" s="190">
        <v>9162.2000000000007</v>
      </c>
      <c r="N294" s="97">
        <f t="shared" si="656"/>
        <v>109193.1</v>
      </c>
      <c r="O294" s="97">
        <f>SUM(B294:M294)</f>
        <v>106067.79999999999</v>
      </c>
      <c r="P294" s="146">
        <f t="shared" ref="P294:P296" si="669">SUM(O294:O298)</f>
        <v>546541.84299999999</v>
      </c>
      <c r="Q294" s="147">
        <f t="shared" ref="Q294:Q296" si="670">P294/5</f>
        <v>109308.3686</v>
      </c>
      <c r="R294" s="108"/>
      <c r="S294" s="61">
        <v>2019</v>
      </c>
      <c r="T294" s="35">
        <v>3057</v>
      </c>
      <c r="U294" s="35">
        <v>3054</v>
      </c>
      <c r="V294" s="35">
        <v>3048</v>
      </c>
      <c r="W294" s="35">
        <v>3056</v>
      </c>
      <c r="X294" s="35">
        <v>3073</v>
      </c>
      <c r="Y294" s="35">
        <v>3074</v>
      </c>
      <c r="Z294" s="190">
        <v>3081</v>
      </c>
      <c r="AA294" s="190">
        <v>3078</v>
      </c>
      <c r="AB294" s="190">
        <v>3078</v>
      </c>
      <c r="AC294" s="190">
        <v>3075</v>
      </c>
      <c r="AD294" s="190">
        <v>3061</v>
      </c>
      <c r="AE294" s="190">
        <v>3058</v>
      </c>
      <c r="AF294" s="8">
        <f t="shared" si="660"/>
        <v>3070.5833333333335</v>
      </c>
      <c r="AG294" s="43">
        <f t="shared" ref="AG294:AG298" si="671">SUM(T294:AE294)/12</f>
        <v>3066.0833333333335</v>
      </c>
      <c r="AJ294" s="61">
        <v>2019</v>
      </c>
      <c r="AK294" s="9">
        <f t="shared" si="661"/>
        <v>2.2780503761858029</v>
      </c>
      <c r="AL294" s="9">
        <f t="shared" si="661"/>
        <v>2.3363130320890635</v>
      </c>
      <c r="AM294" s="9">
        <f t="shared" si="661"/>
        <v>2.3984908136482939</v>
      </c>
      <c r="AN294" s="9">
        <f t="shared" si="661"/>
        <v>2.4731348167539267</v>
      </c>
      <c r="AO294" s="9">
        <f t="shared" si="661"/>
        <v>2.6855841197526846</v>
      </c>
      <c r="AP294" s="9">
        <f t="shared" si="661"/>
        <v>2.8982108002602471</v>
      </c>
      <c r="AQ294" s="11">
        <f t="shared" ref="AQ294:AV299" si="672">H294/Z294</f>
        <v>4.0274586173320355</v>
      </c>
      <c r="AR294" s="11">
        <f t="shared" si="672"/>
        <v>3.8056205328135153</v>
      </c>
      <c r="AS294" s="11">
        <f t="shared" si="672"/>
        <v>3.5027615334632878</v>
      </c>
      <c r="AT294" s="11">
        <f t="shared" si="672"/>
        <v>2.82409756097561</v>
      </c>
      <c r="AU294" s="11">
        <f t="shared" si="672"/>
        <v>2.3483175432865075</v>
      </c>
      <c r="AV294" s="11">
        <f t="shared" si="672"/>
        <v>2.9961412688031395</v>
      </c>
      <c r="AW294" s="90">
        <f t="shared" si="668"/>
        <v>9.4658948707362411E-2</v>
      </c>
    </row>
    <row r="295" spans="1:49" x14ac:dyDescent="0.25">
      <c r="A295" s="103">
        <v>2018</v>
      </c>
      <c r="B295" s="116">
        <v>8117.4</v>
      </c>
      <c r="C295" s="116">
        <v>6589</v>
      </c>
      <c r="D295" s="116">
        <v>7803.9</v>
      </c>
      <c r="E295" s="116">
        <v>7077.8</v>
      </c>
      <c r="F295" s="116">
        <v>8873.1</v>
      </c>
      <c r="G295" s="116">
        <v>12571.7</v>
      </c>
      <c r="H295" s="116">
        <v>14629.9</v>
      </c>
      <c r="I295" s="116">
        <v>12061.1</v>
      </c>
      <c r="J295" s="116">
        <v>10570</v>
      </c>
      <c r="K295" s="116">
        <v>9509.7999999999993</v>
      </c>
      <c r="L295" s="116">
        <v>9028.4</v>
      </c>
      <c r="M295" s="116">
        <v>7264.4</v>
      </c>
      <c r="N295" s="97">
        <f t="shared" si="656"/>
        <v>116007</v>
      </c>
      <c r="O295" s="97">
        <f t="shared" ref="O295:O299" si="673">SUM(B295:M295)</f>
        <v>114096.49999999999</v>
      </c>
      <c r="P295" s="146">
        <f t="shared" si="669"/>
        <v>533728.54299999995</v>
      </c>
      <c r="Q295" s="147">
        <f t="shared" si="670"/>
        <v>106745.70859999998</v>
      </c>
      <c r="R295" s="148"/>
      <c r="S295" s="61">
        <v>2018</v>
      </c>
      <c r="T295" s="35">
        <v>3004</v>
      </c>
      <c r="U295" s="35">
        <v>3000</v>
      </c>
      <c r="V295" s="35">
        <v>3011</v>
      </c>
      <c r="W295" s="35">
        <v>3066</v>
      </c>
      <c r="X295" s="35">
        <v>3079</v>
      </c>
      <c r="Y295" s="35">
        <v>3090</v>
      </c>
      <c r="Z295" s="35">
        <v>3088</v>
      </c>
      <c r="AA295" s="35">
        <v>3094</v>
      </c>
      <c r="AB295" s="35">
        <v>3097</v>
      </c>
      <c r="AC295" s="35">
        <v>3082</v>
      </c>
      <c r="AD295" s="35">
        <v>3064</v>
      </c>
      <c r="AE295" s="35">
        <v>3060</v>
      </c>
      <c r="AF295" s="88">
        <f t="shared" si="660"/>
        <v>3026.25</v>
      </c>
      <c r="AG295" s="43">
        <f t="shared" si="671"/>
        <v>3061.25</v>
      </c>
      <c r="AJ295" s="61">
        <v>2018</v>
      </c>
      <c r="AK295" s="9">
        <f t="shared" si="661"/>
        <v>2.70219707057257</v>
      </c>
      <c r="AL295" s="9">
        <f t="shared" si="661"/>
        <v>2.1963333333333335</v>
      </c>
      <c r="AM295" s="9">
        <f t="shared" si="661"/>
        <v>2.5917967452673527</v>
      </c>
      <c r="AN295" s="9">
        <f t="shared" si="661"/>
        <v>2.3084801043705152</v>
      </c>
      <c r="AO295" s="9">
        <f t="shared" si="661"/>
        <v>2.8818122767132186</v>
      </c>
      <c r="AP295" s="9">
        <f t="shared" si="661"/>
        <v>4.0685113268608415</v>
      </c>
      <c r="AQ295" s="11">
        <f t="shared" si="672"/>
        <v>4.7376619170984453</v>
      </c>
      <c r="AR295" s="11">
        <f t="shared" si="672"/>
        <v>3.8982223658694246</v>
      </c>
      <c r="AS295" s="11">
        <f t="shared" si="672"/>
        <v>3.412980303519535</v>
      </c>
      <c r="AT295" s="11">
        <f t="shared" si="672"/>
        <v>3.0855937702790395</v>
      </c>
      <c r="AU295" s="11">
        <f t="shared" si="672"/>
        <v>2.9466057441253262</v>
      </c>
      <c r="AV295" s="11">
        <f t="shared" si="672"/>
        <v>2.3739869281045749</v>
      </c>
      <c r="AW295" s="90">
        <f t="shared" si="668"/>
        <v>0.10185949866150357</v>
      </c>
    </row>
    <row r="296" spans="1:49" x14ac:dyDescent="0.25">
      <c r="A296" s="104">
        <v>2017</v>
      </c>
      <c r="B296" s="124">
        <v>8210.1</v>
      </c>
      <c r="C296" s="124">
        <v>6407.3</v>
      </c>
      <c r="D296" s="124">
        <v>7206</v>
      </c>
      <c r="E296" s="124">
        <v>8131.2</v>
      </c>
      <c r="F296" s="124">
        <v>9371.7999999999993</v>
      </c>
      <c r="G296" s="124">
        <v>10285</v>
      </c>
      <c r="H296" s="125">
        <v>12880.6</v>
      </c>
      <c r="I296" s="125">
        <v>12175.4</v>
      </c>
      <c r="J296" s="125">
        <v>12670.3</v>
      </c>
      <c r="K296" s="125">
        <v>9974.1</v>
      </c>
      <c r="L296" s="125">
        <v>10076.4</v>
      </c>
      <c r="M296" s="125">
        <v>7197.3</v>
      </c>
      <c r="N296" s="97">
        <f>SUM(B296:G296)+SUM(H297:M297)</f>
        <v>120667.94</v>
      </c>
      <c r="O296" s="97">
        <f t="shared" si="673"/>
        <v>114585.5</v>
      </c>
      <c r="P296" s="146">
        <f t="shared" si="669"/>
        <v>518505.74299999996</v>
      </c>
      <c r="Q296" s="147">
        <f t="shared" si="670"/>
        <v>103701.14859999999</v>
      </c>
      <c r="R296" s="138"/>
      <c r="S296" s="3">
        <v>2017</v>
      </c>
      <c r="T296" s="6">
        <v>2968</v>
      </c>
      <c r="U296" s="6">
        <v>2972</v>
      </c>
      <c r="V296" s="6">
        <v>2971</v>
      </c>
      <c r="W296" s="6">
        <v>2983</v>
      </c>
      <c r="X296" s="6">
        <v>3006</v>
      </c>
      <c r="Y296" s="6">
        <v>3011</v>
      </c>
      <c r="Z296" s="6">
        <v>3010</v>
      </c>
      <c r="AA296" s="6">
        <v>3018</v>
      </c>
      <c r="AB296" s="6">
        <v>3016</v>
      </c>
      <c r="AC296" s="6">
        <v>3017</v>
      </c>
      <c r="AD296" s="35">
        <v>3005</v>
      </c>
      <c r="AE296" s="6">
        <v>2999</v>
      </c>
      <c r="AF296" s="8">
        <f>(SUM(T296:Y296)+SUM(Z297:AE297))/12</f>
        <v>2994.1666666666665</v>
      </c>
      <c r="AG296" s="43">
        <f t="shared" si="671"/>
        <v>2998</v>
      </c>
      <c r="AJ296" s="3">
        <v>2017</v>
      </c>
      <c r="AK296" s="9">
        <f t="shared" si="661"/>
        <v>2.7662061994609166</v>
      </c>
      <c r="AL296" s="9">
        <f t="shared" si="661"/>
        <v>2.1558882907133246</v>
      </c>
      <c r="AM296" s="9">
        <f t="shared" si="661"/>
        <v>2.4254459777852575</v>
      </c>
      <c r="AN296" s="9">
        <f t="shared" si="661"/>
        <v>2.7258464632919877</v>
      </c>
      <c r="AO296" s="9">
        <f t="shared" si="661"/>
        <v>3.1176979374584164</v>
      </c>
      <c r="AP296" s="9">
        <f t="shared" si="661"/>
        <v>3.4158087014280971</v>
      </c>
      <c r="AQ296" s="11">
        <f t="shared" si="672"/>
        <v>4.2792691029900336</v>
      </c>
      <c r="AR296" s="11">
        <f t="shared" si="672"/>
        <v>4.0342611000662689</v>
      </c>
      <c r="AS296" s="11">
        <f t="shared" si="672"/>
        <v>4.2010278514588855</v>
      </c>
      <c r="AT296" s="11">
        <f t="shared" si="672"/>
        <v>3.305966191581041</v>
      </c>
      <c r="AU296" s="11">
        <f t="shared" si="672"/>
        <v>3.3532113144758733</v>
      </c>
      <c r="AV296" s="11">
        <f t="shared" si="672"/>
        <v>2.3998999666555521</v>
      </c>
      <c r="AW296" s="90">
        <f t="shared" si="668"/>
        <v>0.10453259164234266</v>
      </c>
    </row>
    <row r="297" spans="1:49" x14ac:dyDescent="0.25">
      <c r="A297" s="104">
        <v>2016</v>
      </c>
      <c r="B297" s="124">
        <v>7149.1</v>
      </c>
      <c r="C297" s="124">
        <v>7214</v>
      </c>
      <c r="D297" s="124">
        <v>7453.5</v>
      </c>
      <c r="E297" s="124">
        <v>8112.5</v>
      </c>
      <c r="F297" s="124">
        <v>7428.1</v>
      </c>
      <c r="G297" s="124">
        <v>10236.299999999999</v>
      </c>
      <c r="H297" s="124">
        <v>10113</v>
      </c>
      <c r="I297" s="124">
        <v>11100</v>
      </c>
      <c r="J297" s="124">
        <v>13217.4</v>
      </c>
      <c r="K297" s="124">
        <v>20510.2</v>
      </c>
      <c r="L297" s="124">
        <v>8166.34</v>
      </c>
      <c r="M297" s="124">
        <v>7949.6</v>
      </c>
      <c r="N297" s="97">
        <f>SUM(B297:G297)+SUM(H298:M298)</f>
        <v>98765.002999999997</v>
      </c>
      <c r="O297" s="97">
        <f t="shared" si="673"/>
        <v>118650.04</v>
      </c>
      <c r="P297" s="122"/>
      <c r="Q297" s="123"/>
      <c r="R297" s="138"/>
      <c r="S297" s="3">
        <v>2016</v>
      </c>
      <c r="T297" s="6">
        <v>2945</v>
      </c>
      <c r="U297" s="6">
        <v>2925</v>
      </c>
      <c r="V297" s="6">
        <v>2938</v>
      </c>
      <c r="W297" s="6">
        <v>2978</v>
      </c>
      <c r="X297" s="6">
        <v>2992</v>
      </c>
      <c r="Y297" s="6">
        <v>3004</v>
      </c>
      <c r="Z297" s="6">
        <v>3027</v>
      </c>
      <c r="AA297" s="6">
        <v>3013</v>
      </c>
      <c r="AB297" s="6">
        <v>3007</v>
      </c>
      <c r="AC297" s="6">
        <v>3001</v>
      </c>
      <c r="AD297" s="6">
        <v>2986</v>
      </c>
      <c r="AE297" s="6">
        <v>2985</v>
      </c>
      <c r="AF297" s="8">
        <f t="shared" ref="AF297:AF298" si="674">(SUM(T297:Y297)+SUM(Z298:AE298))/12</f>
        <v>2969.5</v>
      </c>
      <c r="AG297" s="43">
        <f t="shared" si="671"/>
        <v>2983.4166666666665</v>
      </c>
      <c r="AJ297" s="3">
        <v>2016</v>
      </c>
      <c r="AK297" s="9">
        <f t="shared" si="661"/>
        <v>2.4275382003395589</v>
      </c>
      <c r="AL297" s="9">
        <f t="shared" si="661"/>
        <v>2.4663247863247864</v>
      </c>
      <c r="AM297" s="9">
        <f t="shared" si="661"/>
        <v>2.536929884275017</v>
      </c>
      <c r="AN297" s="9">
        <f t="shared" si="661"/>
        <v>2.7241437206178643</v>
      </c>
      <c r="AO297" s="9">
        <f t="shared" si="661"/>
        <v>2.4826537433155083</v>
      </c>
      <c r="AP297" s="9">
        <f t="shared" si="661"/>
        <v>3.4075565912117174</v>
      </c>
      <c r="AQ297" s="11">
        <f t="shared" si="672"/>
        <v>3.3409316154608524</v>
      </c>
      <c r="AR297" s="11">
        <f t="shared" si="672"/>
        <v>3.6840358446730832</v>
      </c>
      <c r="AS297" s="11">
        <f t="shared" si="672"/>
        <v>4.3955437312936478</v>
      </c>
      <c r="AT297" s="11">
        <f t="shared" si="672"/>
        <v>6.8344551816061312</v>
      </c>
      <c r="AU297" s="11">
        <f t="shared" si="672"/>
        <v>2.7348760884125922</v>
      </c>
      <c r="AV297" s="11">
        <f t="shared" si="672"/>
        <v>2.6631825795644892</v>
      </c>
      <c r="AW297" s="90">
        <f t="shared" si="668"/>
        <v>0.10868767136781722</v>
      </c>
    </row>
    <row r="298" spans="1:49" x14ac:dyDescent="0.25">
      <c r="A298" s="104">
        <v>2015</v>
      </c>
      <c r="B298" s="124">
        <v>6909.6</v>
      </c>
      <c r="C298" s="124">
        <v>6189</v>
      </c>
      <c r="D298" s="124">
        <v>6296.9</v>
      </c>
      <c r="E298" s="124">
        <v>7196.4</v>
      </c>
      <c r="F298" s="124">
        <v>7534.6</v>
      </c>
      <c r="G298" s="124">
        <v>7844</v>
      </c>
      <c r="H298" s="124">
        <v>10762.102999999999</v>
      </c>
      <c r="I298" s="124">
        <v>9556</v>
      </c>
      <c r="J298" s="124">
        <v>8321.7000000000007</v>
      </c>
      <c r="K298" s="124">
        <v>8425.7000000000007</v>
      </c>
      <c r="L298" s="124">
        <v>6887.4</v>
      </c>
      <c r="M298" s="124">
        <v>7218.6</v>
      </c>
      <c r="N298" s="97">
        <f t="shared" ref="N298" si="675">SUM(B298:G298)+SUM(H299:M299)</f>
        <v>91102.9</v>
      </c>
      <c r="O298" s="97">
        <f t="shared" si="673"/>
        <v>93142.002999999997</v>
      </c>
      <c r="P298" s="122"/>
      <c r="Q298" s="123"/>
      <c r="R298" s="138"/>
      <c r="S298" s="3">
        <v>2015</v>
      </c>
      <c r="T298" s="6">
        <v>2910</v>
      </c>
      <c r="U298" s="6">
        <v>2894</v>
      </c>
      <c r="V298" s="6">
        <v>2888</v>
      </c>
      <c r="W298" s="6">
        <v>2903</v>
      </c>
      <c r="X298" s="6">
        <v>2952</v>
      </c>
      <c r="Y298" s="6">
        <v>2958</v>
      </c>
      <c r="Z298" s="6">
        <v>2972</v>
      </c>
      <c r="AA298" s="6">
        <v>2980</v>
      </c>
      <c r="AB298" s="6">
        <v>2986</v>
      </c>
      <c r="AC298" s="6">
        <v>2988</v>
      </c>
      <c r="AD298" s="6">
        <v>2964</v>
      </c>
      <c r="AE298" s="6">
        <v>2962</v>
      </c>
      <c r="AF298" s="8">
        <f t="shared" si="674"/>
        <v>2940.6666666666665</v>
      </c>
      <c r="AG298" s="43">
        <f t="shared" si="671"/>
        <v>2946.4166666666665</v>
      </c>
      <c r="AJ298" s="3">
        <v>2015</v>
      </c>
      <c r="AK298" s="9">
        <f t="shared" si="661"/>
        <v>2.3744329896907219</v>
      </c>
      <c r="AL298" s="9">
        <f t="shared" si="661"/>
        <v>2.1385625431928128</v>
      </c>
      <c r="AM298" s="9">
        <f t="shared" si="661"/>
        <v>2.1803670360110803</v>
      </c>
      <c r="AN298" s="9">
        <f t="shared" si="661"/>
        <v>2.4789528074405784</v>
      </c>
      <c r="AO298" s="9">
        <f t="shared" si="661"/>
        <v>2.5523712737127373</v>
      </c>
      <c r="AP298" s="9">
        <f t="shared" si="661"/>
        <v>2.6517917511832318</v>
      </c>
      <c r="AQ298" s="11">
        <f t="shared" si="672"/>
        <v>3.621165208613728</v>
      </c>
      <c r="AR298" s="11">
        <f t="shared" si="672"/>
        <v>3.206711409395973</v>
      </c>
      <c r="AS298" s="11">
        <f t="shared" si="672"/>
        <v>2.7869055592766245</v>
      </c>
      <c r="AT298" s="11">
        <f t="shared" si="672"/>
        <v>2.8198460508701473</v>
      </c>
      <c r="AU298" s="11">
        <f t="shared" si="672"/>
        <v>2.3236842105263156</v>
      </c>
      <c r="AV298" s="11">
        <f t="shared" si="672"/>
        <v>2.4370695476029711</v>
      </c>
      <c r="AW298" s="90">
        <f t="shared" si="668"/>
        <v>8.6439042813188011E-2</v>
      </c>
    </row>
    <row r="299" spans="1:49" x14ac:dyDescent="0.25">
      <c r="A299" s="104">
        <v>2014</v>
      </c>
      <c r="B299" s="124">
        <v>7972.2</v>
      </c>
      <c r="C299" s="124">
        <v>6376.3</v>
      </c>
      <c r="D299" s="124">
        <v>6094.4</v>
      </c>
      <c r="E299" s="124">
        <v>6878.2</v>
      </c>
      <c r="F299" s="124">
        <v>7261</v>
      </c>
      <c r="G299" s="124">
        <v>9540</v>
      </c>
      <c r="H299" s="124">
        <v>9691.1</v>
      </c>
      <c r="I299" s="124">
        <v>10653</v>
      </c>
      <c r="J299" s="124">
        <v>8040.7</v>
      </c>
      <c r="K299" s="124">
        <v>7695.5</v>
      </c>
      <c r="L299" s="124">
        <v>6201.9</v>
      </c>
      <c r="M299" s="124">
        <v>6850.2</v>
      </c>
      <c r="N299" s="97">
        <f>SUM(B299:G299)+SUM(H300:M300)</f>
        <v>97705.067666666684</v>
      </c>
      <c r="O299" s="97">
        <f t="shared" si="673"/>
        <v>93254.5</v>
      </c>
      <c r="P299" s="122"/>
      <c r="Q299" s="123"/>
      <c r="R299" s="141"/>
      <c r="S299" s="3">
        <v>2014</v>
      </c>
      <c r="T299" s="6">
        <v>2837</v>
      </c>
      <c r="U299" s="6">
        <v>2823</v>
      </c>
      <c r="V299" s="6">
        <v>2873</v>
      </c>
      <c r="W299" s="6">
        <v>2916</v>
      </c>
      <c r="X299" s="6">
        <v>2941</v>
      </c>
      <c r="Y299" s="6">
        <v>2974</v>
      </c>
      <c r="Z299" s="6">
        <v>3014</v>
      </c>
      <c r="AA299" s="6">
        <v>2981</v>
      </c>
      <c r="AB299" s="6">
        <v>2959</v>
      </c>
      <c r="AC299" s="6">
        <v>2960</v>
      </c>
      <c r="AD299" s="6">
        <v>2946</v>
      </c>
      <c r="AE299" s="6">
        <v>2923</v>
      </c>
      <c r="AF299" s="88">
        <f>(SUM(T299:Y299)+SUM(Z300:AE300))/12</f>
        <v>2915.9722222222226</v>
      </c>
      <c r="AG299" s="43">
        <f>SUM(T299:AE299)/12</f>
        <v>2928.9166666666665</v>
      </c>
      <c r="AJ299" s="3">
        <v>2014</v>
      </c>
      <c r="AK299" s="9">
        <f t="shared" si="661"/>
        <v>2.8100810715544591</v>
      </c>
      <c r="AL299" s="9">
        <f t="shared" si="661"/>
        <v>2.2586964222458379</v>
      </c>
      <c r="AM299" s="9">
        <f t="shared" si="661"/>
        <v>2.1212669683257919</v>
      </c>
      <c r="AN299" s="9">
        <f t="shared" si="661"/>
        <v>2.35877914951989</v>
      </c>
      <c r="AO299" s="9">
        <f t="shared" si="661"/>
        <v>2.4688881332879973</v>
      </c>
      <c r="AP299" s="9">
        <f t="shared" si="661"/>
        <v>3.2078009414929389</v>
      </c>
      <c r="AQ299" s="11">
        <f t="shared" si="672"/>
        <v>3.2153616456536165</v>
      </c>
      <c r="AR299" s="11">
        <f t="shared" si="672"/>
        <v>3.5736330090573634</v>
      </c>
      <c r="AS299" s="11">
        <f t="shared" si="672"/>
        <v>2.7173707333558634</v>
      </c>
      <c r="AT299" s="11">
        <f t="shared" si="672"/>
        <v>2.599831081081081</v>
      </c>
      <c r="AU299" s="11">
        <f t="shared" si="672"/>
        <v>2.1051934826883909</v>
      </c>
      <c r="AV299" s="11">
        <f t="shared" si="672"/>
        <v>2.3435511460827918</v>
      </c>
      <c r="AW299" s="90">
        <f t="shared" si="668"/>
        <v>8.7010140408887118E-2</v>
      </c>
    </row>
    <row r="300" spans="1:49" x14ac:dyDescent="0.25">
      <c r="A300" s="104">
        <v>2013</v>
      </c>
      <c r="B300" s="126"/>
      <c r="C300" s="126"/>
      <c r="D300" s="126"/>
      <c r="E300" s="126"/>
      <c r="F300" s="126"/>
      <c r="G300" s="126"/>
      <c r="H300" s="65">
        <f>AVERAGE(H297:H299)</f>
        <v>10188.734333333334</v>
      </c>
      <c r="I300" s="65">
        <f>AVERAGE(I297:I299)</f>
        <v>10436.333333333334</v>
      </c>
      <c r="J300" s="124">
        <v>9769.7999999999993</v>
      </c>
      <c r="K300" s="124">
        <v>8060</v>
      </c>
      <c r="L300" s="124">
        <v>7272.8</v>
      </c>
      <c r="M300" s="124">
        <v>7855.3</v>
      </c>
      <c r="N300" s="97"/>
      <c r="O300" s="327">
        <f>AVERAGE(J300:M300)*12</f>
        <v>98873.700000000012</v>
      </c>
      <c r="P300" s="122"/>
      <c r="Q300" s="123"/>
      <c r="R300" s="138"/>
      <c r="S300" s="3">
        <v>2013</v>
      </c>
      <c r="T300" s="6"/>
      <c r="U300" s="6"/>
      <c r="V300" s="6"/>
      <c r="W300" s="6"/>
      <c r="X300" s="6"/>
      <c r="Y300" s="6"/>
      <c r="Z300" s="35">
        <f>AVERAGE(Z297:Z299)</f>
        <v>3004.3333333333335</v>
      </c>
      <c r="AA300" s="35">
        <f>AVERAGE(AA297:AA299)</f>
        <v>2991.3333333333335</v>
      </c>
      <c r="AB300" s="6">
        <v>2908</v>
      </c>
      <c r="AC300" s="6">
        <v>2919</v>
      </c>
      <c r="AD300" s="6">
        <v>2915</v>
      </c>
      <c r="AE300" s="6">
        <v>2890</v>
      </c>
      <c r="AG300" s="43">
        <f>SUM(T300:AE300)/6</f>
        <v>2937.9444444444448</v>
      </c>
      <c r="AJ300" s="3">
        <v>2013</v>
      </c>
      <c r="AK300" s="9"/>
      <c r="AQ300" s="45">
        <f>AVERAGE(AQ295:AQ299)</f>
        <v>3.8388778979633349</v>
      </c>
      <c r="AR300" s="45">
        <f>AVERAGE(AR295:AR299)</f>
        <v>3.6793727458124224</v>
      </c>
      <c r="AS300" s="11">
        <f>J300/AB300</f>
        <v>3.3596286107290232</v>
      </c>
      <c r="AT300" s="11">
        <f>K300/AC300</f>
        <v>2.7612195957519701</v>
      </c>
      <c r="AU300" s="11">
        <f>L300/AD300</f>
        <v>2.4949571183533448</v>
      </c>
      <c r="AV300" s="11">
        <f>M300/AE300</f>
        <v>2.7180968858131487</v>
      </c>
      <c r="AW300" s="90">
        <f t="shared" si="668"/>
        <v>5.1614381531617369E-2</v>
      </c>
    </row>
    <row r="301" spans="1:49" x14ac:dyDescent="0.25">
      <c r="A301" s="104">
        <v>2012</v>
      </c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Q301" s="46"/>
      <c r="R301" s="145"/>
      <c r="S301" s="3">
        <v>2012</v>
      </c>
      <c r="AJ301" s="3">
        <v>2012</v>
      </c>
      <c r="AK301" s="9"/>
      <c r="AW301" s="73"/>
    </row>
    <row r="302" spans="1:49" x14ac:dyDescent="0.25">
      <c r="A302" s="104">
        <v>2011</v>
      </c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Q302" s="46"/>
      <c r="R302" s="145"/>
      <c r="S302" s="3">
        <v>2011</v>
      </c>
      <c r="AJ302" s="3">
        <v>2011</v>
      </c>
      <c r="AW302" s="73"/>
    </row>
    <row r="303" spans="1:49" x14ac:dyDescent="0.25">
      <c r="A303" s="104">
        <v>2010</v>
      </c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Q303" s="46"/>
      <c r="R303" s="145"/>
      <c r="S303" s="3">
        <v>2010</v>
      </c>
      <c r="AJ303" s="3">
        <v>2010</v>
      </c>
      <c r="AW303" s="73"/>
    </row>
    <row r="304" spans="1:49" ht="15.75" thickBot="1" x14ac:dyDescent="0.3">
      <c r="A304" s="44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2"/>
      <c r="O304" s="62"/>
      <c r="Q304" s="46"/>
      <c r="R304" s="145"/>
      <c r="AW304" s="73"/>
    </row>
    <row r="305" spans="1:49" ht="15.75" thickTop="1" x14ac:dyDescent="0.25">
      <c r="A305" s="89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>
        <f>SUM(N290:N294)/5</f>
        <v>42636.7814</v>
      </c>
      <c r="O305" s="97">
        <f>SUM(O290:O294)/5</f>
        <v>42733.8848</v>
      </c>
      <c r="P305" s="50"/>
      <c r="Q305" s="48"/>
      <c r="R305" s="155"/>
      <c r="AV305" s="3" t="s">
        <v>47</v>
      </c>
      <c r="AW305" s="92">
        <f>SUM(AW293:AW297)/5</f>
        <v>0.10106767279446036</v>
      </c>
    </row>
    <row r="306" spans="1:49" x14ac:dyDescent="0.25">
      <c r="A306" s="64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50"/>
      <c r="Q306" s="48"/>
      <c r="R306" s="155"/>
      <c r="AV306" s="3"/>
      <c r="AW306" s="92"/>
    </row>
    <row r="307" spans="1:49" x14ac:dyDescent="0.25">
      <c r="A307" s="64"/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50"/>
      <c r="Q307" s="48"/>
      <c r="R307" s="155"/>
      <c r="AV307" s="3"/>
      <c r="AW307" s="71"/>
    </row>
    <row r="309" spans="1:49" ht="60" x14ac:dyDescent="0.25">
      <c r="A309" s="165" t="s">
        <v>28</v>
      </c>
      <c r="B309" s="111" t="s">
        <v>0</v>
      </c>
      <c r="C309" s="111" t="s">
        <v>1</v>
      </c>
      <c r="D309" s="111" t="s">
        <v>2</v>
      </c>
      <c r="E309" s="111" t="s">
        <v>3</v>
      </c>
      <c r="F309" s="111" t="s">
        <v>4</v>
      </c>
      <c r="G309" s="111" t="s">
        <v>5</v>
      </c>
      <c r="H309" s="111" t="s">
        <v>6</v>
      </c>
      <c r="I309" s="111" t="s">
        <v>7</v>
      </c>
      <c r="J309" s="111" t="s">
        <v>8</v>
      </c>
      <c r="K309" s="111" t="s">
        <v>9</v>
      </c>
      <c r="L309" s="111" t="s">
        <v>10</v>
      </c>
      <c r="M309" s="111" t="s">
        <v>11</v>
      </c>
      <c r="N309" s="112" t="s">
        <v>78</v>
      </c>
      <c r="O309" s="112" t="s">
        <v>77</v>
      </c>
      <c r="P309" s="139" t="s">
        <v>162</v>
      </c>
      <c r="Q309" s="140" t="s">
        <v>72</v>
      </c>
      <c r="R309" s="148"/>
      <c r="S309" s="165" t="s">
        <v>41</v>
      </c>
      <c r="T309" s="5" t="s">
        <v>0</v>
      </c>
      <c r="U309" s="5" t="s">
        <v>1</v>
      </c>
      <c r="V309" s="5" t="s">
        <v>2</v>
      </c>
      <c r="W309" s="5" t="s">
        <v>3</v>
      </c>
      <c r="X309" s="5" t="s">
        <v>4</v>
      </c>
      <c r="Y309" s="5" t="s">
        <v>5</v>
      </c>
      <c r="Z309" s="5" t="s">
        <v>6</v>
      </c>
      <c r="AA309" s="5" t="s">
        <v>7</v>
      </c>
      <c r="AB309" s="5" t="s">
        <v>8</v>
      </c>
      <c r="AC309" s="5" t="s">
        <v>9</v>
      </c>
      <c r="AD309" s="5" t="s">
        <v>10</v>
      </c>
      <c r="AE309" s="5" t="s">
        <v>11</v>
      </c>
      <c r="AF309" s="30" t="s">
        <v>164</v>
      </c>
      <c r="AG309" s="30" t="s">
        <v>167</v>
      </c>
      <c r="AJ309" s="165" t="s">
        <v>62</v>
      </c>
      <c r="AK309" s="5" t="s">
        <v>0</v>
      </c>
      <c r="AL309" s="5" t="s">
        <v>1</v>
      </c>
      <c r="AM309" s="5" t="s">
        <v>2</v>
      </c>
      <c r="AN309" s="5" t="s">
        <v>3</v>
      </c>
      <c r="AO309" s="5" t="s">
        <v>4</v>
      </c>
      <c r="AP309" s="5" t="s">
        <v>5</v>
      </c>
      <c r="AQ309" s="5" t="s">
        <v>6</v>
      </c>
      <c r="AR309" s="5" t="s">
        <v>7</v>
      </c>
      <c r="AS309" s="5" t="s">
        <v>8</v>
      </c>
      <c r="AT309" s="5" t="s">
        <v>9</v>
      </c>
      <c r="AU309" s="5" t="s">
        <v>10</v>
      </c>
      <c r="AV309" s="5" t="s">
        <v>11</v>
      </c>
      <c r="AW309" s="5" t="s">
        <v>49</v>
      </c>
    </row>
    <row r="310" spans="1:49" x14ac:dyDescent="0.25">
      <c r="A310" s="77">
        <v>2023</v>
      </c>
      <c r="B310" s="145">
        <v>0</v>
      </c>
      <c r="C310" s="145">
        <v>0</v>
      </c>
      <c r="D310" s="145">
        <v>0</v>
      </c>
      <c r="E310" s="145">
        <v>0</v>
      </c>
      <c r="F310" s="145">
        <v>0</v>
      </c>
      <c r="G310" s="145">
        <v>0</v>
      </c>
      <c r="H310" s="145">
        <v>0</v>
      </c>
      <c r="I310" s="145">
        <v>0</v>
      </c>
      <c r="J310" s="145">
        <v>0</v>
      </c>
      <c r="K310" s="145">
        <v>0</v>
      </c>
      <c r="L310" s="145">
        <v>0</v>
      </c>
      <c r="M310" s="145">
        <v>0</v>
      </c>
      <c r="N310" s="115">
        <v>0</v>
      </c>
      <c r="O310" s="192">
        <v>0</v>
      </c>
      <c r="P310" s="139"/>
      <c r="Q310" s="140"/>
      <c r="R310" s="148"/>
      <c r="S310" s="77">
        <v>2023</v>
      </c>
      <c r="T310" s="34">
        <v>0</v>
      </c>
      <c r="U310" s="34">
        <v>0</v>
      </c>
      <c r="V310" s="34">
        <v>0</v>
      </c>
      <c r="W310" s="34">
        <v>0</v>
      </c>
      <c r="X310" s="34">
        <v>0</v>
      </c>
      <c r="Y310" s="34">
        <v>0</v>
      </c>
      <c r="Z310" s="34">
        <v>0</v>
      </c>
      <c r="AA310" s="34">
        <v>0</v>
      </c>
      <c r="AB310" s="34">
        <v>0</v>
      </c>
      <c r="AC310" s="34">
        <v>0</v>
      </c>
      <c r="AD310" s="34">
        <v>0</v>
      </c>
      <c r="AE310" s="34">
        <v>0</v>
      </c>
      <c r="AF310" s="30"/>
      <c r="AG310" s="6">
        <f>SUM(T310:AE310)/12</f>
        <v>0</v>
      </c>
      <c r="AJ310" s="77">
        <v>2023</v>
      </c>
      <c r="AK310" s="171">
        <v>0</v>
      </c>
      <c r="AL310" s="171">
        <v>0</v>
      </c>
      <c r="AM310" s="171">
        <v>0</v>
      </c>
      <c r="AN310" s="171">
        <v>0</v>
      </c>
      <c r="AO310" s="171">
        <v>0</v>
      </c>
      <c r="AP310" s="171">
        <v>0</v>
      </c>
      <c r="AQ310" s="171">
        <v>0</v>
      </c>
      <c r="AR310" s="171">
        <v>0</v>
      </c>
      <c r="AS310" s="171">
        <v>0</v>
      </c>
      <c r="AT310" s="171">
        <v>0</v>
      </c>
      <c r="AU310" s="171">
        <v>0</v>
      </c>
      <c r="AV310" s="171">
        <v>0</v>
      </c>
      <c r="AW310" s="90">
        <f t="shared" ref="AW310:AW312" si="676">(SUM(AK310:AP310)+SUM(AQ310:AV310))/365.25</f>
        <v>0</v>
      </c>
    </row>
    <row r="311" spans="1:49" x14ac:dyDescent="0.25">
      <c r="A311" s="61">
        <v>2022</v>
      </c>
      <c r="B311" s="145">
        <v>0</v>
      </c>
      <c r="C311" s="145">
        <v>0</v>
      </c>
      <c r="D311" s="145">
        <v>0</v>
      </c>
      <c r="E311" s="145">
        <v>0</v>
      </c>
      <c r="F311" s="145">
        <v>0</v>
      </c>
      <c r="G311" s="145">
        <v>0</v>
      </c>
      <c r="H311" s="145">
        <v>0</v>
      </c>
      <c r="I311" s="145">
        <v>0</v>
      </c>
      <c r="J311" s="145">
        <v>0</v>
      </c>
      <c r="K311" s="145">
        <v>0</v>
      </c>
      <c r="L311" s="145">
        <v>0</v>
      </c>
      <c r="M311" s="145">
        <v>0</v>
      </c>
      <c r="N311" s="67">
        <f t="shared" ref="N311:N315" si="677">SUM(B311:G311)+SUM(H312:M312)</f>
        <v>0</v>
      </c>
      <c r="O311" s="192">
        <v>0</v>
      </c>
      <c r="P311" s="146">
        <v>0</v>
      </c>
      <c r="Q311" s="147">
        <f t="shared" ref="Q311" si="678">P311/5</f>
        <v>0</v>
      </c>
      <c r="R311" s="148"/>
      <c r="S311" s="61">
        <v>2022</v>
      </c>
      <c r="T311" s="34">
        <v>0</v>
      </c>
      <c r="U311" s="34">
        <v>0</v>
      </c>
      <c r="V311" s="34">
        <v>0</v>
      </c>
      <c r="W311" s="34">
        <v>0</v>
      </c>
      <c r="X311" s="34">
        <v>0</v>
      </c>
      <c r="Y311" s="34">
        <v>0</v>
      </c>
      <c r="Z311" s="34">
        <v>0</v>
      </c>
      <c r="AA311" s="34">
        <v>0</v>
      </c>
      <c r="AB311" s="34">
        <v>0</v>
      </c>
      <c r="AC311" s="34">
        <v>0</v>
      </c>
      <c r="AD311" s="34">
        <v>0</v>
      </c>
      <c r="AE311" s="34">
        <v>0</v>
      </c>
      <c r="AF311" s="30"/>
      <c r="AG311" s="6">
        <f t="shared" ref="AG311:AG318" si="679">SUM(T311:AE311)/12</f>
        <v>0</v>
      </c>
      <c r="AJ311" s="61">
        <v>2022</v>
      </c>
      <c r="AK311" s="171">
        <v>0</v>
      </c>
      <c r="AL311" s="171">
        <v>0</v>
      </c>
      <c r="AM311" s="171">
        <v>0</v>
      </c>
      <c r="AN311" s="171">
        <v>0</v>
      </c>
      <c r="AO311" s="171">
        <v>0</v>
      </c>
      <c r="AP311" s="171">
        <v>0</v>
      </c>
      <c r="AQ311" s="171">
        <v>0</v>
      </c>
      <c r="AR311" s="171">
        <v>0</v>
      </c>
      <c r="AS311" s="171">
        <v>0</v>
      </c>
      <c r="AT311" s="171">
        <v>0</v>
      </c>
      <c r="AU311" s="171">
        <v>0</v>
      </c>
      <c r="AV311" s="171">
        <v>0</v>
      </c>
      <c r="AW311" s="90">
        <f t="shared" si="676"/>
        <v>0</v>
      </c>
    </row>
    <row r="312" spans="1:49" x14ac:dyDescent="0.25">
      <c r="A312" s="258" t="s">
        <v>182</v>
      </c>
      <c r="B312" s="145">
        <v>0</v>
      </c>
      <c r="C312" s="145">
        <v>0</v>
      </c>
      <c r="D312" s="145">
        <v>0</v>
      </c>
      <c r="E312" s="145">
        <v>0</v>
      </c>
      <c r="F312" s="145">
        <v>0</v>
      </c>
      <c r="G312" s="145">
        <v>0</v>
      </c>
      <c r="H312" s="145">
        <v>0</v>
      </c>
      <c r="I312" s="145">
        <v>0</v>
      </c>
      <c r="J312" s="145">
        <v>0</v>
      </c>
      <c r="K312" s="145">
        <v>0</v>
      </c>
      <c r="L312" s="145">
        <v>0</v>
      </c>
      <c r="M312" s="145">
        <v>0</v>
      </c>
      <c r="N312" s="67">
        <v>0</v>
      </c>
      <c r="O312" s="115">
        <f t="shared" ref="O312:O313" si="680">SUM(B312:M312)</f>
        <v>0</v>
      </c>
      <c r="P312" s="146">
        <v>0</v>
      </c>
      <c r="Q312" s="147">
        <v>0</v>
      </c>
      <c r="R312" s="148"/>
      <c r="S312" s="61">
        <v>2021</v>
      </c>
      <c r="T312" s="34">
        <v>0</v>
      </c>
      <c r="U312" s="34">
        <v>0</v>
      </c>
      <c r="V312" s="34">
        <v>0</v>
      </c>
      <c r="W312" s="34">
        <v>0</v>
      </c>
      <c r="X312" s="34">
        <v>0</v>
      </c>
      <c r="Y312" s="34">
        <v>0</v>
      </c>
      <c r="Z312" s="34">
        <v>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88">
        <f t="shared" ref="AF312:AF315" si="681">(SUM(T312:Y312)+SUM(Z313:AE313))/12</f>
        <v>214.5</v>
      </c>
      <c r="AG312" s="6">
        <f t="shared" si="679"/>
        <v>0</v>
      </c>
      <c r="AJ312" s="61">
        <v>2021</v>
      </c>
      <c r="AK312" s="171">
        <v>0</v>
      </c>
      <c r="AL312" s="171">
        <v>0</v>
      </c>
      <c r="AM312" s="171">
        <v>0</v>
      </c>
      <c r="AN312" s="171">
        <v>0</v>
      </c>
      <c r="AO312" s="171">
        <v>0</v>
      </c>
      <c r="AP312" s="171">
        <v>0</v>
      </c>
      <c r="AQ312" s="171">
        <v>0</v>
      </c>
      <c r="AR312" s="171">
        <v>0</v>
      </c>
      <c r="AS312" s="171">
        <v>0</v>
      </c>
      <c r="AT312" s="171">
        <v>0</v>
      </c>
      <c r="AU312" s="171">
        <v>0</v>
      </c>
      <c r="AV312" s="171">
        <v>0</v>
      </c>
      <c r="AW312" s="90">
        <f t="shared" si="676"/>
        <v>0</v>
      </c>
    </row>
    <row r="313" spans="1:49" x14ac:dyDescent="0.25">
      <c r="A313" s="61">
        <v>2020</v>
      </c>
      <c r="B313" s="190">
        <v>889.9</v>
      </c>
      <c r="C313" s="190">
        <v>696.2</v>
      </c>
      <c r="D313" s="190">
        <v>693.8</v>
      </c>
      <c r="E313" s="190">
        <v>646.4</v>
      </c>
      <c r="F313" s="190">
        <v>953.5</v>
      </c>
      <c r="G313" s="190">
        <v>2121.1799999999998</v>
      </c>
      <c r="H313" s="190">
        <v>3603.6</v>
      </c>
      <c r="I313" s="190">
        <v>3645.4</v>
      </c>
      <c r="J313" s="190">
        <v>3100.8220000000001</v>
      </c>
      <c r="K313" s="190">
        <v>2710.5</v>
      </c>
      <c r="L313" s="190">
        <v>1746.325</v>
      </c>
      <c r="M313" s="190">
        <v>1071.5999999999999</v>
      </c>
      <c r="N313" s="67">
        <f t="shared" si="677"/>
        <v>18877.080000000002</v>
      </c>
      <c r="O313" s="115">
        <f t="shared" si="680"/>
        <v>21879.226999999999</v>
      </c>
      <c r="P313" s="146">
        <f>SUM(O313:O317)</f>
        <v>105457.62700000001</v>
      </c>
      <c r="Q313" s="147">
        <f>P313/5</f>
        <v>21091.525400000002</v>
      </c>
      <c r="R313" s="148"/>
      <c r="S313" s="61">
        <v>2020</v>
      </c>
      <c r="T313" s="190">
        <v>416</v>
      </c>
      <c r="U313" s="190">
        <v>414</v>
      </c>
      <c r="V313" s="190">
        <v>419</v>
      </c>
      <c r="W313" s="190">
        <v>419</v>
      </c>
      <c r="X313" s="190">
        <v>420</v>
      </c>
      <c r="Y313" s="190">
        <v>423</v>
      </c>
      <c r="Z313" s="190">
        <v>427</v>
      </c>
      <c r="AA313" s="190">
        <v>430</v>
      </c>
      <c r="AB313" s="190">
        <v>430</v>
      </c>
      <c r="AC313" s="190">
        <v>429</v>
      </c>
      <c r="AD313" s="190">
        <v>429</v>
      </c>
      <c r="AE313" s="190">
        <v>429</v>
      </c>
      <c r="AF313" s="88">
        <f t="shared" si="681"/>
        <v>421.66666666666669</v>
      </c>
      <c r="AG313" s="6">
        <f t="shared" si="679"/>
        <v>423.75</v>
      </c>
      <c r="AJ313" s="61">
        <v>2020</v>
      </c>
      <c r="AK313" s="9">
        <f t="shared" ref="AK313:AP318" si="682">B313/T313</f>
        <v>2.1391826923076924</v>
      </c>
      <c r="AL313" s="9">
        <f t="shared" si="682"/>
        <v>1.6816425120772949</v>
      </c>
      <c r="AM313" s="79">
        <f t="shared" si="682"/>
        <v>1.6558472553699284</v>
      </c>
      <c r="AN313" s="79">
        <f t="shared" si="682"/>
        <v>1.5427207637231504</v>
      </c>
      <c r="AO313" s="79">
        <f t="shared" si="682"/>
        <v>2.2702380952380952</v>
      </c>
      <c r="AP313" s="79">
        <f t="shared" si="682"/>
        <v>5.0146099290780137</v>
      </c>
      <c r="AQ313" s="79">
        <f t="shared" ref="AQ313" si="683">H313/Z313</f>
        <v>8.4393442622950818</v>
      </c>
      <c r="AR313" s="79">
        <f t="shared" ref="AR313" si="684">I313/AA313</f>
        <v>8.4776744186046518</v>
      </c>
      <c r="AS313" s="79">
        <f t="shared" ref="AS313" si="685">J313/AB313</f>
        <v>7.2112139534883726</v>
      </c>
      <c r="AT313" s="79">
        <f t="shared" ref="AT313" si="686">K313/AC313</f>
        <v>6.3181818181818183</v>
      </c>
      <c r="AU313" s="79">
        <f t="shared" ref="AU313" si="687">L313/AD313</f>
        <v>4.070687645687646</v>
      </c>
      <c r="AV313" s="79">
        <f t="shared" ref="AV313" si="688">M313/AE313</f>
        <v>2.4979020979020978</v>
      </c>
      <c r="AW313" s="90">
        <f>(SUM(AK313:AP313)+SUM(AQ313:AV313))/365.25</f>
        <v>0.14050443653375455</v>
      </c>
    </row>
    <row r="314" spans="1:49" x14ac:dyDescent="0.25">
      <c r="A314" s="61">
        <v>2019</v>
      </c>
      <c r="B314" s="125">
        <v>781.9</v>
      </c>
      <c r="C314" s="125">
        <v>570.5</v>
      </c>
      <c r="D314" s="125">
        <v>859.9</v>
      </c>
      <c r="E314" s="125">
        <v>1033.4000000000001</v>
      </c>
      <c r="F314" s="125">
        <v>2048.6999999999998</v>
      </c>
      <c r="G314" s="125">
        <v>2627.3</v>
      </c>
      <c r="H314" s="190">
        <v>3848.9</v>
      </c>
      <c r="I314" s="190">
        <v>2907.8</v>
      </c>
      <c r="J314" s="190">
        <v>2710</v>
      </c>
      <c r="K314" s="190">
        <v>1794.4</v>
      </c>
      <c r="L314" s="190">
        <v>747.1</v>
      </c>
      <c r="M314" s="190">
        <v>867.9</v>
      </c>
      <c r="N314" s="67">
        <f t="shared" si="677"/>
        <v>22409</v>
      </c>
      <c r="O314" s="115">
        <f>SUM(B314:M314)</f>
        <v>20797.800000000003</v>
      </c>
      <c r="P314" s="146">
        <f t="shared" ref="P314:P315" si="689">SUM(O314:O318)</f>
        <v>100222.40000000001</v>
      </c>
      <c r="Q314" s="147">
        <f t="shared" ref="Q314:Q315" si="690">P314/5</f>
        <v>20044.480000000003</v>
      </c>
      <c r="R314" s="108"/>
      <c r="S314" s="61">
        <v>2019</v>
      </c>
      <c r="T314" s="35">
        <v>412</v>
      </c>
      <c r="U314" s="35">
        <v>412</v>
      </c>
      <c r="V314" s="35">
        <v>413</v>
      </c>
      <c r="W314" s="35">
        <v>417</v>
      </c>
      <c r="X314" s="35">
        <v>424</v>
      </c>
      <c r="Y314" s="35">
        <v>426</v>
      </c>
      <c r="Z314" s="190">
        <v>427</v>
      </c>
      <c r="AA314" s="190">
        <v>429</v>
      </c>
      <c r="AB314" s="190">
        <v>427</v>
      </c>
      <c r="AC314" s="190">
        <v>428</v>
      </c>
      <c r="AD314" s="190">
        <v>422</v>
      </c>
      <c r="AE314" s="190">
        <v>416</v>
      </c>
      <c r="AF314" s="8">
        <f t="shared" si="681"/>
        <v>418.75</v>
      </c>
      <c r="AG314" s="6">
        <f t="shared" si="679"/>
        <v>421.08333333333331</v>
      </c>
      <c r="AJ314" s="61">
        <v>2019</v>
      </c>
      <c r="AK314" s="9">
        <f t="shared" si="682"/>
        <v>1.8978155339805824</v>
      </c>
      <c r="AL314" s="9">
        <f t="shared" si="682"/>
        <v>1.3847087378640777</v>
      </c>
      <c r="AM314" s="9">
        <f t="shared" si="682"/>
        <v>2.0820823244552056</v>
      </c>
      <c r="AN314" s="9">
        <f t="shared" si="682"/>
        <v>2.4781774580335734</v>
      </c>
      <c r="AO314" s="9">
        <f t="shared" si="682"/>
        <v>4.8318396226415086</v>
      </c>
      <c r="AP314" s="9">
        <f t="shared" si="682"/>
        <v>6.1673708920187797</v>
      </c>
      <c r="AQ314" s="11">
        <f t="shared" ref="AQ314:AV319" si="691">H314/Z314</f>
        <v>9.0138173302107738</v>
      </c>
      <c r="AR314" s="11">
        <f t="shared" si="691"/>
        <v>6.7780885780885782</v>
      </c>
      <c r="AS314" s="11">
        <f t="shared" si="691"/>
        <v>6.3466042154566749</v>
      </c>
      <c r="AT314" s="11">
        <f t="shared" si="691"/>
        <v>4.1925233644859814</v>
      </c>
      <c r="AU314" s="11">
        <f t="shared" si="691"/>
        <v>1.7703791469194314</v>
      </c>
      <c r="AV314" s="11">
        <f t="shared" si="691"/>
        <v>2.086298076923077</v>
      </c>
      <c r="AW314" s="90">
        <f t="shared" ref="AW314:AW319" si="692">(SUM(AK314:AP314)+SUM(AQ314:AV314))/365.25</f>
        <v>0.13423601719665501</v>
      </c>
    </row>
    <row r="315" spans="1:49" x14ac:dyDescent="0.25">
      <c r="A315" s="61">
        <v>2018</v>
      </c>
      <c r="B315" s="116">
        <v>713.1</v>
      </c>
      <c r="C315" s="116">
        <v>410.5</v>
      </c>
      <c r="D315" s="116">
        <v>579.70000000000005</v>
      </c>
      <c r="E315" s="116">
        <v>709.4</v>
      </c>
      <c r="F315" s="116">
        <v>34.9</v>
      </c>
      <c r="G315" s="116">
        <v>5830</v>
      </c>
      <c r="H315" s="116">
        <v>4519.5</v>
      </c>
      <c r="I315" s="116">
        <v>3998.8</v>
      </c>
      <c r="J315" s="116">
        <v>2646.7</v>
      </c>
      <c r="K315" s="116">
        <v>1633.4</v>
      </c>
      <c r="L315" s="116">
        <v>990.2</v>
      </c>
      <c r="M315" s="116">
        <v>698.7</v>
      </c>
      <c r="N315" s="67">
        <f t="shared" si="677"/>
        <v>23553.9</v>
      </c>
      <c r="O315" s="115">
        <f t="shared" ref="O315:O318" si="693">SUM(B315:M315)</f>
        <v>22764.900000000005</v>
      </c>
      <c r="P315" s="146">
        <f t="shared" si="689"/>
        <v>99942.6</v>
      </c>
      <c r="Q315" s="147">
        <f t="shared" si="690"/>
        <v>19988.52</v>
      </c>
      <c r="R315" s="148"/>
      <c r="S315" s="61">
        <v>2018</v>
      </c>
      <c r="T315" s="35">
        <v>402</v>
      </c>
      <c r="U315" s="35">
        <v>401</v>
      </c>
      <c r="V315" s="35">
        <v>404</v>
      </c>
      <c r="W315" s="35">
        <v>407</v>
      </c>
      <c r="X315" s="35">
        <v>418</v>
      </c>
      <c r="Y315" s="35">
        <v>422</v>
      </c>
      <c r="Z315" s="35">
        <v>427</v>
      </c>
      <c r="AA315" s="35">
        <v>424</v>
      </c>
      <c r="AB315" s="35">
        <v>423</v>
      </c>
      <c r="AC315" s="35">
        <v>418</v>
      </c>
      <c r="AD315" s="35">
        <v>416</v>
      </c>
      <c r="AE315" s="35">
        <v>413</v>
      </c>
      <c r="AF315" s="8">
        <f t="shared" si="681"/>
        <v>409</v>
      </c>
      <c r="AG315" s="6">
        <f t="shared" si="679"/>
        <v>414.58333333333331</v>
      </c>
      <c r="AJ315" s="61">
        <v>2018</v>
      </c>
      <c r="AK315" s="9">
        <f t="shared" si="682"/>
        <v>1.7738805970149254</v>
      </c>
      <c r="AL315" s="9">
        <f t="shared" si="682"/>
        <v>1.0236907730673317</v>
      </c>
      <c r="AM315" s="9">
        <f t="shared" si="682"/>
        <v>1.43490099009901</v>
      </c>
      <c r="AN315" s="9">
        <f t="shared" si="682"/>
        <v>1.7429975429975428</v>
      </c>
      <c r="AO315" s="9">
        <f t="shared" si="682"/>
        <v>8.3492822966507174E-2</v>
      </c>
      <c r="AP315" s="9">
        <f t="shared" si="682"/>
        <v>13.815165876777252</v>
      </c>
      <c r="AQ315" s="11">
        <f t="shared" si="691"/>
        <v>10.584309133489461</v>
      </c>
      <c r="AR315" s="11">
        <f t="shared" si="691"/>
        <v>9.4311320754716981</v>
      </c>
      <c r="AS315" s="11">
        <f t="shared" si="691"/>
        <v>6.256973995271867</v>
      </c>
      <c r="AT315" s="11">
        <f t="shared" si="691"/>
        <v>3.9076555023923447</v>
      </c>
      <c r="AU315" s="11">
        <f t="shared" si="691"/>
        <v>2.3802884615384619</v>
      </c>
      <c r="AV315" s="11">
        <f t="shared" si="691"/>
        <v>1.6917675544794191</v>
      </c>
      <c r="AW315" s="90">
        <f t="shared" si="692"/>
        <v>0.14818961074761344</v>
      </c>
    </row>
    <row r="316" spans="1:49" x14ac:dyDescent="0.25">
      <c r="A316" s="3">
        <v>2017</v>
      </c>
      <c r="B316" s="66">
        <v>548.6</v>
      </c>
      <c r="C316" s="66">
        <v>360.5</v>
      </c>
      <c r="D316" s="66">
        <v>633.9</v>
      </c>
      <c r="E316" s="66">
        <v>667.3</v>
      </c>
      <c r="F316" s="66">
        <v>1298.5999999999999</v>
      </c>
      <c r="G316" s="66">
        <v>3003.5</v>
      </c>
      <c r="H316" s="116">
        <v>3777.5</v>
      </c>
      <c r="I316" s="116">
        <v>3575.1</v>
      </c>
      <c r="J316" s="116">
        <v>3433.8</v>
      </c>
      <c r="K316" s="116">
        <v>2571.5</v>
      </c>
      <c r="L316" s="116">
        <v>1111.7</v>
      </c>
      <c r="M316" s="116">
        <v>806.7</v>
      </c>
      <c r="N316" s="67">
        <f>SUM(B316:G316)+SUM(H317:M317)</f>
        <v>19212.400000000001</v>
      </c>
      <c r="O316" s="115">
        <f t="shared" si="693"/>
        <v>21788.7</v>
      </c>
      <c r="P316" s="122"/>
      <c r="Q316" s="123"/>
      <c r="R316" s="151"/>
      <c r="S316" s="3">
        <v>2017</v>
      </c>
      <c r="T316" s="6">
        <v>394</v>
      </c>
      <c r="U316" s="6">
        <v>393</v>
      </c>
      <c r="V316" s="6">
        <v>399</v>
      </c>
      <c r="W316" s="6">
        <v>402</v>
      </c>
      <c r="X316" s="6">
        <v>407</v>
      </c>
      <c r="Y316" s="6">
        <v>412</v>
      </c>
      <c r="Z316" s="6">
        <v>411</v>
      </c>
      <c r="AA316" s="6">
        <v>414</v>
      </c>
      <c r="AB316" s="6">
        <v>412</v>
      </c>
      <c r="AC316" s="6">
        <v>408</v>
      </c>
      <c r="AD316" s="6">
        <v>404</v>
      </c>
      <c r="AE316" s="6">
        <v>405</v>
      </c>
      <c r="AF316" s="8">
        <f>(SUM(T316:Y316)+SUM(Z317:AE317))/12</f>
        <v>399.83333333333331</v>
      </c>
      <c r="AG316" s="6">
        <f t="shared" si="679"/>
        <v>405.08333333333331</v>
      </c>
      <c r="AJ316" s="3">
        <v>2017</v>
      </c>
      <c r="AK316" s="9">
        <f t="shared" si="682"/>
        <v>1.3923857868020306</v>
      </c>
      <c r="AL316" s="9">
        <f t="shared" si="682"/>
        <v>0.91730279898218825</v>
      </c>
      <c r="AM316" s="9">
        <f t="shared" si="682"/>
        <v>1.5887218045112781</v>
      </c>
      <c r="AN316" s="9">
        <f t="shared" si="682"/>
        <v>1.6599502487562188</v>
      </c>
      <c r="AO316" s="9">
        <f t="shared" si="682"/>
        <v>3.1906633906633903</v>
      </c>
      <c r="AP316" s="9">
        <f t="shared" si="682"/>
        <v>7.2900485436893208</v>
      </c>
      <c r="AQ316" s="11">
        <f t="shared" si="691"/>
        <v>9.1909975669099762</v>
      </c>
      <c r="AR316" s="11">
        <f t="shared" si="691"/>
        <v>8.635507246376811</v>
      </c>
      <c r="AS316" s="11">
        <f t="shared" si="691"/>
        <v>8.3344660194174764</v>
      </c>
      <c r="AT316" s="11">
        <f t="shared" si="691"/>
        <v>6.3026960784313726</v>
      </c>
      <c r="AU316" s="11">
        <f t="shared" si="691"/>
        <v>2.7517326732673268</v>
      </c>
      <c r="AV316" s="11">
        <f t="shared" si="691"/>
        <v>1.991851851851852</v>
      </c>
      <c r="AW316" s="90">
        <f t="shared" si="692"/>
        <v>0.14578049010173647</v>
      </c>
    </row>
    <row r="317" spans="1:49" x14ac:dyDescent="0.25">
      <c r="A317" s="3">
        <v>2016</v>
      </c>
      <c r="B317" s="124">
        <v>471</v>
      </c>
      <c r="C317" s="124">
        <v>444</v>
      </c>
      <c r="D317" s="124">
        <v>632</v>
      </c>
      <c r="E317" s="124">
        <v>666</v>
      </c>
      <c r="F317" s="124">
        <v>956</v>
      </c>
      <c r="G317" s="124">
        <v>2358</v>
      </c>
      <c r="H317" s="124">
        <v>2652</v>
      </c>
      <c r="I317" s="124">
        <v>66</v>
      </c>
      <c r="J317" s="124">
        <v>6105</v>
      </c>
      <c r="K317" s="124">
        <v>340</v>
      </c>
      <c r="L317" s="124">
        <v>2927</v>
      </c>
      <c r="M317" s="124">
        <v>610</v>
      </c>
      <c r="N317" s="67">
        <f t="shared" ref="N317:N318" si="694">SUM(B317:G317)+SUM(H318:M318)</f>
        <v>16641</v>
      </c>
      <c r="O317" s="115">
        <f t="shared" si="693"/>
        <v>18227</v>
      </c>
      <c r="P317" s="122"/>
      <c r="Q317" s="123"/>
      <c r="R317" s="151"/>
      <c r="S317" s="3">
        <v>2016</v>
      </c>
      <c r="T317" s="6">
        <v>358</v>
      </c>
      <c r="U317" s="6">
        <v>355</v>
      </c>
      <c r="V317" s="6">
        <v>356</v>
      </c>
      <c r="W317" s="6">
        <v>361</v>
      </c>
      <c r="X317" s="6">
        <v>358</v>
      </c>
      <c r="Y317" s="6">
        <v>358</v>
      </c>
      <c r="Z317" s="6">
        <v>359</v>
      </c>
      <c r="AA317" s="6">
        <v>410</v>
      </c>
      <c r="AB317" s="6">
        <v>409</v>
      </c>
      <c r="AC317" s="6">
        <v>407</v>
      </c>
      <c r="AD317" s="6">
        <v>403</v>
      </c>
      <c r="AE317" s="6">
        <v>403</v>
      </c>
      <c r="AF317" s="8">
        <f t="shared" ref="AF317:AF318" si="695">(SUM(T317:Y317)+SUM(Z318:AE318))/12</f>
        <v>358.66666666666669</v>
      </c>
      <c r="AG317" s="6">
        <f t="shared" si="679"/>
        <v>378.08333333333331</v>
      </c>
      <c r="AJ317" s="3">
        <v>2016</v>
      </c>
      <c r="AK317" s="9">
        <f t="shared" si="682"/>
        <v>1.3156424581005586</v>
      </c>
      <c r="AL317" s="9">
        <f t="shared" si="682"/>
        <v>1.2507042253521128</v>
      </c>
      <c r="AM317" s="9">
        <f t="shared" si="682"/>
        <v>1.7752808988764044</v>
      </c>
      <c r="AN317" s="9">
        <f t="shared" si="682"/>
        <v>1.8448753462603877</v>
      </c>
      <c r="AO317" s="9">
        <f t="shared" si="682"/>
        <v>2.6703910614525141</v>
      </c>
      <c r="AP317" s="9">
        <f t="shared" si="682"/>
        <v>6.5865921787709496</v>
      </c>
      <c r="AQ317" s="11">
        <f t="shared" si="691"/>
        <v>7.3871866295264628</v>
      </c>
      <c r="AR317" s="11">
        <f t="shared" si="691"/>
        <v>0.16097560975609757</v>
      </c>
      <c r="AS317" s="11">
        <f t="shared" si="691"/>
        <v>14.926650366748166</v>
      </c>
      <c r="AT317" s="11">
        <f t="shared" si="691"/>
        <v>0.83538083538083541</v>
      </c>
      <c r="AU317" s="11">
        <f t="shared" si="691"/>
        <v>7.2630272952853598</v>
      </c>
      <c r="AV317" s="11">
        <f t="shared" si="691"/>
        <v>1.5136476426799008</v>
      </c>
      <c r="AW317" s="90">
        <f t="shared" si="692"/>
        <v>0.13013101861242915</v>
      </c>
    </row>
    <row r="318" spans="1:49" x14ac:dyDescent="0.25">
      <c r="A318" s="3">
        <v>2015</v>
      </c>
      <c r="B318" s="124">
        <v>626</v>
      </c>
      <c r="C318" s="124">
        <v>464</v>
      </c>
      <c r="D318" s="124">
        <v>564</v>
      </c>
      <c r="E318" s="124">
        <v>1016</v>
      </c>
      <c r="F318" s="124">
        <v>1142</v>
      </c>
      <c r="G318" s="124">
        <v>1718</v>
      </c>
      <c r="H318" s="124">
        <v>2397</v>
      </c>
      <c r="I318" s="124">
        <v>1974</v>
      </c>
      <c r="J318" s="124">
        <v>1865</v>
      </c>
      <c r="K318" s="124">
        <v>3063</v>
      </c>
      <c r="L318" s="124">
        <v>840</v>
      </c>
      <c r="M318" s="124">
        <v>975</v>
      </c>
      <c r="N318" s="67">
        <f t="shared" si="694"/>
        <v>15789</v>
      </c>
      <c r="O318" s="115">
        <f t="shared" si="693"/>
        <v>16644</v>
      </c>
      <c r="P318" s="122"/>
      <c r="Q318" s="123"/>
      <c r="R318" s="151"/>
      <c r="S318" s="3">
        <v>2015</v>
      </c>
      <c r="T318" s="6">
        <v>348</v>
      </c>
      <c r="U318" s="6">
        <v>349</v>
      </c>
      <c r="V318" s="6">
        <v>347</v>
      </c>
      <c r="W318" s="6">
        <v>348</v>
      </c>
      <c r="X318" s="6">
        <v>353</v>
      </c>
      <c r="Y318" s="6">
        <v>358</v>
      </c>
      <c r="Z318" s="6">
        <v>356</v>
      </c>
      <c r="AA318" s="6">
        <v>358</v>
      </c>
      <c r="AB318" s="6">
        <v>361</v>
      </c>
      <c r="AC318" s="6">
        <v>361</v>
      </c>
      <c r="AD318" s="6">
        <v>360</v>
      </c>
      <c r="AE318" s="6">
        <v>362</v>
      </c>
      <c r="AF318" s="8">
        <f t="shared" si="695"/>
        <v>351.33333333333331</v>
      </c>
      <c r="AG318" s="6">
        <f t="shared" si="679"/>
        <v>355.08333333333331</v>
      </c>
      <c r="AJ318" s="3">
        <v>2015</v>
      </c>
      <c r="AK318" s="9">
        <f t="shared" si="682"/>
        <v>1.7988505747126438</v>
      </c>
      <c r="AL318" s="9">
        <f t="shared" si="682"/>
        <v>1.329512893982808</v>
      </c>
      <c r="AM318" s="9">
        <f t="shared" si="682"/>
        <v>1.6253602305475505</v>
      </c>
      <c r="AN318" s="9">
        <f t="shared" si="682"/>
        <v>2.9195402298850577</v>
      </c>
      <c r="AO318" s="9">
        <f t="shared" si="682"/>
        <v>3.2351274787535411</v>
      </c>
      <c r="AP318" s="9">
        <f t="shared" si="682"/>
        <v>4.7988826815642458</v>
      </c>
      <c r="AQ318" s="11">
        <f t="shared" si="691"/>
        <v>6.7331460674157304</v>
      </c>
      <c r="AR318" s="11">
        <f t="shared" si="691"/>
        <v>5.5139664804469275</v>
      </c>
      <c r="AS318" s="11">
        <f t="shared" si="691"/>
        <v>5.1662049861495847</v>
      </c>
      <c r="AT318" s="11">
        <f t="shared" si="691"/>
        <v>8.4847645429362881</v>
      </c>
      <c r="AU318" s="11">
        <f t="shared" si="691"/>
        <v>2.3333333333333335</v>
      </c>
      <c r="AV318" s="11">
        <f t="shared" si="691"/>
        <v>2.6933701657458564</v>
      </c>
      <c r="AW318" s="90">
        <f t="shared" si="692"/>
        <v>0.12767162126070791</v>
      </c>
    </row>
    <row r="319" spans="1:49" x14ac:dyDescent="0.25">
      <c r="A319" s="3">
        <v>2014</v>
      </c>
      <c r="B319" s="124"/>
      <c r="C319" s="124"/>
      <c r="D319" s="124"/>
      <c r="E319" s="124"/>
      <c r="F319" s="124"/>
      <c r="G319" s="124"/>
      <c r="H319" s="124">
        <v>2969</v>
      </c>
      <c r="I319" s="124">
        <v>2419</v>
      </c>
      <c r="J319" s="124">
        <v>1803</v>
      </c>
      <c r="K319" s="124">
        <v>1479</v>
      </c>
      <c r="L319" s="124">
        <v>804</v>
      </c>
      <c r="M319" s="124">
        <v>785</v>
      </c>
      <c r="N319" s="97">
        <f>SUM(N314:N318)/5</f>
        <v>19521.060000000001</v>
      </c>
      <c r="O319" s="328">
        <f>AVERAGE(H319:M319)*12</f>
        <v>20518</v>
      </c>
      <c r="P319" s="47"/>
      <c r="Q319" s="117"/>
      <c r="R319" s="151"/>
      <c r="S319" s="3">
        <v>2014</v>
      </c>
      <c r="T319" s="6"/>
      <c r="U319" s="6"/>
      <c r="V319" s="6"/>
      <c r="W319" s="6">
        <v>345</v>
      </c>
      <c r="X319" s="6">
        <v>350</v>
      </c>
      <c r="Y319" s="6">
        <v>348</v>
      </c>
      <c r="Z319" s="6">
        <v>351</v>
      </c>
      <c r="AA319" s="6">
        <v>357</v>
      </c>
      <c r="AB319" s="6">
        <v>356</v>
      </c>
      <c r="AC319" s="6">
        <v>349</v>
      </c>
      <c r="AD319" s="6">
        <v>351</v>
      </c>
      <c r="AE319" s="6">
        <v>349</v>
      </c>
      <c r="AF319" s="8">
        <f>(W319+X319+Y319)/3</f>
        <v>347.66666666666669</v>
      </c>
      <c r="AG319" s="43">
        <f>SUM(T319:AE319)/9</f>
        <v>350.66666666666669</v>
      </c>
      <c r="AJ319" s="3">
        <v>2014</v>
      </c>
      <c r="AK319" s="9"/>
      <c r="AQ319" s="11">
        <f t="shared" si="691"/>
        <v>8.4586894586894594</v>
      </c>
      <c r="AR319" s="11">
        <f t="shared" si="691"/>
        <v>6.7759103641456582</v>
      </c>
      <c r="AS319" s="11">
        <f t="shared" si="691"/>
        <v>5.0646067415730336</v>
      </c>
      <c r="AT319" s="11">
        <f t="shared" si="691"/>
        <v>4.2378223495702008</v>
      </c>
      <c r="AU319" s="11">
        <f t="shared" si="691"/>
        <v>2.2905982905982905</v>
      </c>
      <c r="AV319" s="11">
        <f t="shared" si="691"/>
        <v>2.2492836676217767</v>
      </c>
      <c r="AW319" s="90">
        <f t="shared" si="692"/>
        <v>7.9608243318818397E-2</v>
      </c>
    </row>
    <row r="320" spans="1:49" x14ac:dyDescent="0.25">
      <c r="A320" s="3">
        <v>2013</v>
      </c>
      <c r="S320" s="3">
        <v>2013</v>
      </c>
      <c r="AJ320" s="3">
        <v>2013</v>
      </c>
      <c r="AQ320" s="12"/>
      <c r="AW320" s="72"/>
    </row>
    <row r="321" spans="1:49" x14ac:dyDescent="0.25">
      <c r="A321" s="3">
        <v>2012</v>
      </c>
      <c r="D321" s="60"/>
      <c r="S321" s="3">
        <v>2012</v>
      </c>
      <c r="AJ321" s="3">
        <v>2012</v>
      </c>
      <c r="AW321" s="72"/>
    </row>
    <row r="322" spans="1:49" ht="15.75" thickBot="1" x14ac:dyDescent="0.3">
      <c r="N322" s="118"/>
      <c r="O322" s="118"/>
      <c r="AW322" s="72"/>
    </row>
    <row r="323" spans="1:49" ht="15.75" thickTop="1" x14ac:dyDescent="0.25">
      <c r="N323" s="115">
        <f>SUM(N310:N314)/5</f>
        <v>8257.2160000000003</v>
      </c>
      <c r="O323" s="115">
        <f>SUM(O310:O314)/5</f>
        <v>8535.4053999999996</v>
      </c>
      <c r="P323" s="50"/>
      <c r="Q323" s="120"/>
      <c r="R323" s="153"/>
      <c r="AV323" s="3" t="s">
        <v>47</v>
      </c>
      <c r="AW323" s="92">
        <f>SUM(AW313:AW317)/5</f>
        <v>0.13976831463843772</v>
      </c>
    </row>
    <row r="324" spans="1:49" x14ac:dyDescent="0.25">
      <c r="N324" s="115"/>
      <c r="O324" s="115"/>
      <c r="P324" s="50"/>
      <c r="Q324" s="120"/>
      <c r="R324" s="153"/>
      <c r="AV324" s="3"/>
      <c r="AW324" s="92"/>
    </row>
    <row r="325" spans="1:49" x14ac:dyDescent="0.25">
      <c r="N325" s="115"/>
      <c r="O325" s="115"/>
    </row>
    <row r="326" spans="1:49" x14ac:dyDescent="0.25">
      <c r="O326" s="111"/>
    </row>
    <row r="327" spans="1:49" ht="60" x14ac:dyDescent="0.25">
      <c r="A327" s="165" t="s">
        <v>30</v>
      </c>
      <c r="B327" s="111" t="s">
        <v>0</v>
      </c>
      <c r="C327" s="111" t="s">
        <v>1</v>
      </c>
      <c r="D327" s="111" t="s">
        <v>2</v>
      </c>
      <c r="E327" s="111" t="s">
        <v>3</v>
      </c>
      <c r="F327" s="111" t="s">
        <v>4</v>
      </c>
      <c r="G327" s="111" t="s">
        <v>5</v>
      </c>
      <c r="H327" s="111" t="s">
        <v>6</v>
      </c>
      <c r="I327" s="111" t="s">
        <v>7</v>
      </c>
      <c r="J327" s="111" t="s">
        <v>8</v>
      </c>
      <c r="K327" s="111" t="s">
        <v>9</v>
      </c>
      <c r="L327" s="111" t="s">
        <v>10</v>
      </c>
      <c r="M327" s="111" t="s">
        <v>11</v>
      </c>
      <c r="N327" s="112" t="s">
        <v>78</v>
      </c>
      <c r="O327" s="112" t="s">
        <v>77</v>
      </c>
      <c r="P327" s="139" t="s">
        <v>162</v>
      </c>
      <c r="Q327" s="140" t="s">
        <v>72</v>
      </c>
      <c r="R327" s="148"/>
      <c r="S327" s="165" t="s">
        <v>43</v>
      </c>
      <c r="T327" s="5" t="s">
        <v>0</v>
      </c>
      <c r="U327" s="5" t="s">
        <v>1</v>
      </c>
      <c r="V327" s="5" t="s">
        <v>2</v>
      </c>
      <c r="W327" s="5" t="s">
        <v>3</v>
      </c>
      <c r="X327" s="5" t="s">
        <v>4</v>
      </c>
      <c r="Y327" s="5" t="s">
        <v>5</v>
      </c>
      <c r="Z327" s="5" t="s">
        <v>6</v>
      </c>
      <c r="AA327" s="5" t="s">
        <v>7</v>
      </c>
      <c r="AB327" s="5" t="s">
        <v>8</v>
      </c>
      <c r="AC327" s="5" t="s">
        <v>9</v>
      </c>
      <c r="AD327" s="5" t="s">
        <v>10</v>
      </c>
      <c r="AE327" s="5" t="s">
        <v>11</v>
      </c>
      <c r="AF327" s="30" t="s">
        <v>164</v>
      </c>
      <c r="AG327" s="30" t="s">
        <v>167</v>
      </c>
      <c r="AJ327" s="165" t="s">
        <v>63</v>
      </c>
      <c r="AK327" s="5" t="s">
        <v>0</v>
      </c>
      <c r="AL327" s="5" t="s">
        <v>1</v>
      </c>
      <c r="AM327" s="5" t="s">
        <v>2</v>
      </c>
      <c r="AN327" s="5" t="s">
        <v>3</v>
      </c>
      <c r="AO327" s="5" t="s">
        <v>4</v>
      </c>
      <c r="AP327" s="5" t="s">
        <v>5</v>
      </c>
      <c r="AQ327" s="5" t="s">
        <v>6</v>
      </c>
      <c r="AR327" s="5" t="s">
        <v>7</v>
      </c>
      <c r="AS327" s="5" t="s">
        <v>8</v>
      </c>
      <c r="AT327" s="5" t="s">
        <v>9</v>
      </c>
      <c r="AU327" s="5" t="s">
        <v>10</v>
      </c>
      <c r="AV327" s="5" t="s">
        <v>11</v>
      </c>
      <c r="AW327" s="5" t="s">
        <v>49</v>
      </c>
    </row>
    <row r="328" spans="1:49" x14ac:dyDescent="0.25">
      <c r="A328" s="77">
        <v>2023</v>
      </c>
      <c r="B328" s="189">
        <v>108</v>
      </c>
      <c r="C328" s="189">
        <v>119.4</v>
      </c>
      <c r="D328" s="189">
        <v>93.6</v>
      </c>
      <c r="E328" s="189">
        <v>111.7</v>
      </c>
      <c r="F328" s="189">
        <v>227.4</v>
      </c>
      <c r="G328" s="189">
        <v>311.60000000000002</v>
      </c>
      <c r="H328" s="189">
        <v>477.1</v>
      </c>
      <c r="I328" s="189">
        <v>315.7</v>
      </c>
      <c r="J328" s="189">
        <v>237.8</v>
      </c>
      <c r="K328" s="189">
        <v>428.5</v>
      </c>
      <c r="L328" s="189">
        <v>169.1</v>
      </c>
      <c r="M328" s="189">
        <v>131.9</v>
      </c>
      <c r="N328" s="67">
        <f>SUM(B328:G328)+SUM(H329:M329)</f>
        <v>2554.7999999999997</v>
      </c>
      <c r="O328" s="115">
        <f t="shared" ref="O328:O331" si="696">SUM(B328:M328)</f>
        <v>2731.8</v>
      </c>
      <c r="P328" s="146">
        <f>SUM(O328:O332)</f>
        <v>10060.352000000001</v>
      </c>
      <c r="Q328" s="147">
        <f t="shared" ref="Q328:Q330" si="697">P328/5</f>
        <v>2012.0704000000001</v>
      </c>
      <c r="R328" s="148"/>
      <c r="S328" s="77">
        <v>2023</v>
      </c>
      <c r="T328" s="189">
        <v>25</v>
      </c>
      <c r="U328" s="189">
        <v>25</v>
      </c>
      <c r="V328" s="189">
        <v>25</v>
      </c>
      <c r="W328" s="189">
        <v>25</v>
      </c>
      <c r="X328" s="189">
        <v>26</v>
      </c>
      <c r="Y328" s="189">
        <v>27</v>
      </c>
      <c r="Z328" s="189">
        <v>27</v>
      </c>
      <c r="AA328" s="189">
        <v>27</v>
      </c>
      <c r="AB328" s="189">
        <v>27</v>
      </c>
      <c r="AC328" s="189">
        <v>26</v>
      </c>
      <c r="AD328" s="189">
        <v>29</v>
      </c>
      <c r="AE328" s="189">
        <v>29</v>
      </c>
      <c r="AF328" s="88">
        <f t="shared" ref="AF328:AF333" si="698">(SUM(T328:Y328)+SUM(Z329:AE329))/12</f>
        <v>25.25</v>
      </c>
      <c r="AG328" s="6">
        <f>SUM(T328:AE328)/12</f>
        <v>26.5</v>
      </c>
      <c r="AJ328" s="77">
        <v>2023</v>
      </c>
      <c r="AK328" s="9">
        <f t="shared" ref="AK328:AK335" si="699">B328/T328</f>
        <v>4.32</v>
      </c>
      <c r="AL328" s="9">
        <f t="shared" ref="AL328" si="700">C328/U328</f>
        <v>4.7759999999999998</v>
      </c>
      <c r="AM328" s="9">
        <f t="shared" ref="AM328" si="701">D328/V328</f>
        <v>3.7439999999999998</v>
      </c>
      <c r="AN328" s="9">
        <f t="shared" ref="AN328" si="702">E328/W328</f>
        <v>4.468</v>
      </c>
      <c r="AO328" s="9">
        <f t="shared" ref="AO328" si="703">F328/X328</f>
        <v>8.7461538461538471</v>
      </c>
      <c r="AP328" s="9">
        <f t="shared" ref="AP328" si="704">G328/Y328</f>
        <v>11.540740740740741</v>
      </c>
      <c r="AQ328" s="9">
        <f t="shared" ref="AQ328" si="705">H328/Z328</f>
        <v>17.670370370370371</v>
      </c>
      <c r="AR328" s="9">
        <f t="shared" ref="AR328" si="706">I328/AA328</f>
        <v>11.692592592592591</v>
      </c>
      <c r="AS328" s="9">
        <f t="shared" ref="AS328" si="707">J328/AB328</f>
        <v>8.8074074074074087</v>
      </c>
      <c r="AT328" s="9">
        <f t="shared" ref="AT328" si="708">K328/AC328</f>
        <v>16.48076923076923</v>
      </c>
      <c r="AU328" s="9">
        <f t="shared" ref="AU328" si="709">L328/AD328</f>
        <v>5.8310344827586205</v>
      </c>
      <c r="AV328" s="9">
        <f t="shared" ref="AV328" si="710">M328/AE328</f>
        <v>4.5482758620689658</v>
      </c>
      <c r="AW328" s="90">
        <f>(SUM(AK328:AP328)+SUM(AQ328:AV328))/365.25</f>
        <v>0.2809728803089987</v>
      </c>
    </row>
    <row r="329" spans="1:49" x14ac:dyDescent="0.25">
      <c r="A329" s="61">
        <v>2022</v>
      </c>
      <c r="B329" s="190">
        <v>129.80000000000001</v>
      </c>
      <c r="C329" s="190">
        <v>126.9</v>
      </c>
      <c r="D329" s="190">
        <v>134.9</v>
      </c>
      <c r="E329" s="190">
        <v>136.69999999999999</v>
      </c>
      <c r="F329" s="190">
        <v>155.5</v>
      </c>
      <c r="G329" s="190">
        <v>133.30000000000001</v>
      </c>
      <c r="H329" s="190">
        <v>278.2</v>
      </c>
      <c r="I329" s="190">
        <v>386.9</v>
      </c>
      <c r="J329" s="190">
        <v>177.6</v>
      </c>
      <c r="K329" s="190">
        <v>397.5</v>
      </c>
      <c r="L329" s="190">
        <v>199.8</v>
      </c>
      <c r="M329" s="190">
        <v>143.1</v>
      </c>
      <c r="N329" s="67">
        <f>SUM(B329:G329)+SUM(H330:M330)</f>
        <v>2071.1999999999998</v>
      </c>
      <c r="O329" s="115">
        <f t="shared" si="696"/>
        <v>2400.1999999999998</v>
      </c>
      <c r="P329" s="146">
        <f t="shared" ref="P329:P332" si="711">SUM(O329:O333)</f>
        <v>8843.4519999999993</v>
      </c>
      <c r="Q329" s="147">
        <f t="shared" si="697"/>
        <v>1768.6904</v>
      </c>
      <c r="R329" s="148"/>
      <c r="S329" s="61">
        <v>2022</v>
      </c>
      <c r="T329" s="190">
        <v>24</v>
      </c>
      <c r="U329" s="190">
        <v>25</v>
      </c>
      <c r="V329" s="190">
        <v>25</v>
      </c>
      <c r="W329" s="190">
        <v>25</v>
      </c>
      <c r="X329" s="190">
        <v>25</v>
      </c>
      <c r="Y329" s="190">
        <v>25</v>
      </c>
      <c r="Z329" s="34">
        <v>25</v>
      </c>
      <c r="AA329" s="34">
        <v>25</v>
      </c>
      <c r="AB329" s="34">
        <v>25</v>
      </c>
      <c r="AC329" s="34">
        <v>25</v>
      </c>
      <c r="AD329" s="34">
        <v>25</v>
      </c>
      <c r="AE329" s="34">
        <v>25</v>
      </c>
      <c r="AF329" s="88">
        <f t="shared" si="698"/>
        <v>24.416666666666668</v>
      </c>
      <c r="AG329" s="6">
        <f t="shared" ref="AG329:AG335" si="712">SUM(T329:AE329)/12</f>
        <v>24.916666666666668</v>
      </c>
      <c r="AJ329" s="61">
        <v>2022</v>
      </c>
      <c r="AK329" s="9">
        <f t="shared" si="699"/>
        <v>5.4083333333333341</v>
      </c>
      <c r="AL329" s="9">
        <f t="shared" ref="AL329" si="713">C329/U329</f>
        <v>5.0760000000000005</v>
      </c>
      <c r="AM329" s="9">
        <f t="shared" ref="AM329" si="714">D329/V329</f>
        <v>5.3959999999999999</v>
      </c>
      <c r="AN329" s="9">
        <f t="shared" ref="AN329" si="715">E329/W329</f>
        <v>5.468</v>
      </c>
      <c r="AO329" s="9">
        <f t="shared" ref="AO329" si="716">F329/X329</f>
        <v>6.22</v>
      </c>
      <c r="AP329" s="9">
        <f t="shared" ref="AP329" si="717">G329/Y329</f>
        <v>5.3320000000000007</v>
      </c>
      <c r="AQ329" s="9">
        <f t="shared" ref="AQ329" si="718">H329/Z329</f>
        <v>11.128</v>
      </c>
      <c r="AR329" s="9">
        <f t="shared" ref="AR329" si="719">I329/AA329</f>
        <v>15.475999999999999</v>
      </c>
      <c r="AS329" s="9">
        <f t="shared" ref="AS329" si="720">J329/AB329</f>
        <v>7.1040000000000001</v>
      </c>
      <c r="AT329" s="9">
        <f t="shared" ref="AT329" si="721">K329/AC329</f>
        <v>15.9</v>
      </c>
      <c r="AU329" s="9">
        <f t="shared" ref="AU329" si="722">L329/AD329</f>
        <v>7.9920000000000009</v>
      </c>
      <c r="AV329" s="9">
        <f t="shared" ref="AV329" si="723">M329/AE329</f>
        <v>5.7240000000000002</v>
      </c>
      <c r="AW329" s="90">
        <f t="shared" ref="AW329:AW336" si="724">(SUM(AK329:AP329)+SUM(AQ329:AV329))/365.25</f>
        <v>0.26344786675792836</v>
      </c>
    </row>
    <row r="330" spans="1:49" x14ac:dyDescent="0.25">
      <c r="A330" s="61">
        <v>2021</v>
      </c>
      <c r="B330" s="190">
        <v>99.9</v>
      </c>
      <c r="C330" s="190">
        <v>85.8</v>
      </c>
      <c r="D330" s="190">
        <v>80</v>
      </c>
      <c r="E330" s="190">
        <v>112.9</v>
      </c>
      <c r="F330" s="190">
        <v>82.4</v>
      </c>
      <c r="G330" s="190">
        <v>94</v>
      </c>
      <c r="H330" s="190">
        <v>241.5</v>
      </c>
      <c r="I330" s="190">
        <v>245.8</v>
      </c>
      <c r="J330" s="190">
        <v>301.3</v>
      </c>
      <c r="K330" s="190">
        <v>191.7</v>
      </c>
      <c r="L330" s="190">
        <v>125.6</v>
      </c>
      <c r="M330" s="190">
        <v>148.19999999999999</v>
      </c>
      <c r="N330" s="67">
        <f t="shared" ref="N330:N333" si="725">SUM(B330:G330)+SUM(H331:M331)</f>
        <v>1653.0919999999999</v>
      </c>
      <c r="O330" s="115">
        <f t="shared" si="696"/>
        <v>1809.1</v>
      </c>
      <c r="P330" s="146">
        <f t="shared" si="711"/>
        <v>7704.0920000000006</v>
      </c>
      <c r="Q330" s="147">
        <f t="shared" si="697"/>
        <v>1540.8184000000001</v>
      </c>
      <c r="R330" s="148"/>
      <c r="S330" s="61">
        <v>2021</v>
      </c>
      <c r="T330" s="190">
        <v>20</v>
      </c>
      <c r="U330" s="190">
        <v>21</v>
      </c>
      <c r="V330" s="190">
        <v>22</v>
      </c>
      <c r="W330" s="190">
        <v>24</v>
      </c>
      <c r="X330" s="190">
        <v>24</v>
      </c>
      <c r="Y330" s="190">
        <v>24</v>
      </c>
      <c r="Z330" s="190">
        <v>24</v>
      </c>
      <c r="AA330" s="190">
        <v>24</v>
      </c>
      <c r="AB330" s="190">
        <v>24</v>
      </c>
      <c r="AC330" s="190">
        <v>24</v>
      </c>
      <c r="AD330" s="190">
        <v>24</v>
      </c>
      <c r="AE330" s="190">
        <v>24</v>
      </c>
      <c r="AF330" s="88">
        <f t="shared" si="698"/>
        <v>21.25</v>
      </c>
      <c r="AG330" s="6">
        <f t="shared" si="712"/>
        <v>23.25</v>
      </c>
      <c r="AJ330" s="61">
        <v>2021</v>
      </c>
      <c r="AK330" s="9">
        <f t="shared" si="699"/>
        <v>4.9950000000000001</v>
      </c>
      <c r="AL330" s="9">
        <f t="shared" ref="AL330" si="726">C330/U330</f>
        <v>4.0857142857142854</v>
      </c>
      <c r="AM330" s="9">
        <f t="shared" ref="AM330" si="727">D330/V330</f>
        <v>3.6363636363636362</v>
      </c>
      <c r="AN330" s="9">
        <f t="shared" ref="AN330" si="728">E330/W330</f>
        <v>4.7041666666666666</v>
      </c>
      <c r="AO330" s="9">
        <f t="shared" ref="AO330" si="729">F330/X330</f>
        <v>3.4333333333333336</v>
      </c>
      <c r="AP330" s="9">
        <f t="shared" ref="AP330" si="730">G330/Y330</f>
        <v>3.9166666666666665</v>
      </c>
      <c r="AQ330" s="9">
        <f t="shared" ref="AQ330:AQ331" si="731">H330/Z330</f>
        <v>10.0625</v>
      </c>
      <c r="AR330" s="9">
        <f t="shared" ref="AR330:AR331" si="732">I330/AA330</f>
        <v>10.241666666666667</v>
      </c>
      <c r="AS330" s="9">
        <f t="shared" ref="AS330:AS331" si="733">J330/AB330</f>
        <v>12.554166666666667</v>
      </c>
      <c r="AT330" s="9">
        <f t="shared" ref="AT330:AT331" si="734">K330/AC330</f>
        <v>7.9874999999999998</v>
      </c>
      <c r="AU330" s="9">
        <f t="shared" ref="AU330:AU331" si="735">L330/AD330</f>
        <v>5.2333333333333334</v>
      </c>
      <c r="AV330" s="9">
        <f t="shared" ref="AV330:AV331" si="736">M330/AE330</f>
        <v>6.1749999999999998</v>
      </c>
      <c r="AW330" s="90">
        <f t="shared" si="724"/>
        <v>0.21088408283480153</v>
      </c>
    </row>
    <row r="331" spans="1:49" ht="15.75" customHeight="1" x14ac:dyDescent="0.25">
      <c r="A331" s="61">
        <v>2020</v>
      </c>
      <c r="B331" s="190">
        <v>93.215999999999994</v>
      </c>
      <c r="C331" s="190">
        <v>103.44</v>
      </c>
      <c r="D331" s="190">
        <v>84.488</v>
      </c>
      <c r="E331" s="190">
        <v>111.136</v>
      </c>
      <c r="F331" s="190">
        <v>97.908000000000001</v>
      </c>
      <c r="G331" s="190">
        <v>115.572</v>
      </c>
      <c r="H331" s="190">
        <v>275.892</v>
      </c>
      <c r="I331" s="190">
        <v>185.7</v>
      </c>
      <c r="J331" s="190">
        <v>227.2</v>
      </c>
      <c r="K331" s="190">
        <v>182.9</v>
      </c>
      <c r="L331" s="190">
        <v>136</v>
      </c>
      <c r="M331" s="190">
        <v>90.4</v>
      </c>
      <c r="N331" s="67">
        <f t="shared" si="725"/>
        <v>1425.86</v>
      </c>
      <c r="O331" s="115">
        <f t="shared" si="696"/>
        <v>1703.8520000000003</v>
      </c>
      <c r="P331" s="146">
        <f t="shared" si="711"/>
        <v>7064.0520000000006</v>
      </c>
      <c r="Q331" s="147">
        <f>P331/5</f>
        <v>1412.8104000000001</v>
      </c>
      <c r="R331" s="148"/>
      <c r="S331" s="61">
        <v>2020</v>
      </c>
      <c r="T331" s="190">
        <v>19</v>
      </c>
      <c r="U331" s="190">
        <v>19</v>
      </c>
      <c r="V331" s="190">
        <v>19</v>
      </c>
      <c r="W331" s="190">
        <v>19</v>
      </c>
      <c r="X331" s="190">
        <v>19</v>
      </c>
      <c r="Y331" s="190">
        <v>19</v>
      </c>
      <c r="Z331" s="190">
        <v>20</v>
      </c>
      <c r="AA331" s="190">
        <v>20</v>
      </c>
      <c r="AB331" s="190">
        <v>20</v>
      </c>
      <c r="AC331" s="190">
        <v>20</v>
      </c>
      <c r="AD331" s="190">
        <v>20</v>
      </c>
      <c r="AE331" s="190">
        <v>20</v>
      </c>
      <c r="AF331" s="88">
        <f t="shared" si="698"/>
        <v>18.833333333333332</v>
      </c>
      <c r="AG331" s="6">
        <f t="shared" si="712"/>
        <v>19.5</v>
      </c>
      <c r="AJ331" s="61">
        <v>2020</v>
      </c>
      <c r="AK331" s="9">
        <f t="shared" si="699"/>
        <v>4.9061052631578947</v>
      </c>
      <c r="AL331" s="9">
        <f t="shared" ref="AL331:AP335" si="737">C331/U331</f>
        <v>5.4442105263157892</v>
      </c>
      <c r="AM331" s="79">
        <f t="shared" si="737"/>
        <v>4.4467368421052633</v>
      </c>
      <c r="AN331" s="79">
        <f t="shared" si="737"/>
        <v>5.8492631578947369</v>
      </c>
      <c r="AO331" s="79">
        <f t="shared" si="737"/>
        <v>5.1530526315789471</v>
      </c>
      <c r="AP331" s="79">
        <f t="shared" si="737"/>
        <v>6.0827368421052634</v>
      </c>
      <c r="AQ331" s="79">
        <f t="shared" si="731"/>
        <v>13.794599999999999</v>
      </c>
      <c r="AR331" s="79">
        <f t="shared" si="732"/>
        <v>9.2850000000000001</v>
      </c>
      <c r="AS331" s="79">
        <f t="shared" si="733"/>
        <v>11.36</v>
      </c>
      <c r="AT331" s="79">
        <f t="shared" si="734"/>
        <v>9.1449999999999996</v>
      </c>
      <c r="AU331" s="79">
        <f t="shared" si="735"/>
        <v>6.8</v>
      </c>
      <c r="AV331" s="79">
        <f t="shared" si="736"/>
        <v>4.5200000000000005</v>
      </c>
      <c r="AW331" s="90">
        <f t="shared" si="724"/>
        <v>0.23760904931733851</v>
      </c>
    </row>
    <row r="332" spans="1:49" x14ac:dyDescent="0.25">
      <c r="A332" s="61">
        <v>2019</v>
      </c>
      <c r="B332" s="125">
        <v>95.1</v>
      </c>
      <c r="C332" s="125">
        <v>101.9</v>
      </c>
      <c r="D332" s="125">
        <v>86.4</v>
      </c>
      <c r="E332" s="125">
        <v>91.8</v>
      </c>
      <c r="F332" s="125">
        <v>111.2</v>
      </c>
      <c r="G332" s="125">
        <v>108.9</v>
      </c>
      <c r="H332" s="190">
        <v>136.80000000000001</v>
      </c>
      <c r="I332" s="190">
        <v>205.6</v>
      </c>
      <c r="J332" s="190">
        <v>149.19999999999999</v>
      </c>
      <c r="K332" s="190">
        <v>162.6</v>
      </c>
      <c r="L332" s="190">
        <v>87.6</v>
      </c>
      <c r="M332" s="190">
        <v>78.3</v>
      </c>
      <c r="N332" s="67">
        <f t="shared" si="725"/>
        <v>1500.5</v>
      </c>
      <c r="O332" s="115">
        <f>SUM(B332:M332)</f>
        <v>1415.3999999999996</v>
      </c>
      <c r="P332" s="146">
        <f t="shared" si="711"/>
        <v>6967.1279999999997</v>
      </c>
      <c r="Q332" s="147">
        <f>P332/5</f>
        <v>1393.4256</v>
      </c>
      <c r="R332" s="108"/>
      <c r="S332" s="61">
        <v>2019</v>
      </c>
      <c r="T332" s="35">
        <v>18</v>
      </c>
      <c r="U332" s="35">
        <v>18</v>
      </c>
      <c r="V332" s="35">
        <v>18</v>
      </c>
      <c r="W332" s="35">
        <v>18</v>
      </c>
      <c r="X332" s="35">
        <v>18</v>
      </c>
      <c r="Y332" s="35">
        <v>18</v>
      </c>
      <c r="Z332" s="190">
        <v>18</v>
      </c>
      <c r="AA332" s="190">
        <v>18</v>
      </c>
      <c r="AB332" s="190">
        <v>19</v>
      </c>
      <c r="AC332" s="190">
        <v>19</v>
      </c>
      <c r="AD332" s="190">
        <v>19</v>
      </c>
      <c r="AE332" s="190">
        <v>19</v>
      </c>
      <c r="AF332" s="8">
        <f t="shared" si="698"/>
        <v>18</v>
      </c>
      <c r="AG332" s="6">
        <f t="shared" si="712"/>
        <v>18.333333333333332</v>
      </c>
      <c r="AJ332" s="61">
        <v>2019</v>
      </c>
      <c r="AK332" s="9">
        <f t="shared" si="699"/>
        <v>5.2833333333333332</v>
      </c>
      <c r="AL332" s="9">
        <f t="shared" si="737"/>
        <v>5.6611111111111114</v>
      </c>
      <c r="AM332" s="9">
        <f t="shared" si="737"/>
        <v>4.8000000000000007</v>
      </c>
      <c r="AN332" s="9">
        <f t="shared" si="737"/>
        <v>5.0999999999999996</v>
      </c>
      <c r="AO332" s="9">
        <f t="shared" si="737"/>
        <v>6.177777777777778</v>
      </c>
      <c r="AP332" s="9">
        <f t="shared" si="737"/>
        <v>6.0500000000000007</v>
      </c>
      <c r="AQ332" s="11">
        <f t="shared" ref="AQ332:AV336" si="738">H332/Z332</f>
        <v>7.6000000000000005</v>
      </c>
      <c r="AR332" s="11">
        <f t="shared" si="738"/>
        <v>11.422222222222222</v>
      </c>
      <c r="AS332" s="11">
        <f t="shared" si="738"/>
        <v>7.852631578947368</v>
      </c>
      <c r="AT332" s="11">
        <f t="shared" si="738"/>
        <v>8.5578947368421048</v>
      </c>
      <c r="AU332" s="11">
        <f t="shared" si="738"/>
        <v>4.6105263157894738</v>
      </c>
      <c r="AV332" s="11">
        <f t="shared" si="738"/>
        <v>4.1210526315789471</v>
      </c>
      <c r="AW332" s="90">
        <f t="shared" si="724"/>
        <v>0.21146214841232672</v>
      </c>
    </row>
    <row r="333" spans="1:49" x14ac:dyDescent="0.25">
      <c r="A333" s="61">
        <v>2018</v>
      </c>
      <c r="B333" s="116">
        <v>107.1</v>
      </c>
      <c r="C333" s="116">
        <v>76.5</v>
      </c>
      <c r="D333" s="116">
        <v>80.400000000000006</v>
      </c>
      <c r="E333" s="116">
        <v>82.2</v>
      </c>
      <c r="F333" s="116">
        <v>120.3</v>
      </c>
      <c r="G333" s="116">
        <v>143.19999999999999</v>
      </c>
      <c r="H333" s="116">
        <v>229.2</v>
      </c>
      <c r="I333" s="116">
        <v>201.5</v>
      </c>
      <c r="J333" s="116">
        <v>136.1</v>
      </c>
      <c r="K333" s="116">
        <v>145.9</v>
      </c>
      <c r="L333" s="116">
        <v>104.9</v>
      </c>
      <c r="M333" s="116">
        <v>87.6</v>
      </c>
      <c r="N333" s="67">
        <f t="shared" si="725"/>
        <v>1338.7560000000001</v>
      </c>
      <c r="O333" s="115">
        <f t="shared" ref="O333:O335" si="739">SUM(B333:M333)</f>
        <v>1514.9</v>
      </c>
      <c r="P333" s="122"/>
      <c r="Q333" s="123"/>
      <c r="R333" s="148"/>
      <c r="S333" s="61">
        <v>2018</v>
      </c>
      <c r="T333" s="35">
        <v>18</v>
      </c>
      <c r="U333" s="35">
        <v>18</v>
      </c>
      <c r="V333" s="35">
        <v>18</v>
      </c>
      <c r="W333" s="35">
        <v>18</v>
      </c>
      <c r="X333" s="35">
        <v>18</v>
      </c>
      <c r="Y333" s="35">
        <v>18</v>
      </c>
      <c r="Z333" s="35">
        <v>18</v>
      </c>
      <c r="AA333" s="35">
        <v>18</v>
      </c>
      <c r="AB333" s="35">
        <v>18</v>
      </c>
      <c r="AC333" s="35">
        <v>18</v>
      </c>
      <c r="AD333" s="35">
        <v>18</v>
      </c>
      <c r="AE333" s="35">
        <v>18</v>
      </c>
      <c r="AF333" s="8">
        <f t="shared" si="698"/>
        <v>18</v>
      </c>
      <c r="AG333" s="6">
        <f t="shared" si="712"/>
        <v>18</v>
      </c>
      <c r="AJ333" s="61">
        <v>2018</v>
      </c>
      <c r="AK333" s="9">
        <f t="shared" si="699"/>
        <v>5.9499999999999993</v>
      </c>
      <c r="AL333" s="9">
        <f t="shared" si="737"/>
        <v>4.25</v>
      </c>
      <c r="AM333" s="9">
        <f t="shared" si="737"/>
        <v>4.4666666666666668</v>
      </c>
      <c r="AN333" s="9">
        <f t="shared" si="737"/>
        <v>4.5666666666666664</v>
      </c>
      <c r="AO333" s="9">
        <f t="shared" si="737"/>
        <v>6.6833333333333336</v>
      </c>
      <c r="AP333" s="9">
        <f t="shared" si="737"/>
        <v>7.9555555555555548</v>
      </c>
      <c r="AQ333" s="11">
        <f t="shared" si="738"/>
        <v>12.733333333333333</v>
      </c>
      <c r="AR333" s="11">
        <f t="shared" si="738"/>
        <v>11.194444444444445</v>
      </c>
      <c r="AS333" s="11">
        <f t="shared" si="738"/>
        <v>7.5611111111111109</v>
      </c>
      <c r="AT333" s="11">
        <f t="shared" si="738"/>
        <v>8.1055555555555561</v>
      </c>
      <c r="AU333" s="11">
        <f t="shared" si="738"/>
        <v>5.8277777777777784</v>
      </c>
      <c r="AV333" s="11">
        <f t="shared" si="738"/>
        <v>4.8666666666666663</v>
      </c>
      <c r="AW333" s="90">
        <f t="shared" si="724"/>
        <v>0.23042056430146776</v>
      </c>
    </row>
    <row r="334" spans="1:49" x14ac:dyDescent="0.25">
      <c r="A334" s="3">
        <v>2017</v>
      </c>
      <c r="B334" s="66">
        <v>87.516000000000005</v>
      </c>
      <c r="C334" s="66">
        <v>69.563999999999993</v>
      </c>
      <c r="D334" s="66">
        <v>82.88</v>
      </c>
      <c r="E334" s="66">
        <v>77.992000000000004</v>
      </c>
      <c r="F334" s="66">
        <v>90.707999999999998</v>
      </c>
      <c r="G334" s="66">
        <v>123.124</v>
      </c>
      <c r="H334" s="116">
        <v>129.404</v>
      </c>
      <c r="I334" s="116">
        <v>157.47999999999999</v>
      </c>
      <c r="J334" s="116">
        <v>123.42</v>
      </c>
      <c r="K334" s="116">
        <v>150.352</v>
      </c>
      <c r="L334" s="116">
        <v>87.516000000000005</v>
      </c>
      <c r="M334" s="116">
        <v>80.884</v>
      </c>
      <c r="N334" s="67">
        <f>SUM(B334:G334)+SUM(H335:M335)</f>
        <v>1186.9680000000001</v>
      </c>
      <c r="O334" s="115">
        <f t="shared" si="739"/>
        <v>1260.8400000000001</v>
      </c>
      <c r="P334" s="122"/>
      <c r="Q334" s="123"/>
      <c r="R334" s="151"/>
      <c r="S334" s="3">
        <v>2017</v>
      </c>
      <c r="T334" s="6">
        <v>18</v>
      </c>
      <c r="U334" s="6">
        <v>18</v>
      </c>
      <c r="V334" s="6">
        <v>18</v>
      </c>
      <c r="W334" s="6">
        <v>18</v>
      </c>
      <c r="X334" s="6">
        <v>18</v>
      </c>
      <c r="Y334" s="6">
        <v>18</v>
      </c>
      <c r="Z334" s="6">
        <v>18</v>
      </c>
      <c r="AA334" s="6">
        <v>18</v>
      </c>
      <c r="AB334" s="6">
        <v>18</v>
      </c>
      <c r="AC334" s="6">
        <v>18</v>
      </c>
      <c r="AD334" s="6">
        <v>18</v>
      </c>
      <c r="AE334" s="6">
        <v>18</v>
      </c>
      <c r="AF334" s="8">
        <f>(SUM(T334:Y334)+SUM(Z335:AE335))/12</f>
        <v>17.75</v>
      </c>
      <c r="AG334" s="6">
        <f t="shared" si="712"/>
        <v>18</v>
      </c>
      <c r="AJ334" s="3">
        <v>2017</v>
      </c>
      <c r="AK334" s="9">
        <f t="shared" si="699"/>
        <v>4.8620000000000001</v>
      </c>
      <c r="AL334" s="9">
        <f t="shared" si="737"/>
        <v>3.8646666666666665</v>
      </c>
      <c r="AM334" s="9">
        <f t="shared" si="737"/>
        <v>4.6044444444444439</v>
      </c>
      <c r="AN334" s="9">
        <f t="shared" si="737"/>
        <v>4.3328888888888892</v>
      </c>
      <c r="AO334" s="9">
        <f t="shared" si="737"/>
        <v>5.0393333333333334</v>
      </c>
      <c r="AP334" s="9">
        <f t="shared" si="737"/>
        <v>6.8402222222222218</v>
      </c>
      <c r="AQ334" s="11">
        <f t="shared" si="738"/>
        <v>7.189111111111111</v>
      </c>
      <c r="AR334" s="11">
        <f t="shared" si="738"/>
        <v>8.7488888888888887</v>
      </c>
      <c r="AS334" s="11">
        <f t="shared" si="738"/>
        <v>6.8566666666666665</v>
      </c>
      <c r="AT334" s="11">
        <f t="shared" si="738"/>
        <v>8.3528888888888897</v>
      </c>
      <c r="AU334" s="11">
        <f t="shared" si="738"/>
        <v>4.8620000000000001</v>
      </c>
      <c r="AV334" s="11">
        <f t="shared" si="738"/>
        <v>4.493555555555556</v>
      </c>
      <c r="AW334" s="90">
        <f t="shared" si="724"/>
        <v>0.19177732146931326</v>
      </c>
    </row>
    <row r="335" spans="1:49" x14ac:dyDescent="0.25">
      <c r="A335" s="3">
        <v>2016</v>
      </c>
      <c r="B335" s="66">
        <v>104.72</v>
      </c>
      <c r="C335" s="66">
        <v>84.524000000000001</v>
      </c>
      <c r="D335" s="66">
        <v>74.052000000000007</v>
      </c>
      <c r="E335" s="66">
        <v>82.28</v>
      </c>
      <c r="F335" s="66">
        <v>88.263999999999996</v>
      </c>
      <c r="G335" s="66">
        <v>80.036000000000001</v>
      </c>
      <c r="H335" s="66">
        <v>187.56800000000001</v>
      </c>
      <c r="I335" s="66">
        <v>81.531999999999996</v>
      </c>
      <c r="J335" s="66">
        <v>74.052000000000007</v>
      </c>
      <c r="K335" s="66">
        <v>113.46</v>
      </c>
      <c r="L335" s="66">
        <v>126.01600000000001</v>
      </c>
      <c r="M335" s="66">
        <v>72.555999999999997</v>
      </c>
      <c r="N335" s="97">
        <f>SUM(B335:G335)+SUM(H336:M336)</f>
        <v>1317.34</v>
      </c>
      <c r="O335" s="97">
        <f t="shared" si="739"/>
        <v>1169.0600000000002</v>
      </c>
      <c r="P335" s="122"/>
      <c r="Q335" s="123"/>
      <c r="R335" s="156"/>
      <c r="S335" s="3">
        <v>2016</v>
      </c>
      <c r="T335" s="6">
        <v>15</v>
      </c>
      <c r="U335" s="6">
        <v>15</v>
      </c>
      <c r="V335" s="6">
        <v>16</v>
      </c>
      <c r="W335" s="6">
        <v>16</v>
      </c>
      <c r="X335" s="6">
        <v>16</v>
      </c>
      <c r="Y335" s="6">
        <v>17</v>
      </c>
      <c r="Z335" s="6">
        <v>17</v>
      </c>
      <c r="AA335" s="6">
        <v>17</v>
      </c>
      <c r="AB335" s="6">
        <v>17</v>
      </c>
      <c r="AC335" s="6">
        <v>18</v>
      </c>
      <c r="AD335" s="6">
        <v>18</v>
      </c>
      <c r="AE335" s="6">
        <v>18</v>
      </c>
      <c r="AF335" s="88">
        <f>(SUM(T335:Y335)+SUM(Z336:AE336))/12</f>
        <v>15.916666666666666</v>
      </c>
      <c r="AG335" s="6">
        <f t="shared" si="712"/>
        <v>16.666666666666668</v>
      </c>
      <c r="AJ335" s="3">
        <v>2016</v>
      </c>
      <c r="AK335" s="9">
        <f t="shared" si="699"/>
        <v>6.9813333333333336</v>
      </c>
      <c r="AL335" s="9">
        <f t="shared" si="737"/>
        <v>5.6349333333333336</v>
      </c>
      <c r="AM335" s="9">
        <f t="shared" si="737"/>
        <v>4.6282500000000004</v>
      </c>
      <c r="AN335" s="9">
        <f t="shared" si="737"/>
        <v>5.1425000000000001</v>
      </c>
      <c r="AO335" s="9">
        <f t="shared" si="737"/>
        <v>5.5164999999999997</v>
      </c>
      <c r="AP335" s="9">
        <f t="shared" si="737"/>
        <v>4.7080000000000002</v>
      </c>
      <c r="AQ335" s="11">
        <f t="shared" si="738"/>
        <v>11.033411764705884</v>
      </c>
      <c r="AR335" s="11">
        <f t="shared" si="738"/>
        <v>4.7959999999999994</v>
      </c>
      <c r="AS335" s="11">
        <f t="shared" si="738"/>
        <v>4.3560000000000008</v>
      </c>
      <c r="AT335" s="11">
        <f t="shared" si="738"/>
        <v>6.3033333333333328</v>
      </c>
      <c r="AU335" s="11">
        <f t="shared" si="738"/>
        <v>7.0008888888888894</v>
      </c>
      <c r="AV335" s="11">
        <f t="shared" si="738"/>
        <v>4.0308888888888887</v>
      </c>
      <c r="AW335" s="90">
        <f t="shared" si="724"/>
        <v>0.19201105966456852</v>
      </c>
    </row>
    <row r="336" spans="1:49" x14ac:dyDescent="0.25">
      <c r="A336" s="3">
        <v>2015</v>
      </c>
      <c r="B336" s="66"/>
      <c r="C336" s="66"/>
      <c r="D336" s="66"/>
      <c r="E336" s="66"/>
      <c r="F336" s="66"/>
      <c r="G336" s="66"/>
      <c r="H336" s="124">
        <v>188</v>
      </c>
      <c r="I336" s="124">
        <v>82</v>
      </c>
      <c r="J336" s="124">
        <v>74</v>
      </c>
      <c r="K336" s="66">
        <v>259</v>
      </c>
      <c r="L336" s="66">
        <v>112.94799999999999</v>
      </c>
      <c r="M336" s="66">
        <v>87.516000000000005</v>
      </c>
      <c r="N336" s="97">
        <f>SUM(N331:N335)/5</f>
        <v>1353.8848</v>
      </c>
      <c r="O336" s="97">
        <f>AVERAGE(H336:M336)*12</f>
        <v>1606.9279999999999</v>
      </c>
      <c r="P336" s="47"/>
      <c r="Q336" s="117"/>
      <c r="R336" s="151"/>
      <c r="S336" s="3">
        <v>2015</v>
      </c>
      <c r="T336" s="6"/>
      <c r="U336" s="6"/>
      <c r="V336" s="6"/>
      <c r="W336" s="6"/>
      <c r="X336" s="6"/>
      <c r="Y336" s="6"/>
      <c r="Z336" s="35">
        <v>17</v>
      </c>
      <c r="AA336" s="35">
        <v>17</v>
      </c>
      <c r="AB336" s="35">
        <v>17</v>
      </c>
      <c r="AC336" s="6">
        <v>15</v>
      </c>
      <c r="AD336" s="6">
        <v>15</v>
      </c>
      <c r="AE336" s="6">
        <v>15</v>
      </c>
      <c r="AG336" s="43">
        <f>SUM(T336:AE336)/6</f>
        <v>16</v>
      </c>
      <c r="AJ336" s="3">
        <v>2015</v>
      </c>
      <c r="AK336" s="9"/>
      <c r="AQ336" s="99">
        <f t="shared" si="738"/>
        <v>11.058823529411764</v>
      </c>
      <c r="AR336" s="99">
        <f t="shared" si="738"/>
        <v>4.8235294117647056</v>
      </c>
      <c r="AS336" s="99">
        <f t="shared" si="738"/>
        <v>4.3529411764705879</v>
      </c>
      <c r="AT336" s="11">
        <f t="shared" si="738"/>
        <v>17.266666666666666</v>
      </c>
      <c r="AU336" s="11">
        <f t="shared" si="738"/>
        <v>7.529866666666666</v>
      </c>
      <c r="AV336" s="11">
        <f t="shared" si="738"/>
        <v>5.8344000000000005</v>
      </c>
      <c r="AW336" s="90">
        <f t="shared" si="724"/>
        <v>0.13926414086510716</v>
      </c>
    </row>
    <row r="337" spans="1:49" x14ac:dyDescent="0.25">
      <c r="A337" s="3">
        <v>2014</v>
      </c>
      <c r="S337" s="3">
        <v>2014</v>
      </c>
      <c r="AJ337" s="3">
        <v>2014</v>
      </c>
      <c r="AW337" s="72"/>
    </row>
    <row r="338" spans="1:49" x14ac:dyDescent="0.25">
      <c r="A338" s="3">
        <v>2013</v>
      </c>
      <c r="S338" s="3">
        <v>2013</v>
      </c>
      <c r="AJ338" s="3">
        <v>2013</v>
      </c>
      <c r="AW338" s="72"/>
    </row>
    <row r="339" spans="1:49" ht="15.75" thickBot="1" x14ac:dyDescent="0.3">
      <c r="N339" s="118"/>
      <c r="O339" s="118"/>
      <c r="AW339" s="72"/>
    </row>
    <row r="340" spans="1:49" ht="15.75" thickTop="1" x14ac:dyDescent="0.25">
      <c r="N340" s="97">
        <f>SUM(N328:N332)/5</f>
        <v>1841.0903999999998</v>
      </c>
      <c r="O340" s="97">
        <f>SUM(O328:O332)/4</f>
        <v>2515.0880000000002</v>
      </c>
      <c r="P340" s="50"/>
      <c r="Q340" s="120"/>
      <c r="R340" s="153"/>
      <c r="AV340" s="3" t="s">
        <v>47</v>
      </c>
      <c r="AW340" s="44">
        <f>SUM(AW328:AW332)/5</f>
        <v>0.24087520552627878</v>
      </c>
    </row>
    <row r="341" spans="1:49" x14ac:dyDescent="0.25">
      <c r="AW341" s="44">
        <f>SUM(AW329:AW333)/5</f>
        <v>0.23076474232477259</v>
      </c>
    </row>
    <row r="343" spans="1:49" ht="60" x14ac:dyDescent="0.25">
      <c r="A343" s="165" t="s">
        <v>32</v>
      </c>
      <c r="B343" s="111" t="s">
        <v>0</v>
      </c>
      <c r="C343" s="111" t="s">
        <v>1</v>
      </c>
      <c r="D343" s="111" t="s">
        <v>2</v>
      </c>
      <c r="E343" s="111" t="s">
        <v>3</v>
      </c>
      <c r="F343" s="111" t="s">
        <v>4</v>
      </c>
      <c r="G343" s="111" t="s">
        <v>5</v>
      </c>
      <c r="H343" s="111" t="s">
        <v>6</v>
      </c>
      <c r="I343" s="111" t="s">
        <v>7</v>
      </c>
      <c r="J343" s="111" t="s">
        <v>8</v>
      </c>
      <c r="K343" s="111" t="s">
        <v>9</v>
      </c>
      <c r="L343" s="111" t="s">
        <v>10</v>
      </c>
      <c r="M343" s="111" t="s">
        <v>11</v>
      </c>
      <c r="N343" s="112" t="s">
        <v>78</v>
      </c>
      <c r="O343" s="112" t="s">
        <v>77</v>
      </c>
      <c r="P343" s="139" t="s">
        <v>162</v>
      </c>
      <c r="Q343" s="140" t="s">
        <v>72</v>
      </c>
      <c r="R343" s="76"/>
      <c r="S343" s="165" t="s">
        <v>45</v>
      </c>
      <c r="T343" s="5" t="s">
        <v>0</v>
      </c>
      <c r="U343" s="5" t="s">
        <v>1</v>
      </c>
      <c r="V343" s="5" t="s">
        <v>2</v>
      </c>
      <c r="W343" s="5" t="s">
        <v>3</v>
      </c>
      <c r="X343" s="5" t="s">
        <v>4</v>
      </c>
      <c r="Y343" s="5" t="s">
        <v>5</v>
      </c>
      <c r="Z343" s="5" t="s">
        <v>6</v>
      </c>
      <c r="AA343" s="5" t="s">
        <v>7</v>
      </c>
      <c r="AB343" s="5" t="s">
        <v>8</v>
      </c>
      <c r="AC343" s="5" t="s">
        <v>9</v>
      </c>
      <c r="AD343" s="5" t="s">
        <v>10</v>
      </c>
      <c r="AE343" s="5" t="s">
        <v>11</v>
      </c>
      <c r="AF343" s="30" t="s">
        <v>164</v>
      </c>
      <c r="AG343" s="30" t="s">
        <v>167</v>
      </c>
      <c r="AJ343" s="165" t="s">
        <v>64</v>
      </c>
      <c r="AK343" s="5" t="s">
        <v>0</v>
      </c>
      <c r="AL343" s="5" t="s">
        <v>1</v>
      </c>
      <c r="AM343" s="5" t="s">
        <v>2</v>
      </c>
      <c r="AN343" s="5" t="s">
        <v>3</v>
      </c>
      <c r="AO343" s="5" t="s">
        <v>4</v>
      </c>
      <c r="AP343" s="5" t="s">
        <v>5</v>
      </c>
      <c r="AQ343" s="5" t="s">
        <v>6</v>
      </c>
      <c r="AR343" s="5" t="s">
        <v>7</v>
      </c>
      <c r="AS343" s="5" t="s">
        <v>8</v>
      </c>
      <c r="AT343" s="5" t="s">
        <v>9</v>
      </c>
      <c r="AU343" s="5" t="s">
        <v>10</v>
      </c>
      <c r="AV343" s="5" t="s">
        <v>11</v>
      </c>
      <c r="AW343" s="5" t="s">
        <v>49</v>
      </c>
    </row>
    <row r="344" spans="1:49" x14ac:dyDescent="0.25">
      <c r="A344" s="77">
        <v>2023</v>
      </c>
      <c r="B344" s="189">
        <v>209.1</v>
      </c>
      <c r="C344" s="189">
        <v>247.2</v>
      </c>
      <c r="D344" s="189">
        <v>183.5</v>
      </c>
      <c r="E344" s="189">
        <v>208.1</v>
      </c>
      <c r="F344" s="189">
        <v>228.45</v>
      </c>
      <c r="G344" s="189">
        <v>225.3</v>
      </c>
      <c r="H344" s="189">
        <v>255.2</v>
      </c>
      <c r="I344" s="189">
        <v>284</v>
      </c>
      <c r="J344" s="189">
        <v>270.3</v>
      </c>
      <c r="K344" s="189">
        <v>236.6</v>
      </c>
      <c r="L344" s="189">
        <v>233</v>
      </c>
      <c r="M344" s="189">
        <v>199.5</v>
      </c>
      <c r="N344" s="67">
        <f t="shared" ref="N344:N349" si="740">SUM(B344:G344)+SUM(H345:M345)</f>
        <v>2797.05</v>
      </c>
      <c r="O344" s="115">
        <f t="shared" ref="O344:O347" si="741">SUM(B344:M344)</f>
        <v>2780.25</v>
      </c>
      <c r="P344" s="169">
        <f>SUM(O344:O348)</f>
        <v>12598.233</v>
      </c>
      <c r="Q344" s="147">
        <f t="shared" ref="Q344:Q346" si="742">P344/5</f>
        <v>2519.6466</v>
      </c>
      <c r="R344" s="76"/>
      <c r="S344" s="77">
        <v>2023</v>
      </c>
      <c r="T344" s="189">
        <v>49</v>
      </c>
      <c r="U344" s="189">
        <v>49</v>
      </c>
      <c r="V344" s="189">
        <v>49</v>
      </c>
      <c r="W344" s="189">
        <v>49</v>
      </c>
      <c r="X344" s="189">
        <v>49</v>
      </c>
      <c r="Y344" s="189">
        <v>49</v>
      </c>
      <c r="Z344" s="189">
        <v>48</v>
      </c>
      <c r="AA344" s="189">
        <v>49</v>
      </c>
      <c r="AB344" s="189">
        <v>48</v>
      </c>
      <c r="AC344" s="189">
        <v>49</v>
      </c>
      <c r="AD344" s="189">
        <v>49</v>
      </c>
      <c r="AE344" s="189">
        <v>50</v>
      </c>
      <c r="AF344" s="88">
        <f t="shared" ref="AF344:AF349" si="743">(SUM(T344:Y344)+SUM(Z345:AE345))/12</f>
        <v>49</v>
      </c>
      <c r="AG344" s="6">
        <f>SUM(T344:AE344)/12</f>
        <v>48.916666666666664</v>
      </c>
      <c r="AJ344" s="77">
        <v>2023</v>
      </c>
      <c r="AK344" s="9">
        <f t="shared" ref="AK344:AK351" si="744">B344/T344</f>
        <v>4.2673469387755105</v>
      </c>
      <c r="AL344" s="9">
        <f t="shared" ref="AL344" si="745">C344/U344</f>
        <v>5.0448979591836736</v>
      </c>
      <c r="AM344" s="9">
        <f t="shared" ref="AM344" si="746">D344/V344</f>
        <v>3.7448979591836733</v>
      </c>
      <c r="AN344" s="9">
        <f t="shared" ref="AN344" si="747">E344/W344</f>
        <v>4.2469387755102037</v>
      </c>
      <c r="AO344" s="9">
        <f t="shared" ref="AO344" si="748">F344/X344</f>
        <v>4.6622448979591837</v>
      </c>
      <c r="AP344" s="9">
        <f t="shared" ref="AP344" si="749">G344/Y344</f>
        <v>4.5979591836734697</v>
      </c>
      <c r="AQ344" s="9">
        <f t="shared" ref="AQ344" si="750">H344/Z344</f>
        <v>5.3166666666666664</v>
      </c>
      <c r="AR344" s="9">
        <f t="shared" ref="AR344" si="751">I344/AA344</f>
        <v>5.795918367346939</v>
      </c>
      <c r="AS344" s="9">
        <f t="shared" ref="AS344" si="752">J344/AB344</f>
        <v>5.6312500000000005</v>
      </c>
      <c r="AT344" s="9">
        <f t="shared" ref="AT344" si="753">K344/AC344</f>
        <v>4.8285714285714283</v>
      </c>
      <c r="AU344" s="9">
        <f t="shared" ref="AU344" si="754">L344/AD344</f>
        <v>4.7551020408163263</v>
      </c>
      <c r="AV344" s="9">
        <f t="shared" ref="AV344" si="755">M344/AE344</f>
        <v>3.99</v>
      </c>
      <c r="AW344" s="92">
        <f>(SUM(AK344:AP344)+SUM(AQ344:AV344))/365.25</f>
        <v>0.15573386507238077</v>
      </c>
    </row>
    <row r="345" spans="1:49" x14ac:dyDescent="0.25">
      <c r="A345" s="61">
        <v>2022</v>
      </c>
      <c r="B345" s="190">
        <v>180.3</v>
      </c>
      <c r="C345" s="190">
        <v>183.1</v>
      </c>
      <c r="D345" s="190">
        <v>190.6</v>
      </c>
      <c r="E345" s="190">
        <v>168.8</v>
      </c>
      <c r="F345" s="190">
        <v>233.3</v>
      </c>
      <c r="G345" s="190">
        <v>239.8</v>
      </c>
      <c r="H345" s="190">
        <v>244.5</v>
      </c>
      <c r="I345" s="190">
        <v>284.10000000000002</v>
      </c>
      <c r="J345" s="190">
        <v>228.4</v>
      </c>
      <c r="K345" s="190">
        <v>268</v>
      </c>
      <c r="L345" s="190">
        <v>207.8</v>
      </c>
      <c r="M345" s="190">
        <v>262.60000000000002</v>
      </c>
      <c r="N345" s="67">
        <f t="shared" si="740"/>
        <v>2403</v>
      </c>
      <c r="O345" s="115">
        <f t="shared" si="741"/>
        <v>2691.3</v>
      </c>
      <c r="P345" s="169">
        <f t="shared" ref="P345:P347" si="756">SUM(O345:O349)</f>
        <v>12229.183000000001</v>
      </c>
      <c r="Q345" s="147">
        <f t="shared" si="742"/>
        <v>2445.8366000000001</v>
      </c>
      <c r="R345" s="76"/>
      <c r="S345" s="61">
        <v>2022</v>
      </c>
      <c r="T345" s="190">
        <v>49</v>
      </c>
      <c r="U345" s="190">
        <v>49</v>
      </c>
      <c r="V345" s="190">
        <v>49</v>
      </c>
      <c r="W345" s="190">
        <v>48</v>
      </c>
      <c r="X345" s="190">
        <v>48</v>
      </c>
      <c r="Y345" s="190">
        <v>50</v>
      </c>
      <c r="Z345" s="190">
        <v>49</v>
      </c>
      <c r="AA345" s="190">
        <v>49</v>
      </c>
      <c r="AB345" s="190">
        <v>49</v>
      </c>
      <c r="AC345" s="190">
        <v>49</v>
      </c>
      <c r="AD345" s="190">
        <v>49</v>
      </c>
      <c r="AE345" s="190">
        <v>49</v>
      </c>
      <c r="AF345" s="88">
        <f t="shared" si="743"/>
        <v>48.916666666666664</v>
      </c>
      <c r="AG345" s="6">
        <f t="shared" ref="AG345:AG351" si="757">SUM(T345:AE345)/12</f>
        <v>48.916666666666664</v>
      </c>
      <c r="AJ345" s="61">
        <v>2022</v>
      </c>
      <c r="AK345" s="9">
        <f t="shared" si="744"/>
        <v>3.6795918367346943</v>
      </c>
      <c r="AL345" s="9">
        <f t="shared" ref="AL345" si="758">C345/U345</f>
        <v>3.7367346938775508</v>
      </c>
      <c r="AM345" s="9">
        <f t="shared" ref="AM345" si="759">D345/V345</f>
        <v>3.8897959183673469</v>
      </c>
      <c r="AN345" s="9">
        <f t="shared" ref="AN345" si="760">E345/W345</f>
        <v>3.5166666666666671</v>
      </c>
      <c r="AO345" s="9">
        <f t="shared" ref="AO345" si="761">F345/X345</f>
        <v>4.8604166666666666</v>
      </c>
      <c r="AP345" s="9">
        <f t="shared" ref="AP345" si="762">G345/Y345</f>
        <v>4.7960000000000003</v>
      </c>
      <c r="AQ345" s="9">
        <f t="shared" ref="AQ345" si="763">H345/Z345</f>
        <v>4.9897959183673466</v>
      </c>
      <c r="AR345" s="9">
        <f t="shared" ref="AR345" si="764">I345/AA345</f>
        <v>5.7979591836734699</v>
      </c>
      <c r="AS345" s="9">
        <f t="shared" ref="AS345" si="765">J345/AB345</f>
        <v>4.6612244897959183</v>
      </c>
      <c r="AT345" s="9">
        <f t="shared" ref="AT345" si="766">K345/AC345</f>
        <v>5.4693877551020407</v>
      </c>
      <c r="AU345" s="9">
        <f t="shared" ref="AU345" si="767">L345/AD345</f>
        <v>4.2408163265306129</v>
      </c>
      <c r="AV345" s="9">
        <f t="shared" ref="AV345" si="768">M345/AE345</f>
        <v>5.3591836734693885</v>
      </c>
      <c r="AW345" s="92">
        <f t="shared" ref="AW345:AW351" si="769">(SUM(AK345:AP345)+SUM(AQ345:AV345))/365.25</f>
        <v>0.15057514888227708</v>
      </c>
    </row>
    <row r="346" spans="1:49" x14ac:dyDescent="0.25">
      <c r="A346" s="61">
        <v>2021</v>
      </c>
      <c r="B346" s="190">
        <v>172.8</v>
      </c>
      <c r="C346" s="190">
        <v>163.1</v>
      </c>
      <c r="D346" s="190">
        <v>174.2</v>
      </c>
      <c r="E346" s="190">
        <v>197.5</v>
      </c>
      <c r="F346" s="190">
        <v>175.3</v>
      </c>
      <c r="G346" s="190">
        <v>196.5</v>
      </c>
      <c r="H346" s="190">
        <v>270.7</v>
      </c>
      <c r="I346" s="190">
        <v>168.9</v>
      </c>
      <c r="J346" s="190">
        <v>235.8</v>
      </c>
      <c r="K346" s="190">
        <v>163.1</v>
      </c>
      <c r="L346" s="190">
        <v>169.1</v>
      </c>
      <c r="M346" s="190">
        <v>199.5</v>
      </c>
      <c r="N346" s="67">
        <f t="shared" si="740"/>
        <v>2517.6909999999998</v>
      </c>
      <c r="O346" s="115">
        <f t="shared" si="741"/>
        <v>2286.5</v>
      </c>
      <c r="P346" s="169">
        <f t="shared" si="756"/>
        <v>11970.359</v>
      </c>
      <c r="Q346" s="147">
        <f t="shared" si="742"/>
        <v>2394.0718000000002</v>
      </c>
      <c r="R346" s="76"/>
      <c r="S346" s="61">
        <v>2021</v>
      </c>
      <c r="T346" s="190">
        <v>48</v>
      </c>
      <c r="U346" s="190">
        <v>48</v>
      </c>
      <c r="V346" s="190">
        <v>47</v>
      </c>
      <c r="W346" s="190">
        <v>45</v>
      </c>
      <c r="X346" s="190">
        <v>48</v>
      </c>
      <c r="Y346" s="190">
        <v>49</v>
      </c>
      <c r="Z346" s="190">
        <v>49</v>
      </c>
      <c r="AA346" s="190">
        <v>49</v>
      </c>
      <c r="AB346" s="190">
        <v>49</v>
      </c>
      <c r="AC346" s="190">
        <v>49</v>
      </c>
      <c r="AD346" s="190">
        <v>49</v>
      </c>
      <c r="AE346" s="190">
        <v>49</v>
      </c>
      <c r="AF346" s="88">
        <f t="shared" si="743"/>
        <v>48</v>
      </c>
      <c r="AG346" s="6">
        <f t="shared" si="757"/>
        <v>48.25</v>
      </c>
      <c r="AJ346" s="61">
        <v>2021</v>
      </c>
      <c r="AK346" s="9">
        <f t="shared" si="744"/>
        <v>3.6</v>
      </c>
      <c r="AL346" s="9">
        <f t="shared" ref="AL346" si="770">C346/U346</f>
        <v>3.3979166666666667</v>
      </c>
      <c r="AM346" s="9">
        <f t="shared" ref="AM346" si="771">D346/V346</f>
        <v>3.7063829787234042</v>
      </c>
      <c r="AN346" s="9">
        <f t="shared" ref="AN346" si="772">E346/W346</f>
        <v>4.3888888888888893</v>
      </c>
      <c r="AO346" s="9">
        <f t="shared" ref="AO346" si="773">F346/X346</f>
        <v>3.6520833333333336</v>
      </c>
      <c r="AP346" s="9">
        <f t="shared" ref="AP346" si="774">G346/Y346</f>
        <v>4.0102040816326534</v>
      </c>
      <c r="AQ346" s="9">
        <f t="shared" ref="AQ346" si="775">H346/Z346</f>
        <v>5.5244897959183668</v>
      </c>
      <c r="AR346" s="9">
        <f t="shared" ref="AR346" si="776">I346/AA346</f>
        <v>3.4469387755102043</v>
      </c>
      <c r="AS346" s="9">
        <f t="shared" ref="AS346" si="777">J346/AB346</f>
        <v>4.8122448979591841</v>
      </c>
      <c r="AT346" s="9">
        <f t="shared" ref="AT346" si="778">K346/AC346</f>
        <v>3.3285714285714283</v>
      </c>
      <c r="AU346" s="9">
        <f t="shared" ref="AU346" si="779">L346/AD346</f>
        <v>3.4510204081632652</v>
      </c>
      <c r="AV346" s="9">
        <f t="shared" ref="AV346" si="780">M346/AE346</f>
        <v>4.0714285714285712</v>
      </c>
      <c r="AW346" s="92">
        <f t="shared" si="769"/>
        <v>0.1297472137626173</v>
      </c>
    </row>
    <row r="347" spans="1:49" x14ac:dyDescent="0.25">
      <c r="A347" s="61">
        <v>2020</v>
      </c>
      <c r="B347" s="190">
        <v>190.57599999999999</v>
      </c>
      <c r="C347" s="190">
        <v>155.364</v>
      </c>
      <c r="D347" s="190">
        <v>189.53200000000001</v>
      </c>
      <c r="E347" s="190">
        <v>186.98400000000001</v>
      </c>
      <c r="F347" s="190">
        <v>184.83600000000001</v>
      </c>
      <c r="G347" s="190">
        <v>280.60000000000002</v>
      </c>
      <c r="H347" s="190">
        <v>318.8</v>
      </c>
      <c r="I347" s="190">
        <v>281.5</v>
      </c>
      <c r="J347" s="190">
        <v>295.5</v>
      </c>
      <c r="K347" s="190">
        <v>197.5</v>
      </c>
      <c r="L347" s="190">
        <v>220</v>
      </c>
      <c r="M347" s="190">
        <v>124.991</v>
      </c>
      <c r="N347" s="67">
        <f t="shared" si="740"/>
        <v>2286.8919999999998</v>
      </c>
      <c r="O347" s="115">
        <f t="shared" si="741"/>
        <v>2626.183</v>
      </c>
      <c r="P347" s="169">
        <f t="shared" si="756"/>
        <v>11831.035</v>
      </c>
      <c r="Q347" s="147">
        <f>P347/5</f>
        <v>2366.2069999999999</v>
      </c>
      <c r="R347" s="76"/>
      <c r="S347" s="61">
        <v>2020</v>
      </c>
      <c r="T347" s="190">
        <v>48</v>
      </c>
      <c r="U347" s="190">
        <v>48</v>
      </c>
      <c r="V347" s="190">
        <v>48</v>
      </c>
      <c r="W347" s="190">
        <v>48</v>
      </c>
      <c r="X347" s="190">
        <v>48</v>
      </c>
      <c r="Y347" s="190">
        <v>48</v>
      </c>
      <c r="Z347" s="190">
        <v>48</v>
      </c>
      <c r="AA347" s="190">
        <v>48</v>
      </c>
      <c r="AB347" s="190">
        <v>48</v>
      </c>
      <c r="AC347" s="190">
        <v>49</v>
      </c>
      <c r="AD347" s="190">
        <v>49</v>
      </c>
      <c r="AE347" s="190">
        <v>49</v>
      </c>
      <c r="AF347" s="88">
        <f t="shared" si="743"/>
        <v>47.666666666666664</v>
      </c>
      <c r="AG347" s="6">
        <f t="shared" si="757"/>
        <v>48.25</v>
      </c>
      <c r="AJ347" s="61">
        <v>2020</v>
      </c>
      <c r="AK347" s="9">
        <f t="shared" si="744"/>
        <v>3.970333333333333</v>
      </c>
      <c r="AL347" s="9">
        <f t="shared" ref="AL347:AP351" si="781">C347/U347</f>
        <v>3.2367500000000002</v>
      </c>
      <c r="AM347" s="79">
        <f t="shared" si="781"/>
        <v>3.9485833333333336</v>
      </c>
      <c r="AN347" s="79">
        <f t="shared" si="781"/>
        <v>3.8955000000000002</v>
      </c>
      <c r="AO347" s="79">
        <f t="shared" si="781"/>
        <v>3.8507500000000001</v>
      </c>
      <c r="AP347" s="79">
        <f t="shared" si="781"/>
        <v>5.8458333333333341</v>
      </c>
      <c r="AQ347" s="79">
        <f t="shared" ref="AQ347" si="782">H347/Z347</f>
        <v>6.6416666666666666</v>
      </c>
      <c r="AR347" s="79">
        <f t="shared" ref="AR347" si="783">I347/AA347</f>
        <v>5.864583333333333</v>
      </c>
      <c r="AS347" s="79">
        <f t="shared" ref="AS347" si="784">J347/AB347</f>
        <v>6.15625</v>
      </c>
      <c r="AT347" s="79">
        <f t="shared" ref="AT347" si="785">K347/AC347</f>
        <v>4.0306122448979593</v>
      </c>
      <c r="AU347" s="79">
        <f t="shared" ref="AU347" si="786">L347/AD347</f>
        <v>4.4897959183673466</v>
      </c>
      <c r="AV347" s="79">
        <f t="shared" ref="AV347" si="787">M347/AE347</f>
        <v>2.5508367346938776</v>
      </c>
      <c r="AW347" s="92">
        <f t="shared" si="769"/>
        <v>0.14916220369051111</v>
      </c>
    </row>
    <row r="348" spans="1:49" x14ac:dyDescent="0.25">
      <c r="A348" s="61">
        <v>2019</v>
      </c>
      <c r="B348" s="125">
        <v>219.5</v>
      </c>
      <c r="C348" s="125">
        <v>195.5</v>
      </c>
      <c r="D348" s="125">
        <v>136.19999999999999</v>
      </c>
      <c r="E348" s="125">
        <v>194.6</v>
      </c>
      <c r="F348" s="125">
        <v>161.1</v>
      </c>
      <c r="G348" s="125">
        <v>208.1</v>
      </c>
      <c r="H348" s="190">
        <v>197.2</v>
      </c>
      <c r="I348" s="190">
        <v>186.7</v>
      </c>
      <c r="J348" s="190">
        <v>195.5</v>
      </c>
      <c r="K348" s="190">
        <v>173.7</v>
      </c>
      <c r="L348" s="190">
        <v>176.3</v>
      </c>
      <c r="M348" s="190">
        <v>169.6</v>
      </c>
      <c r="N348" s="67">
        <f t="shared" si="740"/>
        <v>2397.1</v>
      </c>
      <c r="O348" s="115">
        <f>SUM(B348:M348)</f>
        <v>2214</v>
      </c>
      <c r="P348" s="127"/>
      <c r="Q348" s="123"/>
      <c r="R348" s="157"/>
      <c r="S348" s="61">
        <v>2019</v>
      </c>
      <c r="T348" s="35">
        <v>46</v>
      </c>
      <c r="U348" s="35">
        <v>46</v>
      </c>
      <c r="V348" s="35">
        <v>46</v>
      </c>
      <c r="W348" s="35">
        <v>46</v>
      </c>
      <c r="X348" s="35">
        <v>46</v>
      </c>
      <c r="Y348" s="35">
        <v>47</v>
      </c>
      <c r="Z348" s="35">
        <v>47</v>
      </c>
      <c r="AA348" s="35">
        <v>47</v>
      </c>
      <c r="AB348" s="35">
        <v>47</v>
      </c>
      <c r="AC348" s="35">
        <v>47</v>
      </c>
      <c r="AD348" s="35">
        <v>48</v>
      </c>
      <c r="AE348" s="35">
        <v>48</v>
      </c>
      <c r="AF348" s="8">
        <f t="shared" si="743"/>
        <v>46.666666666666664</v>
      </c>
      <c r="AG348" s="6">
        <f t="shared" si="757"/>
        <v>46.75</v>
      </c>
      <c r="AJ348" s="61">
        <v>2019</v>
      </c>
      <c r="AK348" s="9">
        <f t="shared" si="744"/>
        <v>4.7717391304347823</v>
      </c>
      <c r="AL348" s="9">
        <f t="shared" si="781"/>
        <v>4.25</v>
      </c>
      <c r="AM348" s="9">
        <f t="shared" si="781"/>
        <v>2.9608695652173909</v>
      </c>
      <c r="AN348" s="9">
        <f t="shared" si="781"/>
        <v>4.2304347826086959</v>
      </c>
      <c r="AO348" s="9">
        <f t="shared" si="781"/>
        <v>3.5021739130434781</v>
      </c>
      <c r="AP348" s="9">
        <f t="shared" si="781"/>
        <v>4.4276595744680849</v>
      </c>
      <c r="AQ348" s="11">
        <f t="shared" ref="AQ348:AV351" si="788">H348/Z348</f>
        <v>4.1957446808510639</v>
      </c>
      <c r="AR348" s="11">
        <f t="shared" si="788"/>
        <v>3.9723404255319146</v>
      </c>
      <c r="AS348" s="11">
        <f t="shared" si="788"/>
        <v>4.1595744680851068</v>
      </c>
      <c r="AT348" s="11">
        <f t="shared" si="788"/>
        <v>3.6957446808510634</v>
      </c>
      <c r="AU348" s="11">
        <f t="shared" si="788"/>
        <v>3.6729166666666671</v>
      </c>
      <c r="AV348" s="11">
        <f t="shared" si="788"/>
        <v>3.5333333333333332</v>
      </c>
      <c r="AW348" s="92">
        <f t="shared" si="769"/>
        <v>0.12969892189210561</v>
      </c>
    </row>
    <row r="349" spans="1:49" x14ac:dyDescent="0.25">
      <c r="A349" s="61">
        <v>2018</v>
      </c>
      <c r="B349" s="116">
        <v>233.2</v>
      </c>
      <c r="C349" s="116">
        <v>157.19999999999999</v>
      </c>
      <c r="D349" s="116">
        <v>154.80000000000001</v>
      </c>
      <c r="E349" s="116">
        <v>157.30000000000001</v>
      </c>
      <c r="F349" s="116">
        <v>193.7</v>
      </c>
      <c r="G349" s="116">
        <v>232.9</v>
      </c>
      <c r="H349" s="116">
        <v>244.1</v>
      </c>
      <c r="I349" s="116">
        <v>211.4</v>
      </c>
      <c r="J349" s="116">
        <v>212</v>
      </c>
      <c r="K349" s="116">
        <v>201.9</v>
      </c>
      <c r="L349" s="116">
        <v>219.2</v>
      </c>
      <c r="M349" s="116">
        <v>193.5</v>
      </c>
      <c r="N349" s="67">
        <f t="shared" si="740"/>
        <v>2374.9279999999999</v>
      </c>
      <c r="O349" s="115">
        <f t="shared" ref="O349:O351" si="789">SUM(B349:M349)</f>
        <v>2411.2000000000003</v>
      </c>
      <c r="P349" s="127"/>
      <c r="Q349" s="123"/>
      <c r="R349" s="76"/>
      <c r="S349" s="61">
        <v>2018</v>
      </c>
      <c r="T349" s="35">
        <v>48</v>
      </c>
      <c r="U349" s="35">
        <v>48</v>
      </c>
      <c r="V349" s="35">
        <v>48</v>
      </c>
      <c r="W349" s="35">
        <v>48</v>
      </c>
      <c r="X349" s="35">
        <v>48</v>
      </c>
      <c r="Y349" s="35">
        <v>48</v>
      </c>
      <c r="Z349" s="35">
        <v>48</v>
      </c>
      <c r="AA349" s="35">
        <v>47</v>
      </c>
      <c r="AB349" s="35">
        <v>47</v>
      </c>
      <c r="AC349" s="35">
        <v>47</v>
      </c>
      <c r="AD349" s="35">
        <v>47</v>
      </c>
      <c r="AE349" s="35">
        <v>47</v>
      </c>
      <c r="AF349" s="8">
        <f t="shared" si="743"/>
        <v>48</v>
      </c>
      <c r="AG349" s="6">
        <f t="shared" si="757"/>
        <v>47.583333333333336</v>
      </c>
      <c r="AJ349" s="61">
        <v>2018</v>
      </c>
      <c r="AK349" s="9">
        <f t="shared" si="744"/>
        <v>4.8583333333333334</v>
      </c>
      <c r="AL349" s="9">
        <f t="shared" si="781"/>
        <v>3.2749999999999999</v>
      </c>
      <c r="AM349" s="9">
        <f t="shared" si="781"/>
        <v>3.2250000000000001</v>
      </c>
      <c r="AN349" s="9">
        <f t="shared" si="781"/>
        <v>3.2770833333333336</v>
      </c>
      <c r="AO349" s="9">
        <f t="shared" si="781"/>
        <v>4.0354166666666664</v>
      </c>
      <c r="AP349" s="9">
        <f t="shared" si="781"/>
        <v>4.8520833333333337</v>
      </c>
      <c r="AQ349" s="11">
        <f t="shared" si="788"/>
        <v>5.0854166666666663</v>
      </c>
      <c r="AR349" s="11">
        <f t="shared" si="788"/>
        <v>4.4978723404255323</v>
      </c>
      <c r="AS349" s="11">
        <f t="shared" si="788"/>
        <v>4.5106382978723403</v>
      </c>
      <c r="AT349" s="11">
        <f t="shared" si="788"/>
        <v>4.2957446808510635</v>
      </c>
      <c r="AU349" s="11">
        <f t="shared" si="788"/>
        <v>4.6638297872340422</v>
      </c>
      <c r="AV349" s="11">
        <f t="shared" si="788"/>
        <v>4.1170212765957448</v>
      </c>
      <c r="AW349" s="92">
        <f t="shared" si="769"/>
        <v>0.13879107382973868</v>
      </c>
    </row>
    <row r="350" spans="1:49" x14ac:dyDescent="0.25">
      <c r="A350" s="3">
        <v>2017</v>
      </c>
      <c r="B350" s="66">
        <v>203.81200000000001</v>
      </c>
      <c r="C350" s="66">
        <v>162.428</v>
      </c>
      <c r="D350" s="66">
        <v>187.71199999999999</v>
      </c>
      <c r="E350" s="66">
        <v>169.90799999999999</v>
      </c>
      <c r="F350" s="66">
        <v>181.92400000000001</v>
      </c>
      <c r="G350" s="66">
        <v>280.86399999999998</v>
      </c>
      <c r="H350" s="116">
        <v>286.596</v>
      </c>
      <c r="I350" s="116">
        <v>232.44</v>
      </c>
      <c r="J350" s="116">
        <v>207.15600000000001</v>
      </c>
      <c r="K350" s="116">
        <v>160.52799999999999</v>
      </c>
      <c r="L350" s="116">
        <v>185.364</v>
      </c>
      <c r="M350" s="116">
        <v>173.744</v>
      </c>
      <c r="N350" s="67">
        <f>SUM(B350:G350)+SUM(H351:M351)</f>
        <v>2318.5280000000002</v>
      </c>
      <c r="O350" s="115">
        <f t="shared" si="789"/>
        <v>2432.4760000000001</v>
      </c>
      <c r="P350" s="127"/>
      <c r="Q350" s="123"/>
      <c r="R350" s="151"/>
      <c r="S350" s="3">
        <v>2017</v>
      </c>
      <c r="T350" s="6">
        <v>48</v>
      </c>
      <c r="U350" s="6">
        <v>48</v>
      </c>
      <c r="V350" s="6">
        <v>48</v>
      </c>
      <c r="W350" s="6">
        <v>47</v>
      </c>
      <c r="X350" s="6">
        <v>48</v>
      </c>
      <c r="Y350" s="6">
        <v>49</v>
      </c>
      <c r="Z350" s="6">
        <v>49</v>
      </c>
      <c r="AA350" s="6">
        <v>49</v>
      </c>
      <c r="AB350" s="6">
        <v>49</v>
      </c>
      <c r="AC350" s="6">
        <v>47</v>
      </c>
      <c r="AD350" s="6">
        <v>47</v>
      </c>
      <c r="AE350" s="6">
        <v>47</v>
      </c>
      <c r="AF350" s="8">
        <f>(SUM(T350:Y350)+SUM(Z351:AE351))/12</f>
        <v>48</v>
      </c>
      <c r="AG350" s="6">
        <f t="shared" si="757"/>
        <v>48</v>
      </c>
      <c r="AJ350" s="3">
        <v>2017</v>
      </c>
      <c r="AK350" s="9">
        <f t="shared" si="744"/>
        <v>4.2460833333333339</v>
      </c>
      <c r="AL350" s="9">
        <f t="shared" si="781"/>
        <v>3.3839166666666665</v>
      </c>
      <c r="AM350" s="9">
        <f t="shared" si="781"/>
        <v>3.9106666666666663</v>
      </c>
      <c r="AN350" s="9">
        <f t="shared" si="781"/>
        <v>3.6150638297872337</v>
      </c>
      <c r="AO350" s="9">
        <f t="shared" si="781"/>
        <v>3.7900833333333335</v>
      </c>
      <c r="AP350" s="9">
        <f t="shared" si="781"/>
        <v>5.731918367346938</v>
      </c>
      <c r="AQ350" s="11">
        <f t="shared" si="788"/>
        <v>5.8488979591836738</v>
      </c>
      <c r="AR350" s="11">
        <f t="shared" si="788"/>
        <v>4.7436734693877547</v>
      </c>
      <c r="AS350" s="11">
        <f t="shared" si="788"/>
        <v>4.2276734693877556</v>
      </c>
      <c r="AT350" s="11">
        <f t="shared" si="788"/>
        <v>3.4154893617021274</v>
      </c>
      <c r="AU350" s="11">
        <f t="shared" si="788"/>
        <v>3.9439148936170212</v>
      </c>
      <c r="AV350" s="11">
        <f t="shared" si="788"/>
        <v>3.6966808510638298</v>
      </c>
      <c r="AW350" s="92">
        <f t="shared" si="769"/>
        <v>0.1384094789910372</v>
      </c>
    </row>
    <row r="351" spans="1:49" x14ac:dyDescent="0.25">
      <c r="A351" s="3">
        <v>2016</v>
      </c>
      <c r="B351" s="66">
        <v>175.78</v>
      </c>
      <c r="C351" s="66">
        <v>151.096</v>
      </c>
      <c r="D351" s="66">
        <v>155.584</v>
      </c>
      <c r="E351" s="66">
        <v>176.52799999999999</v>
      </c>
      <c r="F351" s="66">
        <v>162.316</v>
      </c>
      <c r="G351" s="66">
        <v>193.99199999999999</v>
      </c>
      <c r="H351" s="66">
        <v>241.61600000000001</v>
      </c>
      <c r="I351" s="66">
        <v>184.51599999999999</v>
      </c>
      <c r="J351" s="66">
        <v>206.85599999999999</v>
      </c>
      <c r="K351" s="66">
        <v>157.88399999999999</v>
      </c>
      <c r="L351" s="66">
        <v>154.49600000000001</v>
      </c>
      <c r="M351" s="66">
        <v>186.512</v>
      </c>
      <c r="N351" s="60"/>
      <c r="O351" s="115">
        <f t="shared" si="789"/>
        <v>2147.1760000000004</v>
      </c>
      <c r="S351" s="3">
        <v>2016</v>
      </c>
      <c r="T351" s="6">
        <v>47</v>
      </c>
      <c r="U351" s="6">
        <v>47</v>
      </c>
      <c r="V351" s="6">
        <v>48</v>
      </c>
      <c r="W351" s="6">
        <v>48</v>
      </c>
      <c r="X351" s="6">
        <v>48</v>
      </c>
      <c r="Y351" s="6">
        <v>47</v>
      </c>
      <c r="Z351" s="6">
        <v>48</v>
      </c>
      <c r="AA351" s="6">
        <v>48</v>
      </c>
      <c r="AB351" s="6">
        <v>48</v>
      </c>
      <c r="AC351" s="6">
        <v>48</v>
      </c>
      <c r="AD351" s="6">
        <v>48</v>
      </c>
      <c r="AE351" s="6">
        <v>48</v>
      </c>
      <c r="AF351" s="88">
        <f>(SUM(T351:Y351)+SUM(Z352:AE352))/12</f>
        <v>47.583333333333336</v>
      </c>
      <c r="AG351" s="6">
        <f t="shared" si="757"/>
        <v>47.75</v>
      </c>
      <c r="AJ351" s="3">
        <v>2016</v>
      </c>
      <c r="AK351" s="9">
        <f t="shared" si="744"/>
        <v>3.74</v>
      </c>
      <c r="AL351" s="9">
        <f t="shared" si="781"/>
        <v>3.214808510638298</v>
      </c>
      <c r="AM351" s="9">
        <f t="shared" si="781"/>
        <v>3.2413333333333334</v>
      </c>
      <c r="AN351" s="9">
        <f t="shared" si="781"/>
        <v>3.6776666666666666</v>
      </c>
      <c r="AO351" s="9">
        <f t="shared" si="781"/>
        <v>3.3815833333333334</v>
      </c>
      <c r="AP351" s="9">
        <f t="shared" si="781"/>
        <v>4.1274893617021275</v>
      </c>
      <c r="AQ351" s="11">
        <f t="shared" si="788"/>
        <v>5.033666666666667</v>
      </c>
      <c r="AR351" s="11">
        <f t="shared" si="788"/>
        <v>3.8440833333333333</v>
      </c>
      <c r="AS351" s="11">
        <f t="shared" si="788"/>
        <v>4.3094999999999999</v>
      </c>
      <c r="AT351" s="11">
        <f t="shared" si="788"/>
        <v>3.2892499999999996</v>
      </c>
      <c r="AU351" s="11">
        <f t="shared" si="788"/>
        <v>3.218666666666667</v>
      </c>
      <c r="AV351" s="11">
        <f t="shared" si="788"/>
        <v>3.8856666666666668</v>
      </c>
      <c r="AW351" s="92">
        <f t="shared" si="769"/>
        <v>0.12310394124300368</v>
      </c>
    </row>
    <row r="352" spans="1:49" x14ac:dyDescent="0.25">
      <c r="A352" s="3">
        <v>2015</v>
      </c>
      <c r="S352" s="3">
        <v>2015</v>
      </c>
      <c r="T352" s="6"/>
      <c r="U352" s="6"/>
      <c r="V352" s="6"/>
      <c r="W352" s="6"/>
      <c r="X352" s="6"/>
      <c r="Y352" s="6"/>
      <c r="Z352" s="35">
        <v>48</v>
      </c>
      <c r="AA352" s="35">
        <v>48</v>
      </c>
      <c r="AB352" s="35">
        <v>48</v>
      </c>
      <c r="AC352" s="35">
        <v>48</v>
      </c>
      <c r="AD352" s="35">
        <v>48</v>
      </c>
      <c r="AE352" s="6">
        <v>46</v>
      </c>
      <c r="AG352" s="43">
        <f>SUM(T352:AE352)/6</f>
        <v>47.666666666666664</v>
      </c>
      <c r="AJ352" s="3">
        <v>2015</v>
      </c>
      <c r="AW352" s="81"/>
    </row>
    <row r="353" spans="1:49" x14ac:dyDescent="0.25">
      <c r="A353" s="3">
        <v>2014</v>
      </c>
      <c r="S353" s="3">
        <v>2014</v>
      </c>
      <c r="AJ353" s="3">
        <v>2014</v>
      </c>
      <c r="AW353" s="81"/>
    </row>
    <row r="354" spans="1:49" ht="15.75" thickBot="1" x14ac:dyDescent="0.3">
      <c r="N354" s="118"/>
      <c r="O354" s="118"/>
      <c r="AW354" s="81"/>
    </row>
    <row r="355" spans="1:49" ht="15.75" thickTop="1" x14ac:dyDescent="0.25">
      <c r="H355" s="97"/>
      <c r="I355" s="97"/>
      <c r="J355" s="97"/>
      <c r="K355" s="97"/>
      <c r="L355" s="97"/>
      <c r="M355" s="97"/>
      <c r="N355" s="97">
        <f>SUM(N344:N348)/5</f>
        <v>2480.3465999999999</v>
      </c>
      <c r="O355" s="97">
        <f>SUM(O344:O348)/5</f>
        <v>2519.6466</v>
      </c>
      <c r="AV355" s="3" t="s">
        <v>47</v>
      </c>
      <c r="AW355" s="90">
        <f>SUM(AW344:AW348)/4</f>
        <v>0.17872933832497298</v>
      </c>
    </row>
    <row r="356" spans="1:49" x14ac:dyDescent="0.25">
      <c r="AP356" s="72"/>
      <c r="AV356" s="64" t="s">
        <v>89</v>
      </c>
      <c r="AW356" s="90">
        <f>SUM(AW345:AW349)/4</f>
        <v>0.17449364051431246</v>
      </c>
    </row>
    <row r="357" spans="1:49" x14ac:dyDescent="0.25">
      <c r="AP357" s="72"/>
      <c r="AW357" s="90"/>
    </row>
    <row r="358" spans="1:49" ht="60" x14ac:dyDescent="0.25">
      <c r="A358" s="165" t="s">
        <v>33</v>
      </c>
      <c r="B358" s="111" t="s">
        <v>0</v>
      </c>
      <c r="C358" s="111" t="s">
        <v>1</v>
      </c>
      <c r="D358" s="111" t="s">
        <v>2</v>
      </c>
      <c r="E358" s="111" t="s">
        <v>3</v>
      </c>
      <c r="F358" s="111" t="s">
        <v>4</v>
      </c>
      <c r="G358" s="111" t="s">
        <v>5</v>
      </c>
      <c r="H358" s="111" t="s">
        <v>6</v>
      </c>
      <c r="I358" s="111" t="s">
        <v>7</v>
      </c>
      <c r="J358" s="111" t="s">
        <v>8</v>
      </c>
      <c r="K358" s="111" t="s">
        <v>9</v>
      </c>
      <c r="L358" s="111" t="s">
        <v>10</v>
      </c>
      <c r="M358" s="111" t="s">
        <v>11</v>
      </c>
      <c r="N358" s="112" t="s">
        <v>78</v>
      </c>
      <c r="O358" s="112" t="s">
        <v>77</v>
      </c>
      <c r="P358" s="139" t="s">
        <v>162</v>
      </c>
      <c r="Q358" s="140" t="s">
        <v>163</v>
      </c>
      <c r="R358" s="76"/>
      <c r="S358" s="165" t="s">
        <v>46</v>
      </c>
      <c r="T358" s="5" t="s">
        <v>0</v>
      </c>
      <c r="U358" s="5" t="s">
        <v>1</v>
      </c>
      <c r="V358" s="5" t="s">
        <v>2</v>
      </c>
      <c r="W358" s="5" t="s">
        <v>3</v>
      </c>
      <c r="X358" s="5" t="s">
        <v>4</v>
      </c>
      <c r="Y358" s="5" t="s">
        <v>5</v>
      </c>
      <c r="Z358" s="5" t="s">
        <v>6</v>
      </c>
      <c r="AA358" s="5" t="s">
        <v>7</v>
      </c>
      <c r="AB358" s="5" t="s">
        <v>8</v>
      </c>
      <c r="AC358" s="5" t="s">
        <v>9</v>
      </c>
      <c r="AD358" s="5" t="s">
        <v>10</v>
      </c>
      <c r="AE358" s="5" t="s">
        <v>11</v>
      </c>
      <c r="AF358" s="30" t="s">
        <v>164</v>
      </c>
      <c r="AG358" s="30" t="s">
        <v>167</v>
      </c>
      <c r="AJ358" s="165" t="s">
        <v>65</v>
      </c>
      <c r="AK358" s="5" t="s">
        <v>0</v>
      </c>
      <c r="AL358" s="5" t="s">
        <v>1</v>
      </c>
      <c r="AM358" s="5" t="s">
        <v>2</v>
      </c>
      <c r="AN358" s="5" t="s">
        <v>3</v>
      </c>
      <c r="AO358" s="5" t="s">
        <v>4</v>
      </c>
      <c r="AP358" s="5" t="s">
        <v>5</v>
      </c>
      <c r="AQ358" s="5" t="s">
        <v>6</v>
      </c>
      <c r="AR358" s="5" t="s">
        <v>7</v>
      </c>
      <c r="AS358" s="5" t="s">
        <v>8</v>
      </c>
      <c r="AT358" s="5" t="s">
        <v>9</v>
      </c>
      <c r="AU358" s="5" t="s">
        <v>10</v>
      </c>
      <c r="AV358" s="5" t="s">
        <v>11</v>
      </c>
      <c r="AW358" s="5" t="s">
        <v>49</v>
      </c>
    </row>
    <row r="359" spans="1:49" x14ac:dyDescent="0.25">
      <c r="A359" s="77">
        <v>2023</v>
      </c>
      <c r="B359" s="145">
        <v>0</v>
      </c>
      <c r="C359" s="145">
        <v>0</v>
      </c>
      <c r="D359" s="145">
        <v>0</v>
      </c>
      <c r="E359" s="145">
        <v>0</v>
      </c>
      <c r="F359" s="145">
        <v>0</v>
      </c>
      <c r="G359" s="145">
        <v>0</v>
      </c>
      <c r="H359" s="145">
        <v>0</v>
      </c>
      <c r="I359" s="145">
        <v>0</v>
      </c>
      <c r="J359" s="145">
        <v>0</v>
      </c>
      <c r="K359" s="145">
        <v>0</v>
      </c>
      <c r="L359" s="145">
        <v>0</v>
      </c>
      <c r="M359" s="145">
        <v>0</v>
      </c>
      <c r="N359" s="111"/>
      <c r="O359" s="112"/>
      <c r="P359" s="139"/>
      <c r="Q359" s="140"/>
      <c r="R359" s="76"/>
      <c r="S359" s="77">
        <v>2023</v>
      </c>
      <c r="T359" s="34">
        <v>0</v>
      </c>
      <c r="U359" s="34">
        <v>0</v>
      </c>
      <c r="V359" s="34">
        <v>0</v>
      </c>
      <c r="W359" s="34">
        <v>0</v>
      </c>
      <c r="X359" s="34">
        <v>0</v>
      </c>
      <c r="Y359" s="34">
        <v>0</v>
      </c>
      <c r="Z359" s="34">
        <v>0</v>
      </c>
      <c r="AA359" s="34">
        <v>0</v>
      </c>
      <c r="AB359" s="34">
        <v>0</v>
      </c>
      <c r="AC359" s="34">
        <v>0</v>
      </c>
      <c r="AD359" s="34">
        <v>0</v>
      </c>
      <c r="AE359" s="34">
        <v>0</v>
      </c>
      <c r="AF359" s="30"/>
      <c r="AG359" s="6">
        <f>SUM(T359:AE359)/12</f>
        <v>0</v>
      </c>
      <c r="AJ359" s="61">
        <v>2023</v>
      </c>
      <c r="AK359" s="171">
        <v>0</v>
      </c>
      <c r="AL359" s="171">
        <v>0</v>
      </c>
      <c r="AM359" s="171">
        <v>0</v>
      </c>
      <c r="AN359" s="171">
        <v>0</v>
      </c>
      <c r="AO359" s="171">
        <v>0</v>
      </c>
      <c r="AP359" s="171">
        <v>0</v>
      </c>
      <c r="AQ359" s="171">
        <v>0</v>
      </c>
      <c r="AR359" s="171">
        <v>0</v>
      </c>
      <c r="AS359" s="171">
        <v>0</v>
      </c>
      <c r="AT359" s="171">
        <v>0</v>
      </c>
      <c r="AU359" s="171">
        <v>0</v>
      </c>
      <c r="AV359" s="171">
        <v>0</v>
      </c>
      <c r="AW359" s="92">
        <f t="shared" ref="AW359:AW361" si="790">(SUM(AK359:AP359)+SUM(AQ359:AV359))/365.25</f>
        <v>0</v>
      </c>
    </row>
    <row r="360" spans="1:49" x14ac:dyDescent="0.25">
      <c r="A360" s="61">
        <v>2022</v>
      </c>
      <c r="B360" s="145">
        <v>0</v>
      </c>
      <c r="C360" s="145">
        <v>0</v>
      </c>
      <c r="D360" s="145">
        <v>0</v>
      </c>
      <c r="E360" s="145">
        <v>0</v>
      </c>
      <c r="F360" s="145">
        <v>0</v>
      </c>
      <c r="G360" s="145">
        <v>0</v>
      </c>
      <c r="H360" s="145">
        <v>0</v>
      </c>
      <c r="I360" s="145">
        <v>0</v>
      </c>
      <c r="J360" s="145">
        <v>0</v>
      </c>
      <c r="K360" s="145">
        <v>0</v>
      </c>
      <c r="L360" s="145">
        <v>0</v>
      </c>
      <c r="M360" s="145">
        <v>0</v>
      </c>
      <c r="N360" s="67">
        <f t="shared" ref="N360:N364" si="791">SUM(B360:G360)+SUM(H361:M361)</f>
        <v>0</v>
      </c>
      <c r="O360" s="112"/>
      <c r="P360" s="170"/>
      <c r="Q360" s="147">
        <f t="shared" ref="Q360:Q361" si="792">P360/5</f>
        <v>0</v>
      </c>
      <c r="R360" s="76"/>
      <c r="S360" s="61">
        <v>2022</v>
      </c>
      <c r="T360" s="34">
        <v>0</v>
      </c>
      <c r="U360" s="34">
        <v>0</v>
      </c>
      <c r="V360" s="34">
        <v>0</v>
      </c>
      <c r="W360" s="34">
        <v>0</v>
      </c>
      <c r="X360" s="34">
        <v>0</v>
      </c>
      <c r="Y360" s="34">
        <v>0</v>
      </c>
      <c r="Z360" s="34">
        <v>0</v>
      </c>
      <c r="AA360" s="34">
        <v>0</v>
      </c>
      <c r="AB360" s="34">
        <v>0</v>
      </c>
      <c r="AC360" s="34">
        <v>0</v>
      </c>
      <c r="AD360" s="34">
        <v>0</v>
      </c>
      <c r="AE360" s="34">
        <v>0</v>
      </c>
      <c r="AF360" s="30"/>
      <c r="AG360" s="6">
        <f t="shared" ref="AG360:AG365" si="793">SUM(T360:AE360)/12</f>
        <v>0</v>
      </c>
      <c r="AJ360" s="61">
        <v>2022</v>
      </c>
      <c r="AK360" s="171">
        <v>0</v>
      </c>
      <c r="AL360" s="171">
        <v>0</v>
      </c>
      <c r="AM360" s="171">
        <v>0</v>
      </c>
      <c r="AN360" s="171">
        <v>0</v>
      </c>
      <c r="AO360" s="171">
        <v>0</v>
      </c>
      <c r="AP360" s="171">
        <v>0</v>
      </c>
      <c r="AQ360" s="171">
        <v>0</v>
      </c>
      <c r="AR360" s="171">
        <v>0</v>
      </c>
      <c r="AS360" s="171">
        <v>0</v>
      </c>
      <c r="AT360" s="171">
        <v>0</v>
      </c>
      <c r="AU360" s="171">
        <v>0</v>
      </c>
      <c r="AV360" s="171">
        <v>0</v>
      </c>
      <c r="AW360" s="92">
        <f t="shared" si="790"/>
        <v>0</v>
      </c>
    </row>
    <row r="361" spans="1:49" x14ac:dyDescent="0.25">
      <c r="A361" s="258" t="s">
        <v>181</v>
      </c>
      <c r="B361" s="145">
        <v>0</v>
      </c>
      <c r="C361" s="145">
        <v>0</v>
      </c>
      <c r="D361" s="145">
        <v>0</v>
      </c>
      <c r="E361" s="145">
        <v>0</v>
      </c>
      <c r="F361" s="145">
        <v>0</v>
      </c>
      <c r="G361" s="145">
        <v>0</v>
      </c>
      <c r="H361" s="145">
        <v>0</v>
      </c>
      <c r="I361" s="145">
        <v>0</v>
      </c>
      <c r="J361" s="145">
        <v>0</v>
      </c>
      <c r="K361" s="145">
        <v>0</v>
      </c>
      <c r="L361" s="145">
        <v>0</v>
      </c>
      <c r="M361" s="145">
        <v>0</v>
      </c>
      <c r="N361" s="67">
        <v>0</v>
      </c>
      <c r="O361" s="115">
        <f t="shared" ref="O361:O362" si="794">SUM(B361:M361)</f>
        <v>0</v>
      </c>
      <c r="P361" s="170"/>
      <c r="Q361" s="147">
        <f t="shared" si="792"/>
        <v>0</v>
      </c>
      <c r="R361" s="76"/>
      <c r="S361" s="61">
        <v>2021</v>
      </c>
      <c r="T361" s="34">
        <v>0</v>
      </c>
      <c r="U361" s="34">
        <v>0</v>
      </c>
      <c r="V361" s="34">
        <v>0</v>
      </c>
      <c r="W361" s="34">
        <v>0</v>
      </c>
      <c r="X361" s="34">
        <v>0</v>
      </c>
      <c r="Y361" s="34">
        <v>0</v>
      </c>
      <c r="Z361" s="34">
        <v>0</v>
      </c>
      <c r="AA361" s="34">
        <v>0</v>
      </c>
      <c r="AB361" s="34">
        <v>0</v>
      </c>
      <c r="AC361" s="34">
        <v>0</v>
      </c>
      <c r="AD361" s="34">
        <v>0</v>
      </c>
      <c r="AE361" s="34">
        <v>0</v>
      </c>
      <c r="AF361" s="88">
        <f t="shared" ref="AF361:AF364" si="795">(SUM(T361:Y361)+SUM(Z362:AE362))/12</f>
        <v>86.5</v>
      </c>
      <c r="AG361" s="6">
        <f t="shared" si="793"/>
        <v>0</v>
      </c>
      <c r="AJ361" s="61">
        <v>2021</v>
      </c>
      <c r="AK361" s="171">
        <v>0</v>
      </c>
      <c r="AL361" s="171">
        <v>0</v>
      </c>
      <c r="AM361" s="171">
        <v>0</v>
      </c>
      <c r="AN361" s="171">
        <v>0</v>
      </c>
      <c r="AO361" s="171">
        <v>0</v>
      </c>
      <c r="AP361" s="171">
        <v>0</v>
      </c>
      <c r="AQ361" s="171">
        <v>0</v>
      </c>
      <c r="AR361" s="171">
        <v>0</v>
      </c>
      <c r="AS361" s="171">
        <v>0</v>
      </c>
      <c r="AT361" s="171">
        <v>0</v>
      </c>
      <c r="AU361" s="171">
        <v>0</v>
      </c>
      <c r="AV361" s="171">
        <v>0</v>
      </c>
      <c r="AW361" s="92">
        <f t="shared" si="790"/>
        <v>0</v>
      </c>
    </row>
    <row r="362" spans="1:49" x14ac:dyDescent="0.25">
      <c r="A362" s="61">
        <v>2020</v>
      </c>
      <c r="B362" s="190">
        <v>1072.3</v>
      </c>
      <c r="C362" s="190">
        <v>-375.3</v>
      </c>
      <c r="D362" s="190">
        <v>305.8</v>
      </c>
      <c r="E362" s="190">
        <v>373.4</v>
      </c>
      <c r="F362" s="190">
        <v>403.3</v>
      </c>
      <c r="G362" s="190">
        <v>509.31099999999998</v>
      </c>
      <c r="H362" s="190">
        <v>582.5</v>
      </c>
      <c r="I362" s="190">
        <v>561.9</v>
      </c>
      <c r="J362" s="190">
        <v>607.1</v>
      </c>
      <c r="K362" s="190">
        <v>500.5</v>
      </c>
      <c r="L362" s="190">
        <v>484.9</v>
      </c>
      <c r="M362" s="190">
        <v>492.7</v>
      </c>
      <c r="N362" s="67">
        <f t="shared" si="791"/>
        <v>5090.0109999999995</v>
      </c>
      <c r="O362" s="115">
        <f t="shared" si="794"/>
        <v>5518.4109999999991</v>
      </c>
      <c r="P362" s="170">
        <f>SUM(O362:O365)</f>
        <v>18832.510999999999</v>
      </c>
      <c r="Q362" s="147">
        <f>P362/4</f>
        <v>4708.1277499999997</v>
      </c>
      <c r="R362" s="76"/>
      <c r="S362" s="61">
        <v>2020</v>
      </c>
      <c r="T362" s="190">
        <v>171</v>
      </c>
      <c r="U362" s="190">
        <v>172</v>
      </c>
      <c r="V362" s="190">
        <v>173</v>
      </c>
      <c r="W362" s="190">
        <v>173</v>
      </c>
      <c r="X362" s="190">
        <v>172</v>
      </c>
      <c r="Y362" s="190">
        <v>173</v>
      </c>
      <c r="Z362" s="190">
        <v>173</v>
      </c>
      <c r="AA362" s="190">
        <v>174</v>
      </c>
      <c r="AB362" s="190">
        <v>174</v>
      </c>
      <c r="AC362" s="190">
        <v>172</v>
      </c>
      <c r="AD362" s="190">
        <v>173</v>
      </c>
      <c r="AE362" s="190">
        <v>172</v>
      </c>
      <c r="AF362" s="88">
        <f t="shared" si="795"/>
        <v>171.58333333333334</v>
      </c>
      <c r="AG362" s="6">
        <f t="shared" si="793"/>
        <v>172.66666666666666</v>
      </c>
      <c r="AJ362" s="61">
        <v>2020</v>
      </c>
      <c r="AK362" s="9">
        <f t="shared" ref="AK362:AP365" si="796">B362/T362</f>
        <v>6.2707602339181285</v>
      </c>
      <c r="AL362" s="9">
        <f t="shared" si="796"/>
        <v>-2.1819767441860467</v>
      </c>
      <c r="AM362" s="79">
        <f t="shared" si="796"/>
        <v>1.7676300578034683</v>
      </c>
      <c r="AN362" s="79">
        <f t="shared" si="796"/>
        <v>2.1583815028901734</v>
      </c>
      <c r="AO362" s="79">
        <f t="shared" si="796"/>
        <v>2.3447674418604652</v>
      </c>
      <c r="AP362" s="79">
        <f t="shared" si="796"/>
        <v>2.9439942196531792</v>
      </c>
      <c r="AQ362" s="79">
        <f t="shared" ref="AQ362" si="797">H362/Z362</f>
        <v>3.3670520231213872</v>
      </c>
      <c r="AR362" s="79">
        <f t="shared" ref="AR362" si="798">I362/AA362</f>
        <v>3.2293103448275859</v>
      </c>
      <c r="AS362" s="79">
        <f t="shared" ref="AS362" si="799">J362/AB362</f>
        <v>3.4890804597701153</v>
      </c>
      <c r="AT362" s="79">
        <f t="shared" ref="AT362" si="800">K362/AC362</f>
        <v>2.9098837209302326</v>
      </c>
      <c r="AU362" s="79">
        <f t="shared" ref="AU362" si="801">L362/AD362</f>
        <v>2.8028901734104044</v>
      </c>
      <c r="AV362" s="79">
        <f t="shared" ref="AV362" si="802">M362/AE362</f>
        <v>2.8645348837209301</v>
      </c>
      <c r="AW362" s="92">
        <f>(SUM(AK362:AP362)+SUM(AQ362:AV362))/365.25</f>
        <v>8.7518982389377206E-2</v>
      </c>
    </row>
    <row r="363" spans="1:49" x14ac:dyDescent="0.25">
      <c r="A363" s="61">
        <v>2019</v>
      </c>
      <c r="B363" s="125">
        <v>275.89999999999998</v>
      </c>
      <c r="C363" s="125">
        <v>213.7</v>
      </c>
      <c r="D363" s="125">
        <v>128.80000000000001</v>
      </c>
      <c r="E363" s="125">
        <v>348.2</v>
      </c>
      <c r="F363" s="125">
        <v>352.2</v>
      </c>
      <c r="G363" s="125">
        <v>440.9</v>
      </c>
      <c r="H363" s="190">
        <v>527</v>
      </c>
      <c r="I363" s="190">
        <v>524.5</v>
      </c>
      <c r="J363" s="190">
        <v>560.4</v>
      </c>
      <c r="K363" s="190">
        <v>471</v>
      </c>
      <c r="L363" s="190">
        <v>399.1</v>
      </c>
      <c r="M363" s="190">
        <v>319.2</v>
      </c>
      <c r="N363" s="67">
        <f t="shared" si="791"/>
        <v>3991.3999999999996</v>
      </c>
      <c r="O363" s="115">
        <f>SUM(B363:M363)</f>
        <v>4560.8999999999996</v>
      </c>
      <c r="P363" s="128"/>
      <c r="Q363" s="123"/>
      <c r="R363" s="157"/>
      <c r="S363" s="61">
        <v>2019</v>
      </c>
      <c r="T363" s="35">
        <v>136</v>
      </c>
      <c r="U363" s="35">
        <v>136</v>
      </c>
      <c r="V363" s="35">
        <v>169</v>
      </c>
      <c r="W363" s="35">
        <v>170</v>
      </c>
      <c r="X363" s="35">
        <v>171</v>
      </c>
      <c r="Y363" s="35">
        <v>171</v>
      </c>
      <c r="Z363" s="35">
        <v>171</v>
      </c>
      <c r="AA363" s="35">
        <v>171</v>
      </c>
      <c r="AB363" s="35">
        <v>171</v>
      </c>
      <c r="AC363" s="35">
        <v>171</v>
      </c>
      <c r="AD363" s="35">
        <v>171</v>
      </c>
      <c r="AE363" s="35">
        <v>170</v>
      </c>
      <c r="AF363" s="8">
        <f t="shared" si="795"/>
        <v>147.25</v>
      </c>
      <c r="AG363" s="6">
        <f t="shared" si="793"/>
        <v>164.83333333333334</v>
      </c>
      <c r="AJ363" s="61">
        <v>2019</v>
      </c>
      <c r="AK363" s="9">
        <f t="shared" si="796"/>
        <v>2.028676470588235</v>
      </c>
      <c r="AL363" s="9">
        <f t="shared" si="796"/>
        <v>1.5713235294117647</v>
      </c>
      <c r="AM363" s="9">
        <f t="shared" si="796"/>
        <v>0.76213017751479295</v>
      </c>
      <c r="AN363" s="9">
        <f t="shared" si="796"/>
        <v>2.0482352941176472</v>
      </c>
      <c r="AO363" s="9">
        <f t="shared" si="796"/>
        <v>2.0596491228070173</v>
      </c>
      <c r="AP363" s="9">
        <f t="shared" si="796"/>
        <v>2.5783625730994149</v>
      </c>
      <c r="AQ363" s="11">
        <f t="shared" ref="AQ363:AV366" si="803">H363/Z363</f>
        <v>3.0818713450292399</v>
      </c>
      <c r="AR363" s="11">
        <f t="shared" si="803"/>
        <v>3.0672514619883042</v>
      </c>
      <c r="AS363" s="11">
        <f t="shared" si="803"/>
        <v>3.2771929824561403</v>
      </c>
      <c r="AT363" s="11">
        <f t="shared" si="803"/>
        <v>2.7543859649122808</v>
      </c>
      <c r="AU363" s="11">
        <f t="shared" si="803"/>
        <v>2.3339181286549708</v>
      </c>
      <c r="AV363" s="11">
        <f t="shared" si="803"/>
        <v>1.8776470588235294</v>
      </c>
      <c r="AW363" s="92">
        <f t="shared" ref="AW363:AW366" si="804">(SUM(AK363:AP363)+SUM(AQ363:AV363))/365.25</f>
        <v>7.51283890743418E-2</v>
      </c>
    </row>
    <row r="364" spans="1:49" x14ac:dyDescent="0.25">
      <c r="A364" s="61">
        <v>2018</v>
      </c>
      <c r="B364" s="116">
        <v>291.89999999999998</v>
      </c>
      <c r="C364" s="116">
        <v>287.60000000000002</v>
      </c>
      <c r="D364" s="116">
        <v>245.5</v>
      </c>
      <c r="E364" s="116">
        <v>266.89999999999998</v>
      </c>
      <c r="F364" s="116">
        <v>320.7</v>
      </c>
      <c r="G364" s="116">
        <v>464.3</v>
      </c>
      <c r="H364" s="116">
        <v>560.4</v>
      </c>
      <c r="I364" s="116">
        <v>407.1</v>
      </c>
      <c r="J364" s="116">
        <v>449.8</v>
      </c>
      <c r="K364" s="116">
        <v>308.8</v>
      </c>
      <c r="L364" s="116">
        <v>256.60000000000002</v>
      </c>
      <c r="M364" s="116">
        <v>249</v>
      </c>
      <c r="N364" s="67">
        <f t="shared" si="791"/>
        <v>4444.5</v>
      </c>
      <c r="O364" s="115">
        <f t="shared" ref="O364:O365" si="805">SUM(B364:M364)</f>
        <v>4108.6000000000004</v>
      </c>
      <c r="P364" s="128"/>
      <c r="Q364" s="123"/>
      <c r="R364" s="76"/>
      <c r="S364" s="61">
        <v>2018</v>
      </c>
      <c r="T364" s="35">
        <v>136</v>
      </c>
      <c r="U364" s="35">
        <v>136</v>
      </c>
      <c r="V364" s="35">
        <v>136</v>
      </c>
      <c r="W364" s="35">
        <v>136</v>
      </c>
      <c r="X364" s="35">
        <v>137</v>
      </c>
      <c r="Y364" s="35">
        <v>136</v>
      </c>
      <c r="Z364" s="35">
        <v>136</v>
      </c>
      <c r="AA364" s="35">
        <v>136</v>
      </c>
      <c r="AB364" s="35">
        <v>136</v>
      </c>
      <c r="AC364" s="35">
        <v>136</v>
      </c>
      <c r="AD364" s="35">
        <v>135</v>
      </c>
      <c r="AE364" s="35">
        <v>135</v>
      </c>
      <c r="AF364" s="8">
        <f t="shared" si="795"/>
        <v>135.75</v>
      </c>
      <c r="AG364" s="6">
        <f t="shared" si="793"/>
        <v>135.91666666666666</v>
      </c>
      <c r="AJ364" s="61">
        <v>2018</v>
      </c>
      <c r="AK364" s="9">
        <f t="shared" si="796"/>
        <v>2.1463235294117644</v>
      </c>
      <c r="AL364" s="9">
        <f t="shared" si="796"/>
        <v>2.1147058823529412</v>
      </c>
      <c r="AM364" s="9">
        <f t="shared" si="796"/>
        <v>1.8051470588235294</v>
      </c>
      <c r="AN364" s="9">
        <f t="shared" si="796"/>
        <v>1.9624999999999999</v>
      </c>
      <c r="AO364" s="9">
        <f t="shared" si="796"/>
        <v>2.3408759124087593</v>
      </c>
      <c r="AP364" s="9">
        <f t="shared" si="796"/>
        <v>3.4139705882352942</v>
      </c>
      <c r="AQ364" s="11">
        <f t="shared" si="803"/>
        <v>4.1205882352941172</v>
      </c>
      <c r="AR364" s="11">
        <f t="shared" si="803"/>
        <v>2.9933823529411767</v>
      </c>
      <c r="AS364" s="11">
        <f t="shared" si="803"/>
        <v>3.3073529411764708</v>
      </c>
      <c r="AT364" s="11">
        <f t="shared" si="803"/>
        <v>2.2705882352941176</v>
      </c>
      <c r="AU364" s="11">
        <f t="shared" si="803"/>
        <v>1.9007407407407408</v>
      </c>
      <c r="AV364" s="11">
        <f t="shared" si="803"/>
        <v>1.8444444444444446</v>
      </c>
      <c r="AW364" s="92">
        <f t="shared" si="804"/>
        <v>8.2739548038667649E-2</v>
      </c>
    </row>
    <row r="365" spans="1:49" x14ac:dyDescent="0.25">
      <c r="A365" s="3">
        <v>2017</v>
      </c>
      <c r="B365" s="129">
        <v>315</v>
      </c>
      <c r="C365" s="129">
        <v>304.39999999999998</v>
      </c>
      <c r="D365" s="129">
        <v>270.8</v>
      </c>
      <c r="E365" s="129">
        <v>337.5</v>
      </c>
      <c r="F365" s="129">
        <v>349.1</v>
      </c>
      <c r="G365" s="129">
        <v>500.2</v>
      </c>
      <c r="H365" s="116">
        <v>491.6</v>
      </c>
      <c r="I365" s="116">
        <v>570.79999999999995</v>
      </c>
      <c r="J365" s="116">
        <v>452.1</v>
      </c>
      <c r="K365" s="116">
        <v>413.9</v>
      </c>
      <c r="L365" s="116">
        <v>330.9</v>
      </c>
      <c r="M365" s="116">
        <v>308.3</v>
      </c>
      <c r="N365" s="67">
        <f>SUM(B365:G365)+SUM(H366:M366)</f>
        <v>4445.1000000000004</v>
      </c>
      <c r="O365" s="115">
        <f t="shared" si="805"/>
        <v>4644.5999999999995</v>
      </c>
      <c r="P365" s="128"/>
      <c r="Q365" s="123"/>
      <c r="R365" s="151"/>
      <c r="S365" s="3">
        <v>2017</v>
      </c>
      <c r="T365" s="82">
        <v>136</v>
      </c>
      <c r="U365" s="70">
        <v>136</v>
      </c>
      <c r="V365" s="70">
        <v>137</v>
      </c>
      <c r="W365" s="70">
        <v>137</v>
      </c>
      <c r="X365" s="70">
        <v>137</v>
      </c>
      <c r="Y365" s="70">
        <v>135</v>
      </c>
      <c r="Z365" s="70">
        <v>134</v>
      </c>
      <c r="AA365" s="70">
        <v>135</v>
      </c>
      <c r="AB365" s="70">
        <v>135</v>
      </c>
      <c r="AC365" s="70">
        <v>136</v>
      </c>
      <c r="AD365" s="70">
        <v>136</v>
      </c>
      <c r="AE365" s="70">
        <v>136</v>
      </c>
      <c r="AF365" s="8">
        <f>(SUM(T365:Y365)+SUM(Z366:AE366))/12</f>
        <v>135.33333333333334</v>
      </c>
      <c r="AG365" s="6">
        <f t="shared" si="793"/>
        <v>135.83333333333334</v>
      </c>
      <c r="AJ365" s="3">
        <v>2017</v>
      </c>
      <c r="AK365" s="9">
        <f t="shared" si="796"/>
        <v>2.3161764705882355</v>
      </c>
      <c r="AL365" s="9">
        <f t="shared" si="796"/>
        <v>2.2382352941176471</v>
      </c>
      <c r="AM365" s="9">
        <f t="shared" si="796"/>
        <v>1.9766423357664233</v>
      </c>
      <c r="AN365" s="9">
        <f t="shared" si="796"/>
        <v>2.4635036496350367</v>
      </c>
      <c r="AO365" s="9">
        <f t="shared" si="796"/>
        <v>2.548175182481752</v>
      </c>
      <c r="AP365" s="9">
        <f t="shared" si="796"/>
        <v>3.7051851851851851</v>
      </c>
      <c r="AQ365" s="11">
        <f t="shared" si="803"/>
        <v>3.6686567164179107</v>
      </c>
      <c r="AR365" s="11">
        <f t="shared" si="803"/>
        <v>4.228148148148148</v>
      </c>
      <c r="AS365" s="11">
        <f t="shared" si="803"/>
        <v>3.3488888888888892</v>
      </c>
      <c r="AT365" s="11">
        <f t="shared" si="803"/>
        <v>3.0433823529411761</v>
      </c>
      <c r="AU365" s="11">
        <f t="shared" si="803"/>
        <v>2.4330882352941177</v>
      </c>
      <c r="AV365" s="11">
        <f t="shared" si="803"/>
        <v>2.2669117647058825</v>
      </c>
      <c r="AW365" s="92">
        <f t="shared" si="804"/>
        <v>9.3735781585682146E-2</v>
      </c>
    </row>
    <row r="366" spans="1:49" x14ac:dyDescent="0.25">
      <c r="A366" s="3">
        <v>2016</v>
      </c>
      <c r="H366" s="66">
        <v>481.2</v>
      </c>
      <c r="I366" s="66">
        <v>461.9</v>
      </c>
      <c r="J366" s="66">
        <v>439.7</v>
      </c>
      <c r="K366" s="66">
        <v>331.8</v>
      </c>
      <c r="L366" s="66">
        <v>255.3</v>
      </c>
      <c r="M366" s="66">
        <v>398.2</v>
      </c>
      <c r="N366" s="68"/>
      <c r="O366" s="328">
        <f>AVERAGE(H366:M366)*12</f>
        <v>4736.2</v>
      </c>
      <c r="S366" s="3">
        <v>2016</v>
      </c>
      <c r="Y366" s="6">
        <v>108</v>
      </c>
      <c r="Z366" s="6">
        <v>134</v>
      </c>
      <c r="AA366" s="6">
        <v>135</v>
      </c>
      <c r="AB366" s="6">
        <v>135</v>
      </c>
      <c r="AC366" s="6">
        <v>135</v>
      </c>
      <c r="AD366" s="6">
        <v>133</v>
      </c>
      <c r="AE366" s="6">
        <v>134</v>
      </c>
      <c r="AG366" s="43">
        <f>SUM(T366:AE366)/7</f>
        <v>130.57142857142858</v>
      </c>
      <c r="AJ366" s="3">
        <v>2016</v>
      </c>
      <c r="AQ366" s="11">
        <f t="shared" si="803"/>
        <v>3.5910447761194031</v>
      </c>
      <c r="AR366" s="11">
        <f t="shared" si="803"/>
        <v>3.4214814814814813</v>
      </c>
      <c r="AS366" s="11">
        <f t="shared" si="803"/>
        <v>3.257037037037037</v>
      </c>
      <c r="AT366" s="11">
        <f t="shared" si="803"/>
        <v>2.4577777777777778</v>
      </c>
      <c r="AU366" s="11">
        <f t="shared" si="803"/>
        <v>1.9195488721804512</v>
      </c>
      <c r="AV366" s="11">
        <f t="shared" si="803"/>
        <v>2.9716417910447759</v>
      </c>
      <c r="AW366" s="92">
        <f t="shared" si="804"/>
        <v>4.8236910980536417E-2</v>
      </c>
    </row>
    <row r="367" spans="1:49" x14ac:dyDescent="0.25">
      <c r="A367" s="3">
        <v>2015</v>
      </c>
      <c r="S367" s="3">
        <v>2015</v>
      </c>
      <c r="AJ367" s="3">
        <v>2015</v>
      </c>
      <c r="AW367" s="81"/>
    </row>
    <row r="368" spans="1:49" x14ac:dyDescent="0.25">
      <c r="A368" s="3">
        <v>2014</v>
      </c>
      <c r="S368" s="3">
        <v>2014</v>
      </c>
      <c r="AJ368" s="3">
        <v>2014</v>
      </c>
      <c r="AW368" s="81"/>
    </row>
    <row r="369" spans="1:49" ht="15.75" thickBot="1" x14ac:dyDescent="0.3">
      <c r="N369" s="118"/>
      <c r="O369" s="118"/>
      <c r="AW369" s="81"/>
    </row>
    <row r="370" spans="1:49" ht="15.75" thickTop="1" x14ac:dyDescent="0.25">
      <c r="N370" s="97">
        <f>SUM(N362:N365)/4</f>
        <v>4492.7527499999997</v>
      </c>
      <c r="O370" s="97">
        <f>SUM(O362:O365)/4</f>
        <v>4708.1277499999997</v>
      </c>
      <c r="AV370" s="3" t="s">
        <v>66</v>
      </c>
      <c r="AW370" s="90">
        <f>SUM(AW362:AW365)/4</f>
        <v>8.47806752720172E-2</v>
      </c>
    </row>
    <row r="372" spans="1:49" ht="60" x14ac:dyDescent="0.25">
      <c r="A372" s="40" t="s">
        <v>140</v>
      </c>
      <c r="B372" s="111" t="s">
        <v>0</v>
      </c>
      <c r="C372" s="111" t="s">
        <v>1</v>
      </c>
      <c r="D372" s="111" t="s">
        <v>2</v>
      </c>
      <c r="E372" s="111" t="s">
        <v>3</v>
      </c>
      <c r="F372" s="111" t="s">
        <v>4</v>
      </c>
      <c r="G372" s="111" t="s">
        <v>5</v>
      </c>
      <c r="H372" s="111" t="s">
        <v>6</v>
      </c>
      <c r="I372" s="111" t="s">
        <v>7</v>
      </c>
      <c r="J372" s="111" t="s">
        <v>8</v>
      </c>
      <c r="K372" s="111" t="s">
        <v>9</v>
      </c>
      <c r="L372" s="111" t="s">
        <v>10</v>
      </c>
      <c r="M372" s="111" t="s">
        <v>11</v>
      </c>
      <c r="N372" s="111" t="s">
        <v>12</v>
      </c>
      <c r="O372" s="112" t="s">
        <v>77</v>
      </c>
      <c r="P372" s="139" t="s">
        <v>162</v>
      </c>
      <c r="Q372" s="130"/>
      <c r="R372" s="76"/>
      <c r="S372" s="75" t="s">
        <v>169</v>
      </c>
      <c r="T372" s="5" t="s">
        <v>0</v>
      </c>
      <c r="U372" s="5" t="s">
        <v>1</v>
      </c>
      <c r="V372" s="5" t="s">
        <v>2</v>
      </c>
      <c r="W372" s="5" t="s">
        <v>3</v>
      </c>
      <c r="X372" s="5" t="s">
        <v>4</v>
      </c>
      <c r="Y372" s="5" t="s">
        <v>5</v>
      </c>
      <c r="Z372" s="5" t="s">
        <v>6</v>
      </c>
      <c r="AA372" s="5" t="s">
        <v>7</v>
      </c>
      <c r="AB372" s="5" t="s">
        <v>8</v>
      </c>
      <c r="AC372" s="5" t="s">
        <v>9</v>
      </c>
      <c r="AD372" s="5" t="s">
        <v>10</v>
      </c>
      <c r="AE372" s="5" t="s">
        <v>11</v>
      </c>
      <c r="AF372" s="30" t="s">
        <v>164</v>
      </c>
      <c r="AG372" s="30" t="s">
        <v>167</v>
      </c>
      <c r="AH372" s="54"/>
      <c r="AJ372" s="75" t="s">
        <v>168</v>
      </c>
      <c r="AK372" s="53" t="s">
        <v>0</v>
      </c>
      <c r="AL372" s="53" t="s">
        <v>1</v>
      </c>
      <c r="AM372" s="53" t="s">
        <v>2</v>
      </c>
      <c r="AN372" s="53" t="s">
        <v>3</v>
      </c>
      <c r="AO372" s="53" t="s">
        <v>4</v>
      </c>
      <c r="AP372" s="53" t="s">
        <v>5</v>
      </c>
      <c r="AQ372" s="53" t="s">
        <v>6</v>
      </c>
      <c r="AR372" s="53" t="s">
        <v>7</v>
      </c>
      <c r="AS372" s="53" t="s">
        <v>8</v>
      </c>
      <c r="AT372" s="53" t="s">
        <v>9</v>
      </c>
      <c r="AU372" s="53" t="s">
        <v>10</v>
      </c>
      <c r="AV372" s="53" t="s">
        <v>11</v>
      </c>
      <c r="AW372" s="5" t="s">
        <v>49</v>
      </c>
    </row>
    <row r="373" spans="1:49" x14ac:dyDescent="0.25">
      <c r="A373" s="77">
        <v>2023</v>
      </c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2"/>
      <c r="Q373" s="130"/>
      <c r="R373" s="76"/>
      <c r="S373" s="77">
        <v>2023</v>
      </c>
      <c r="T373" s="172">
        <v>0</v>
      </c>
      <c r="U373" s="172">
        <v>0</v>
      </c>
      <c r="V373" s="172">
        <v>0</v>
      </c>
      <c r="W373" s="172">
        <v>0</v>
      </c>
      <c r="X373" s="172">
        <v>0</v>
      </c>
      <c r="Y373" s="172">
        <v>0</v>
      </c>
      <c r="Z373" s="172">
        <v>0</v>
      </c>
      <c r="AA373" s="172">
        <v>0</v>
      </c>
      <c r="AB373" s="172">
        <v>0</v>
      </c>
      <c r="AC373" s="172">
        <v>0</v>
      </c>
      <c r="AD373" s="172">
        <v>0</v>
      </c>
      <c r="AE373" s="172">
        <v>0</v>
      </c>
      <c r="AF373" s="30"/>
      <c r="AG373" s="83">
        <f>SUM(T373:AE373)/12</f>
        <v>0</v>
      </c>
      <c r="AH373" s="54"/>
      <c r="AJ373" s="77">
        <v>2023</v>
      </c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"/>
    </row>
    <row r="374" spans="1:49" x14ac:dyDescent="0.25">
      <c r="A374" s="61">
        <v>2022</v>
      </c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2"/>
      <c r="Q374" s="130"/>
      <c r="R374" s="76"/>
      <c r="S374" s="61">
        <v>2022</v>
      </c>
      <c r="T374" s="190">
        <v>123</v>
      </c>
      <c r="U374" s="190">
        <v>123</v>
      </c>
      <c r="V374" s="190">
        <v>123</v>
      </c>
      <c r="W374" s="190">
        <v>123</v>
      </c>
      <c r="X374" s="190">
        <v>123</v>
      </c>
      <c r="Y374" s="190">
        <v>123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8">
        <f t="shared" ref="AF374:AF376" si="806">(SUM(Z375:AE375)+SUM(T374:Y374))/12</f>
        <v>123</v>
      </c>
      <c r="AG374" s="83">
        <f t="shared" ref="AG374:AG384" si="807">SUM(T374:AE374)/12</f>
        <v>61.5</v>
      </c>
      <c r="AH374" s="54"/>
      <c r="AJ374" s="61">
        <v>2022</v>
      </c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"/>
    </row>
    <row r="375" spans="1:49" x14ac:dyDescent="0.25">
      <c r="A375" s="61">
        <v>2021</v>
      </c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2"/>
      <c r="Q375" s="130"/>
      <c r="R375" s="76"/>
      <c r="S375" s="61">
        <v>2021</v>
      </c>
      <c r="T375" s="190">
        <v>86</v>
      </c>
      <c r="U375" s="190">
        <v>86</v>
      </c>
      <c r="V375" s="190">
        <v>86</v>
      </c>
      <c r="W375" s="190">
        <v>123</v>
      </c>
      <c r="X375" s="190">
        <v>123</v>
      </c>
      <c r="Y375" s="190">
        <v>123</v>
      </c>
      <c r="Z375" s="190">
        <v>123</v>
      </c>
      <c r="AA375" s="190">
        <v>123</v>
      </c>
      <c r="AB375" s="190">
        <v>123</v>
      </c>
      <c r="AC375" s="190">
        <v>123</v>
      </c>
      <c r="AD375" s="190">
        <v>123</v>
      </c>
      <c r="AE375" s="190">
        <v>123</v>
      </c>
      <c r="AF375" s="8">
        <f t="shared" si="806"/>
        <v>95.583333333333329</v>
      </c>
      <c r="AG375" s="83">
        <f t="shared" si="807"/>
        <v>113.75</v>
      </c>
      <c r="AH375" s="54"/>
      <c r="AJ375" s="61">
        <v>2021</v>
      </c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"/>
    </row>
    <row r="376" spans="1:49" x14ac:dyDescent="0.25">
      <c r="A376" s="61">
        <v>2020</v>
      </c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2"/>
      <c r="Q376" s="130"/>
      <c r="R376" s="76"/>
      <c r="S376" s="61">
        <v>2020</v>
      </c>
      <c r="T376" s="190">
        <v>86</v>
      </c>
      <c r="U376" s="190">
        <v>86</v>
      </c>
      <c r="V376" s="190">
        <v>86</v>
      </c>
      <c r="W376" s="190">
        <v>86</v>
      </c>
      <c r="X376" s="190">
        <v>86</v>
      </c>
      <c r="Y376" s="190">
        <v>86</v>
      </c>
      <c r="Z376" s="190">
        <v>86</v>
      </c>
      <c r="AA376" s="190">
        <v>86</v>
      </c>
      <c r="AB376" s="190">
        <v>87</v>
      </c>
      <c r="AC376" s="190">
        <v>87</v>
      </c>
      <c r="AD376" s="190">
        <v>87</v>
      </c>
      <c r="AE376" s="190">
        <v>87</v>
      </c>
      <c r="AF376" s="8">
        <f t="shared" si="806"/>
        <v>86.333333333333329</v>
      </c>
      <c r="AG376" s="83">
        <f t="shared" si="807"/>
        <v>86.333333333333329</v>
      </c>
      <c r="AJ376" s="61">
        <v>2020</v>
      </c>
    </row>
    <row r="377" spans="1:49" x14ac:dyDescent="0.25">
      <c r="A377" s="61">
        <v>2019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  <c r="Q377" s="130"/>
      <c r="R377" s="76"/>
      <c r="S377" s="61">
        <v>2019</v>
      </c>
      <c r="T377" s="35">
        <v>87</v>
      </c>
      <c r="U377" s="35">
        <v>87</v>
      </c>
      <c r="V377" s="35">
        <v>88</v>
      </c>
      <c r="W377" s="35">
        <v>88</v>
      </c>
      <c r="X377" s="35">
        <v>88</v>
      </c>
      <c r="Y377" s="35">
        <v>88</v>
      </c>
      <c r="Z377" s="190">
        <v>87</v>
      </c>
      <c r="AA377" s="190">
        <v>87</v>
      </c>
      <c r="AB377" s="190">
        <v>87</v>
      </c>
      <c r="AC377" s="190">
        <v>86</v>
      </c>
      <c r="AD377" s="190">
        <v>86</v>
      </c>
      <c r="AE377" s="190">
        <v>87</v>
      </c>
      <c r="AF377" s="8">
        <f t="shared" ref="AF377:AF383" si="808">(SUM(Z378:AE378)+SUM(T377:Y377))/12</f>
        <v>87.75</v>
      </c>
      <c r="AG377" s="83">
        <f t="shared" si="807"/>
        <v>87.166666666666671</v>
      </c>
      <c r="AJ377" s="61">
        <v>2019</v>
      </c>
    </row>
    <row r="378" spans="1:49" x14ac:dyDescent="0.25">
      <c r="A378" s="61">
        <v>2018</v>
      </c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2"/>
      <c r="Q378" s="130"/>
      <c r="R378" s="76"/>
      <c r="S378" s="61">
        <v>2018</v>
      </c>
      <c r="T378" s="70">
        <v>86</v>
      </c>
      <c r="U378" s="70">
        <v>86</v>
      </c>
      <c r="V378" s="70">
        <v>86</v>
      </c>
      <c r="W378" s="70">
        <v>86</v>
      </c>
      <c r="X378" s="70">
        <v>86</v>
      </c>
      <c r="Y378" s="70">
        <v>87</v>
      </c>
      <c r="Z378" s="70">
        <v>87</v>
      </c>
      <c r="AA378" s="70">
        <v>88</v>
      </c>
      <c r="AB378" s="70">
        <v>88</v>
      </c>
      <c r="AC378" s="70">
        <v>88</v>
      </c>
      <c r="AD378" s="70">
        <v>88</v>
      </c>
      <c r="AE378" s="70">
        <v>88</v>
      </c>
      <c r="AF378" s="8">
        <f t="shared" si="808"/>
        <v>86.083333333333329</v>
      </c>
      <c r="AG378" s="83">
        <f t="shared" si="807"/>
        <v>87</v>
      </c>
      <c r="AJ378" s="61">
        <v>2018</v>
      </c>
    </row>
    <row r="379" spans="1:49" x14ac:dyDescent="0.25">
      <c r="A379" s="3">
        <v>2017</v>
      </c>
      <c r="S379" s="3">
        <v>2017</v>
      </c>
      <c r="T379" s="70">
        <v>87</v>
      </c>
      <c r="U379" s="70">
        <v>87</v>
      </c>
      <c r="V379" s="70">
        <v>87</v>
      </c>
      <c r="W379" s="70">
        <v>87</v>
      </c>
      <c r="X379" s="70">
        <v>87</v>
      </c>
      <c r="Y379" s="70">
        <v>87</v>
      </c>
      <c r="Z379" s="70">
        <v>86</v>
      </c>
      <c r="AA379" s="70">
        <v>86</v>
      </c>
      <c r="AB379" s="70">
        <v>86</v>
      </c>
      <c r="AC379" s="70">
        <v>86</v>
      </c>
      <c r="AD379" s="70">
        <v>86</v>
      </c>
      <c r="AE379" s="70">
        <v>86</v>
      </c>
      <c r="AF379" s="8">
        <f t="shared" si="808"/>
        <v>86.5</v>
      </c>
      <c r="AG379" s="83">
        <f t="shared" si="807"/>
        <v>86.5</v>
      </c>
      <c r="AJ379" s="3">
        <v>2017</v>
      </c>
    </row>
    <row r="380" spans="1:49" x14ac:dyDescent="0.25">
      <c r="A380" s="3">
        <v>2016</v>
      </c>
      <c r="S380" s="3">
        <v>2016</v>
      </c>
      <c r="T380" s="6">
        <v>86</v>
      </c>
      <c r="U380" s="6">
        <v>86</v>
      </c>
      <c r="V380" s="6">
        <v>85</v>
      </c>
      <c r="W380" s="6">
        <v>85</v>
      </c>
      <c r="X380" s="6">
        <v>86</v>
      </c>
      <c r="Y380" s="6">
        <v>86</v>
      </c>
      <c r="Z380" s="6">
        <v>86</v>
      </c>
      <c r="AA380" s="6">
        <v>86</v>
      </c>
      <c r="AB380" s="6">
        <v>86</v>
      </c>
      <c r="AC380" s="6">
        <v>86</v>
      </c>
      <c r="AD380" s="6">
        <v>86</v>
      </c>
      <c r="AE380" s="6">
        <v>86</v>
      </c>
      <c r="AF380" s="8">
        <f t="shared" si="808"/>
        <v>85.833333333333329</v>
      </c>
      <c r="AG380" s="83">
        <f t="shared" si="807"/>
        <v>85.833333333333329</v>
      </c>
      <c r="AJ380" s="3">
        <v>2016</v>
      </c>
    </row>
    <row r="381" spans="1:49" x14ac:dyDescent="0.25">
      <c r="A381" s="3">
        <v>2015</v>
      </c>
      <c r="S381" s="3">
        <v>2015</v>
      </c>
      <c r="T381" s="6">
        <v>86</v>
      </c>
      <c r="U381" s="6">
        <v>86</v>
      </c>
      <c r="V381" s="6">
        <v>86</v>
      </c>
      <c r="W381" s="6">
        <v>86</v>
      </c>
      <c r="X381" s="6">
        <v>86</v>
      </c>
      <c r="Y381" s="6">
        <v>86</v>
      </c>
      <c r="Z381" s="6">
        <v>86</v>
      </c>
      <c r="AA381" s="6">
        <v>86</v>
      </c>
      <c r="AB381" s="6">
        <v>86</v>
      </c>
      <c r="AC381" s="6">
        <v>86</v>
      </c>
      <c r="AD381" s="6">
        <v>86</v>
      </c>
      <c r="AE381" s="6">
        <v>86</v>
      </c>
      <c r="AF381" s="8">
        <f t="shared" si="808"/>
        <v>85.833333333333329</v>
      </c>
      <c r="AG381" s="83">
        <f t="shared" si="807"/>
        <v>86</v>
      </c>
      <c r="AJ381" s="3">
        <v>2015</v>
      </c>
    </row>
    <row r="382" spans="1:49" x14ac:dyDescent="0.25">
      <c r="A382" s="3">
        <v>2014</v>
      </c>
      <c r="S382" s="3">
        <v>2014</v>
      </c>
      <c r="T382" s="6">
        <v>87</v>
      </c>
      <c r="U382" s="6">
        <v>85</v>
      </c>
      <c r="V382" s="6">
        <v>85</v>
      </c>
      <c r="W382" s="6">
        <v>86</v>
      </c>
      <c r="X382" s="6">
        <v>86</v>
      </c>
      <c r="Y382" s="6">
        <v>86</v>
      </c>
      <c r="Z382" s="6">
        <v>86</v>
      </c>
      <c r="AA382" s="6">
        <v>85</v>
      </c>
      <c r="AB382" s="6">
        <v>85</v>
      </c>
      <c r="AC382" s="6">
        <v>86</v>
      </c>
      <c r="AD382" s="6">
        <v>86</v>
      </c>
      <c r="AE382" s="6">
        <v>86</v>
      </c>
      <c r="AF382" s="8">
        <f t="shared" si="808"/>
        <v>86.583333333333329</v>
      </c>
      <c r="AG382" s="83">
        <f t="shared" si="807"/>
        <v>85.75</v>
      </c>
      <c r="AJ382" s="3">
        <v>2014</v>
      </c>
    </row>
    <row r="383" spans="1:49" x14ac:dyDescent="0.25">
      <c r="A383" s="3">
        <v>2013</v>
      </c>
      <c r="S383" s="3">
        <v>2013</v>
      </c>
      <c r="T383" s="6">
        <v>87</v>
      </c>
      <c r="U383" s="6">
        <v>89</v>
      </c>
      <c r="V383" s="6">
        <v>87</v>
      </c>
      <c r="W383" s="6">
        <v>86</v>
      </c>
      <c r="X383" s="6">
        <v>87</v>
      </c>
      <c r="Y383" s="6">
        <v>87</v>
      </c>
      <c r="Z383" s="6">
        <v>89</v>
      </c>
      <c r="AA383" s="6">
        <v>87</v>
      </c>
      <c r="AB383" s="6">
        <v>87</v>
      </c>
      <c r="AC383" s="6">
        <v>87</v>
      </c>
      <c r="AD383" s="6">
        <v>87</v>
      </c>
      <c r="AE383" s="6">
        <v>87</v>
      </c>
      <c r="AF383" s="8">
        <f t="shared" si="808"/>
        <v>87.083333333333329</v>
      </c>
      <c r="AG383" s="83">
        <f t="shared" si="807"/>
        <v>87.25</v>
      </c>
      <c r="AJ383" s="3">
        <v>2013</v>
      </c>
    </row>
    <row r="384" spans="1:49" x14ac:dyDescent="0.25">
      <c r="A384" s="3">
        <v>2012</v>
      </c>
      <c r="S384" s="3">
        <v>2012</v>
      </c>
      <c r="T384" s="6">
        <v>87</v>
      </c>
      <c r="U384" s="6">
        <v>87</v>
      </c>
      <c r="V384" s="6">
        <v>87</v>
      </c>
      <c r="W384" s="6">
        <v>87</v>
      </c>
      <c r="X384" s="6">
        <v>87</v>
      </c>
      <c r="Y384" s="6">
        <v>87</v>
      </c>
      <c r="Z384" s="6">
        <v>87</v>
      </c>
      <c r="AA384" s="6">
        <v>87</v>
      </c>
      <c r="AB384" s="6">
        <v>87</v>
      </c>
      <c r="AC384" s="6">
        <v>87</v>
      </c>
      <c r="AD384" s="6">
        <v>87</v>
      </c>
      <c r="AE384" s="6">
        <v>87</v>
      </c>
      <c r="AF384" s="88">
        <f>(SUM(Z385:AE385)+SUM(T384:Y384))/12</f>
        <v>86.979166666666671</v>
      </c>
      <c r="AG384" s="83">
        <f t="shared" si="807"/>
        <v>87</v>
      </c>
      <c r="AJ384" s="3">
        <v>2012</v>
      </c>
    </row>
    <row r="385" spans="1:49" x14ac:dyDescent="0.25">
      <c r="A385" s="3">
        <v>2011</v>
      </c>
      <c r="S385" s="3">
        <v>2011</v>
      </c>
      <c r="T385" s="6"/>
      <c r="U385" s="6"/>
      <c r="V385" s="6"/>
      <c r="W385" s="6"/>
      <c r="X385" s="6"/>
      <c r="Y385" s="6"/>
      <c r="Z385" s="35">
        <f>SUM(Z377:Z384)/8</f>
        <v>86.75</v>
      </c>
      <c r="AA385" s="6">
        <v>87</v>
      </c>
      <c r="AB385" s="6">
        <v>87</v>
      </c>
      <c r="AC385" s="6">
        <v>87</v>
      </c>
      <c r="AD385" s="6">
        <v>87</v>
      </c>
      <c r="AE385" s="6">
        <v>87</v>
      </c>
      <c r="AG385" s="307">
        <f>SUM(T385:AE385)/6</f>
        <v>86.958333333333329</v>
      </c>
      <c r="AJ385" s="3">
        <v>2011</v>
      </c>
    </row>
    <row r="386" spans="1:49" x14ac:dyDescent="0.25">
      <c r="A386" s="3">
        <v>2010</v>
      </c>
      <c r="S386" s="3">
        <v>2010</v>
      </c>
      <c r="AJ386" s="3">
        <v>2010</v>
      </c>
    </row>
    <row r="387" spans="1:49" x14ac:dyDescent="0.25">
      <c r="A387" s="3">
        <v>2009</v>
      </c>
      <c r="S387" s="3">
        <v>2009</v>
      </c>
      <c r="AJ387" s="3">
        <v>2009</v>
      </c>
    </row>
    <row r="390" spans="1:49" ht="60" x14ac:dyDescent="0.25">
      <c r="A390" s="165" t="s">
        <v>31</v>
      </c>
      <c r="B390" s="111" t="s">
        <v>0</v>
      </c>
      <c r="C390" s="111" t="s">
        <v>1</v>
      </c>
      <c r="D390" s="111" t="s">
        <v>2</v>
      </c>
      <c r="E390" s="111" t="s">
        <v>3</v>
      </c>
      <c r="F390" s="111" t="s">
        <v>4</v>
      </c>
      <c r="G390" s="111" t="s">
        <v>5</v>
      </c>
      <c r="H390" s="111" t="s">
        <v>6</v>
      </c>
      <c r="I390" s="111" t="s">
        <v>7</v>
      </c>
      <c r="J390" s="111" t="s">
        <v>8</v>
      </c>
      <c r="K390" s="111" t="s">
        <v>9</v>
      </c>
      <c r="L390" s="111" t="s">
        <v>10</v>
      </c>
      <c r="M390" s="111" t="s">
        <v>11</v>
      </c>
      <c r="N390" s="112" t="s">
        <v>78</v>
      </c>
      <c r="O390" s="112" t="s">
        <v>77</v>
      </c>
      <c r="P390" s="139" t="s">
        <v>162</v>
      </c>
      <c r="Q390" s="140" t="s">
        <v>72</v>
      </c>
      <c r="R390" s="76"/>
      <c r="S390" s="165" t="s">
        <v>44</v>
      </c>
      <c r="T390" s="5" t="s">
        <v>0</v>
      </c>
      <c r="U390" s="5" t="s">
        <v>1</v>
      </c>
      <c r="V390" s="5" t="s">
        <v>2</v>
      </c>
      <c r="W390" s="5" t="s">
        <v>3</v>
      </c>
      <c r="X390" s="5" t="s">
        <v>4</v>
      </c>
      <c r="Y390" s="5" t="s">
        <v>5</v>
      </c>
      <c r="Z390" s="5" t="s">
        <v>6</v>
      </c>
      <c r="AA390" s="5" t="s">
        <v>7</v>
      </c>
      <c r="AB390" s="5" t="s">
        <v>8</v>
      </c>
      <c r="AC390" s="5" t="s">
        <v>9</v>
      </c>
      <c r="AD390" s="5" t="s">
        <v>10</v>
      </c>
      <c r="AE390" s="5" t="s">
        <v>11</v>
      </c>
      <c r="AF390" s="30" t="s">
        <v>164</v>
      </c>
      <c r="AG390" s="30" t="s">
        <v>167</v>
      </c>
      <c r="AJ390" s="165" t="s">
        <v>82</v>
      </c>
      <c r="AK390" s="53" t="s">
        <v>0</v>
      </c>
      <c r="AL390" s="53" t="s">
        <v>1</v>
      </c>
      <c r="AM390" s="53" t="s">
        <v>2</v>
      </c>
      <c r="AN390" s="53" t="s">
        <v>3</v>
      </c>
      <c r="AO390" s="53" t="s">
        <v>4</v>
      </c>
      <c r="AP390" s="53" t="s">
        <v>5</v>
      </c>
      <c r="AQ390" s="53" t="s">
        <v>6</v>
      </c>
      <c r="AR390" s="53" t="s">
        <v>7</v>
      </c>
      <c r="AS390" s="53" t="s">
        <v>8</v>
      </c>
      <c r="AT390" s="53" t="s">
        <v>9</v>
      </c>
      <c r="AU390" s="53" t="s">
        <v>10</v>
      </c>
      <c r="AV390" s="53" t="s">
        <v>11</v>
      </c>
      <c r="AW390" s="5" t="s">
        <v>49</v>
      </c>
    </row>
    <row r="391" spans="1:49" x14ac:dyDescent="0.25">
      <c r="A391" s="77">
        <v>2023</v>
      </c>
      <c r="B391" s="189">
        <v>563.9</v>
      </c>
      <c r="C391" s="189">
        <v>594</v>
      </c>
      <c r="D391" s="115">
        <v>0</v>
      </c>
      <c r="E391" s="115">
        <v>0</v>
      </c>
      <c r="F391" s="115">
        <v>0</v>
      </c>
      <c r="G391" s="115">
        <v>0</v>
      </c>
      <c r="H391" s="115">
        <v>0</v>
      </c>
      <c r="I391" s="115">
        <v>0</v>
      </c>
      <c r="J391" s="115">
        <v>0</v>
      </c>
      <c r="K391" s="115">
        <v>0</v>
      </c>
      <c r="L391" s="115">
        <v>0</v>
      </c>
      <c r="M391" s="115">
        <v>0</v>
      </c>
      <c r="N391" s="111"/>
      <c r="O391" s="112"/>
      <c r="P391" s="139"/>
      <c r="Q391" s="140"/>
      <c r="R391" s="76"/>
      <c r="S391" s="77">
        <v>2023</v>
      </c>
      <c r="T391" s="189">
        <v>194</v>
      </c>
      <c r="U391" s="172">
        <v>0</v>
      </c>
      <c r="V391" s="172">
        <v>0</v>
      </c>
      <c r="W391" s="172">
        <v>0</v>
      </c>
      <c r="X391" s="172">
        <v>0</v>
      </c>
      <c r="Y391" s="172">
        <v>0</v>
      </c>
      <c r="Z391" s="172">
        <v>0</v>
      </c>
      <c r="AA391" s="172">
        <v>0</v>
      </c>
      <c r="AB391" s="172">
        <v>0</v>
      </c>
      <c r="AC391" s="172">
        <v>0</v>
      </c>
      <c r="AD391" s="172">
        <v>0</v>
      </c>
      <c r="AE391" s="172">
        <v>0</v>
      </c>
      <c r="AF391" s="94">
        <f t="shared" ref="AF391:AF396" si="809">(SUM(Z392:AE392)+SUM(T391:Y391))/12</f>
        <v>108.08333333333333</v>
      </c>
      <c r="AG391" s="6">
        <f>SUM(T391:AE391)/12</f>
        <v>16.166666666666668</v>
      </c>
      <c r="AJ391" s="77">
        <v>2023</v>
      </c>
      <c r="AK391" s="84">
        <f t="shared" ref="AK391:AK396" si="810">B391/T391</f>
        <v>2.9067010309278349</v>
      </c>
      <c r="AL391" s="191">
        <v>0</v>
      </c>
      <c r="AM391" s="191">
        <v>0</v>
      </c>
      <c r="AN391" s="191">
        <v>0</v>
      </c>
      <c r="AO391" s="191">
        <v>0</v>
      </c>
      <c r="AP391" s="191">
        <v>0</v>
      </c>
      <c r="AQ391" s="191">
        <v>0</v>
      </c>
      <c r="AR391" s="191">
        <v>0</v>
      </c>
      <c r="AS391" s="191">
        <v>0</v>
      </c>
      <c r="AT391" s="191">
        <v>0</v>
      </c>
      <c r="AU391" s="191">
        <v>0</v>
      </c>
      <c r="AV391" s="191">
        <v>0</v>
      </c>
      <c r="AW391" s="91">
        <f>(SUM(AQ391:AV391)+SUM(AK391:AP391))/365.25</f>
        <v>7.9581137054834626E-3</v>
      </c>
    </row>
    <row r="392" spans="1:49" x14ac:dyDescent="0.25">
      <c r="A392" s="61">
        <v>2022</v>
      </c>
      <c r="B392" s="190">
        <v>516.70000000000005</v>
      </c>
      <c r="C392" s="190">
        <v>523.6</v>
      </c>
      <c r="D392" s="190">
        <v>537.1</v>
      </c>
      <c r="E392" s="190">
        <v>648.6</v>
      </c>
      <c r="F392" s="190">
        <v>604.1</v>
      </c>
      <c r="G392" s="190">
        <v>682.4</v>
      </c>
      <c r="H392" s="190">
        <v>1143</v>
      </c>
      <c r="I392" s="190">
        <v>891.3</v>
      </c>
      <c r="J392" s="190">
        <v>987.1</v>
      </c>
      <c r="K392" s="190">
        <v>730.2</v>
      </c>
      <c r="L392" s="190">
        <v>667.1</v>
      </c>
      <c r="M392" s="190">
        <v>754.5</v>
      </c>
      <c r="N392" s="115">
        <f t="shared" ref="N392:N393" si="811">SUM(B392:G392)+SUM(H393:M393)</f>
        <v>7788.1</v>
      </c>
      <c r="O392" s="115">
        <f t="shared" ref="O392:O394" si="812">SUM(B392:M392)</f>
        <v>8685.7000000000007</v>
      </c>
      <c r="P392" s="139"/>
      <c r="Q392" s="140"/>
      <c r="R392" s="76"/>
      <c r="S392" s="61">
        <v>2022</v>
      </c>
      <c r="T392" s="190">
        <v>164</v>
      </c>
      <c r="U392" s="190">
        <v>168</v>
      </c>
      <c r="V392" s="190">
        <v>170</v>
      </c>
      <c r="W392" s="190">
        <v>175</v>
      </c>
      <c r="X392" s="190">
        <v>174</v>
      </c>
      <c r="Y392" s="190">
        <v>177</v>
      </c>
      <c r="Z392" s="190">
        <v>181</v>
      </c>
      <c r="AA392" s="190">
        <v>181</v>
      </c>
      <c r="AB392" s="190">
        <v>183</v>
      </c>
      <c r="AC392" s="190">
        <v>183</v>
      </c>
      <c r="AD392" s="190">
        <v>186</v>
      </c>
      <c r="AE392" s="190">
        <v>189</v>
      </c>
      <c r="AF392" s="94">
        <f t="shared" si="809"/>
        <v>164.08333333333334</v>
      </c>
      <c r="AG392" s="6">
        <f t="shared" ref="AG392:AG397" si="813">SUM(T392:AE392)/12</f>
        <v>177.58333333333334</v>
      </c>
      <c r="AJ392" s="61">
        <v>2022</v>
      </c>
      <c r="AK392" s="84">
        <f t="shared" si="810"/>
        <v>3.1506097560975612</v>
      </c>
      <c r="AL392" s="84">
        <f t="shared" ref="AL392" si="814">C392/U392</f>
        <v>3.1166666666666667</v>
      </c>
      <c r="AM392" s="84">
        <f t="shared" ref="AM392" si="815">D392/V392</f>
        <v>3.1594117647058826</v>
      </c>
      <c r="AN392" s="84">
        <f t="shared" ref="AN392" si="816">E392/W392</f>
        <v>3.7062857142857144</v>
      </c>
      <c r="AO392" s="84">
        <f t="shared" ref="AO392" si="817">F392/X392</f>
        <v>3.4718390804597701</v>
      </c>
      <c r="AP392" s="84">
        <f t="shared" ref="AP392" si="818">G392/Y392</f>
        <v>3.855367231638418</v>
      </c>
      <c r="AQ392" s="84">
        <f t="shared" ref="AQ392" si="819">H392/Z392</f>
        <v>6.3149171270718236</v>
      </c>
      <c r="AR392" s="84">
        <f t="shared" ref="AR392" si="820">I392/AA392</f>
        <v>4.9243093922651928</v>
      </c>
      <c r="AS392" s="84">
        <f t="shared" ref="AS392" si="821">J392/AB392</f>
        <v>5.3939890710382512</v>
      </c>
      <c r="AT392" s="84">
        <f t="shared" ref="AT392" si="822">K392/AC392</f>
        <v>3.9901639344262296</v>
      </c>
      <c r="AU392" s="84">
        <f t="shared" ref="AU392" si="823">L392/AD392</f>
        <v>3.5865591397849466</v>
      </c>
      <c r="AV392" s="84">
        <f t="shared" ref="AV392" si="824">M392/AE392</f>
        <v>3.9920634920634921</v>
      </c>
      <c r="AW392" s="91">
        <f>(SUM(AQ392:AV392)+SUM(AK392:AP392))/365.25</f>
        <v>0.13322979430665011</v>
      </c>
    </row>
    <row r="393" spans="1:49" x14ac:dyDescent="0.25">
      <c r="A393" s="61">
        <v>2021</v>
      </c>
      <c r="B393" s="190">
        <v>538.20000000000005</v>
      </c>
      <c r="C393" s="190">
        <v>575.79999999999995</v>
      </c>
      <c r="D393" s="190">
        <v>548.1</v>
      </c>
      <c r="E393" s="190">
        <v>598.70000000000005</v>
      </c>
      <c r="F393" s="190">
        <v>561.70000000000005</v>
      </c>
      <c r="G393" s="190">
        <v>676.5</v>
      </c>
      <c r="H393" s="190">
        <v>808.6</v>
      </c>
      <c r="I393" s="190">
        <v>774.8</v>
      </c>
      <c r="J393" s="190">
        <v>862.2</v>
      </c>
      <c r="K393" s="190">
        <v>644.9</v>
      </c>
      <c r="L393" s="190">
        <v>582.20000000000005</v>
      </c>
      <c r="M393" s="190">
        <v>602.9</v>
      </c>
      <c r="N393" s="115">
        <f t="shared" si="811"/>
        <v>7727</v>
      </c>
      <c r="O393" s="115">
        <f t="shared" si="812"/>
        <v>7774.5999999999995</v>
      </c>
      <c r="P393" s="139"/>
      <c r="Q393" s="140"/>
      <c r="R393" s="76"/>
      <c r="S393" s="61">
        <v>2021</v>
      </c>
      <c r="T393" s="190">
        <v>156</v>
      </c>
      <c r="U393" s="190">
        <v>156</v>
      </c>
      <c r="V393" s="190">
        <v>156</v>
      </c>
      <c r="W393" s="190">
        <v>155</v>
      </c>
      <c r="X393" s="190">
        <v>155</v>
      </c>
      <c r="Y393" s="190">
        <v>155</v>
      </c>
      <c r="Z393" s="190">
        <v>156</v>
      </c>
      <c r="AA393" s="190">
        <v>156</v>
      </c>
      <c r="AB393" s="190">
        <v>156</v>
      </c>
      <c r="AC393" s="190">
        <v>156</v>
      </c>
      <c r="AD393" s="190">
        <v>156</v>
      </c>
      <c r="AE393" s="190">
        <v>161</v>
      </c>
      <c r="AF393" s="94">
        <f t="shared" si="809"/>
        <v>153.33333333333334</v>
      </c>
      <c r="AG393" s="6">
        <f t="shared" si="813"/>
        <v>156.16666666666666</v>
      </c>
      <c r="AJ393" s="61">
        <v>2021</v>
      </c>
      <c r="AK393" s="84">
        <f t="shared" si="810"/>
        <v>3.45</v>
      </c>
      <c r="AL393" s="84">
        <f t="shared" ref="AL393" si="825">C393/U393</f>
        <v>3.6910256410256408</v>
      </c>
      <c r="AM393" s="84">
        <f t="shared" ref="AM393" si="826">D393/V393</f>
        <v>3.5134615384615384</v>
      </c>
      <c r="AN393" s="84">
        <f t="shared" ref="AN393" si="827">E393/W393</f>
        <v>3.8625806451612905</v>
      </c>
      <c r="AO393" s="84">
        <f t="shared" ref="AO393" si="828">F393/X393</f>
        <v>3.6238709677419356</v>
      </c>
      <c r="AP393" s="84">
        <f t="shared" ref="AP393" si="829">G393/Y393</f>
        <v>4.3645161290322578</v>
      </c>
      <c r="AQ393" s="84">
        <f t="shared" ref="AQ393" si="830">H393/Z393</f>
        <v>5.1833333333333336</v>
      </c>
      <c r="AR393" s="84">
        <f t="shared" ref="AR393" si="831">I393/AA393</f>
        <v>4.9666666666666668</v>
      </c>
      <c r="AS393" s="84">
        <f t="shared" ref="AS393" si="832">J393/AB393</f>
        <v>5.5269230769230768</v>
      </c>
      <c r="AT393" s="84">
        <f t="shared" ref="AT393" si="833">K393/AC393</f>
        <v>4.1339743589743589</v>
      </c>
      <c r="AU393" s="84">
        <f t="shared" ref="AU393" si="834">L393/AD393</f>
        <v>3.7320512820512826</v>
      </c>
      <c r="AV393" s="84">
        <f t="shared" ref="AV393" si="835">M393/AE393</f>
        <v>3.7447204968944097</v>
      </c>
      <c r="AW393" s="91">
        <f t="shared" ref="AW393:AW396" si="836">(SUM(AQ393:AV393)+SUM(AK393:AP393))/365.25</f>
        <v>0.13632614411024171</v>
      </c>
    </row>
    <row r="394" spans="1:49" x14ac:dyDescent="0.25">
      <c r="A394" s="61">
        <v>2020</v>
      </c>
      <c r="B394" s="190">
        <v>341.6</v>
      </c>
      <c r="C394" s="190">
        <v>481.1</v>
      </c>
      <c r="D394" s="190">
        <v>259.7</v>
      </c>
      <c r="E394" s="190">
        <v>441.7</v>
      </c>
      <c r="F394" s="190">
        <v>691.3</v>
      </c>
      <c r="G394" s="190">
        <v>665</v>
      </c>
      <c r="H394" s="190">
        <v>683.9</v>
      </c>
      <c r="I394" s="190">
        <v>891.9</v>
      </c>
      <c r="J394" s="190">
        <v>715</v>
      </c>
      <c r="K394" s="190">
        <v>677.9</v>
      </c>
      <c r="L394" s="190">
        <v>657.9</v>
      </c>
      <c r="M394" s="190">
        <v>601.4</v>
      </c>
      <c r="N394" s="115">
        <f>SUM(B394:G394)+SUM(H395:M395)</f>
        <v>5679.3</v>
      </c>
      <c r="O394" s="115">
        <f t="shared" si="812"/>
        <v>7108.3999999999987</v>
      </c>
      <c r="P394" s="144"/>
      <c r="Q394" s="144"/>
      <c r="R394" s="76"/>
      <c r="S394" s="61">
        <v>2020</v>
      </c>
      <c r="T394" s="190">
        <v>124</v>
      </c>
      <c r="U394" s="190">
        <v>129</v>
      </c>
      <c r="V394" s="190">
        <v>131</v>
      </c>
      <c r="W394" s="190">
        <v>134</v>
      </c>
      <c r="X394" s="190">
        <v>134</v>
      </c>
      <c r="Y394" s="190">
        <v>138</v>
      </c>
      <c r="Z394" s="190">
        <v>146</v>
      </c>
      <c r="AA394" s="190">
        <v>148</v>
      </c>
      <c r="AB394" s="190">
        <v>149</v>
      </c>
      <c r="AC394" s="190">
        <v>153</v>
      </c>
      <c r="AD394" s="190">
        <v>155</v>
      </c>
      <c r="AE394" s="190">
        <v>156</v>
      </c>
      <c r="AF394" s="94">
        <f t="shared" si="809"/>
        <v>124.91666666666667</v>
      </c>
      <c r="AG394" s="6">
        <f t="shared" si="813"/>
        <v>141.41666666666666</v>
      </c>
      <c r="AJ394" s="61">
        <v>2020</v>
      </c>
      <c r="AK394" s="84">
        <f t="shared" si="810"/>
        <v>2.7548387096774194</v>
      </c>
      <c r="AL394" s="84">
        <f t="shared" ref="AL394:AP396" si="837">C394/U394</f>
        <v>3.7294573643410853</v>
      </c>
      <c r="AM394" s="98">
        <f t="shared" si="837"/>
        <v>1.9824427480916029</v>
      </c>
      <c r="AN394" s="98">
        <f t="shared" si="837"/>
        <v>3.2962686567164177</v>
      </c>
      <c r="AO394" s="98">
        <f t="shared" si="837"/>
        <v>5.1589552238805965</v>
      </c>
      <c r="AP394" s="98">
        <f t="shared" si="837"/>
        <v>4.8188405797101446</v>
      </c>
      <c r="AQ394" s="98">
        <f t="shared" ref="AQ394" si="838">H394/Z394</f>
        <v>4.684246575342466</v>
      </c>
      <c r="AR394" s="98">
        <f t="shared" ref="AR394" si="839">I394/AA394</f>
        <v>6.0263513513513516</v>
      </c>
      <c r="AS394" s="98">
        <f t="shared" ref="AS394" si="840">J394/AB394</f>
        <v>4.798657718120805</v>
      </c>
      <c r="AT394" s="98">
        <f t="shared" ref="AT394" si="841">K394/AC394</f>
        <v>4.4307189542483663</v>
      </c>
      <c r="AU394" s="98">
        <f t="shared" ref="AU394" si="842">L394/AD394</f>
        <v>4.2445161290322577</v>
      </c>
      <c r="AV394" s="98">
        <f t="shared" ref="AV394" si="843">M394/AE394</f>
        <v>3.8551282051282052</v>
      </c>
      <c r="AW394" s="91">
        <f t="shared" si="836"/>
        <v>0.1362913681468603</v>
      </c>
    </row>
    <row r="395" spans="1:49" x14ac:dyDescent="0.25">
      <c r="A395" s="61">
        <v>2019</v>
      </c>
      <c r="B395" s="125">
        <v>359</v>
      </c>
      <c r="C395" s="125">
        <v>339</v>
      </c>
      <c r="D395" s="125">
        <v>278</v>
      </c>
      <c r="E395" s="125">
        <v>242</v>
      </c>
      <c r="F395" s="125">
        <v>380</v>
      </c>
      <c r="G395" s="125">
        <v>361</v>
      </c>
      <c r="H395" s="190">
        <v>376.3</v>
      </c>
      <c r="I395" s="190">
        <v>613.20000000000005</v>
      </c>
      <c r="J395" s="190">
        <v>472.1</v>
      </c>
      <c r="K395" s="190">
        <v>474.6</v>
      </c>
      <c r="L395" s="190">
        <v>474.8</v>
      </c>
      <c r="M395" s="190">
        <v>387.9</v>
      </c>
      <c r="N395" s="115">
        <f>SUM(B395:G395)+SUM(H396:M396)</f>
        <v>5014.2</v>
      </c>
      <c r="O395" s="115">
        <f>SUM(B395:M395)</f>
        <v>4757.8999999999996</v>
      </c>
      <c r="P395" s="144"/>
      <c r="Q395" s="144"/>
      <c r="R395" s="157"/>
      <c r="S395" s="61">
        <v>2019</v>
      </c>
      <c r="T395" s="35">
        <v>118</v>
      </c>
      <c r="U395" s="35">
        <v>118</v>
      </c>
      <c r="V395" s="35">
        <v>117</v>
      </c>
      <c r="W395" s="35">
        <v>117</v>
      </c>
      <c r="X395" s="35">
        <v>117</v>
      </c>
      <c r="Y395" s="35">
        <v>117</v>
      </c>
      <c r="Z395" s="35">
        <v>117</v>
      </c>
      <c r="AA395" s="35">
        <v>117</v>
      </c>
      <c r="AB395" s="35">
        <v>118</v>
      </c>
      <c r="AC395" s="35">
        <v>118</v>
      </c>
      <c r="AD395" s="35">
        <v>119</v>
      </c>
      <c r="AE395" s="35">
        <v>120</v>
      </c>
      <c r="AF395" s="1">
        <f t="shared" si="809"/>
        <v>115.25</v>
      </c>
      <c r="AG395" s="6">
        <f t="shared" si="813"/>
        <v>117.75</v>
      </c>
      <c r="AJ395" s="61">
        <v>2019</v>
      </c>
      <c r="AK395" s="84">
        <f t="shared" si="810"/>
        <v>3.0423728813559321</v>
      </c>
      <c r="AL395" s="84">
        <f t="shared" si="837"/>
        <v>2.8728813559322033</v>
      </c>
      <c r="AM395" s="84">
        <f t="shared" si="837"/>
        <v>2.3760683760683761</v>
      </c>
      <c r="AN395" s="84">
        <f t="shared" si="837"/>
        <v>2.0683760683760686</v>
      </c>
      <c r="AO395" s="84">
        <f t="shared" si="837"/>
        <v>3.2478632478632479</v>
      </c>
      <c r="AP395" s="84">
        <f t="shared" si="837"/>
        <v>3.0854700854700856</v>
      </c>
      <c r="AQ395" s="84">
        <f t="shared" ref="AQ395:AV396" si="844">H395/Z395</f>
        <v>3.2162393162393164</v>
      </c>
      <c r="AR395" s="84">
        <f t="shared" si="844"/>
        <v>5.2410256410256411</v>
      </c>
      <c r="AS395" s="84">
        <f t="shared" si="844"/>
        <v>4.0008474576271187</v>
      </c>
      <c r="AT395" s="84">
        <f t="shared" si="844"/>
        <v>4.022033898305085</v>
      </c>
      <c r="AU395" s="84">
        <f t="shared" si="844"/>
        <v>3.9899159663865547</v>
      </c>
      <c r="AV395" s="84">
        <f t="shared" si="844"/>
        <v>3.2324999999999999</v>
      </c>
      <c r="AW395" s="91">
        <f t="shared" si="836"/>
        <v>0.1105971096362755</v>
      </c>
    </row>
    <row r="396" spans="1:49" x14ac:dyDescent="0.25">
      <c r="A396" s="61">
        <v>2018</v>
      </c>
      <c r="B396" s="111"/>
      <c r="C396" s="111"/>
      <c r="D396" s="111"/>
      <c r="E396" s="111"/>
      <c r="F396" s="111"/>
      <c r="G396" s="111"/>
      <c r="H396" s="116">
        <v>2.2000000000000002</v>
      </c>
      <c r="I396" s="116">
        <v>1134</v>
      </c>
      <c r="J396" s="116">
        <v>771</v>
      </c>
      <c r="K396" s="116">
        <v>478</v>
      </c>
      <c r="L396" s="116">
        <v>392</v>
      </c>
      <c r="M396" s="116">
        <v>278</v>
      </c>
      <c r="N396" s="115">
        <f>SUM(B396:G396)+SUM(H397:M397)</f>
        <v>0</v>
      </c>
      <c r="O396" s="328">
        <f>AVERAGE(H396:M396)*12</f>
        <v>6110.4</v>
      </c>
      <c r="P396" s="144"/>
      <c r="Q396" s="144"/>
      <c r="R396" s="76"/>
      <c r="S396" s="61">
        <v>2018</v>
      </c>
      <c r="T396" s="35">
        <v>75</v>
      </c>
      <c r="U396" s="35">
        <v>75</v>
      </c>
      <c r="V396" s="35">
        <v>75</v>
      </c>
      <c r="W396" s="35">
        <v>92</v>
      </c>
      <c r="X396" s="35">
        <v>102</v>
      </c>
      <c r="Y396" s="35">
        <v>103</v>
      </c>
      <c r="Z396" s="35">
        <v>103</v>
      </c>
      <c r="AA396" s="35">
        <v>108</v>
      </c>
      <c r="AB396" s="35">
        <v>114</v>
      </c>
      <c r="AC396" s="35">
        <v>118</v>
      </c>
      <c r="AD396" s="35">
        <v>118</v>
      </c>
      <c r="AE396" s="35">
        <v>118</v>
      </c>
      <c r="AF396" s="1">
        <f t="shared" si="809"/>
        <v>79.666666666666671</v>
      </c>
      <c r="AG396" s="6">
        <f t="shared" si="813"/>
        <v>100.08333333333333</v>
      </c>
      <c r="AJ396" s="61">
        <v>2018</v>
      </c>
      <c r="AK396" s="84">
        <f t="shared" si="810"/>
        <v>0</v>
      </c>
      <c r="AL396" s="84">
        <f t="shared" si="837"/>
        <v>0</v>
      </c>
      <c r="AM396" s="84">
        <f t="shared" si="837"/>
        <v>0</v>
      </c>
      <c r="AN396" s="84">
        <f t="shared" si="837"/>
        <v>0</v>
      </c>
      <c r="AO396" s="84">
        <f t="shared" si="837"/>
        <v>0</v>
      </c>
      <c r="AP396" s="84">
        <f t="shared" si="837"/>
        <v>0</v>
      </c>
      <c r="AQ396" s="84">
        <f t="shared" si="844"/>
        <v>2.1359223300970877E-2</v>
      </c>
      <c r="AR396" s="84">
        <f t="shared" si="844"/>
        <v>10.5</v>
      </c>
      <c r="AS396" s="84">
        <f t="shared" si="844"/>
        <v>6.7631578947368425</v>
      </c>
      <c r="AT396" s="84">
        <f t="shared" si="844"/>
        <v>4.0508474576271185</v>
      </c>
      <c r="AU396" s="84">
        <f t="shared" si="844"/>
        <v>3.3220338983050848</v>
      </c>
      <c r="AV396" s="84">
        <f t="shared" si="844"/>
        <v>2.3559322033898304</v>
      </c>
      <c r="AW396" s="91">
        <f t="shared" si="836"/>
        <v>7.395846865806939E-2</v>
      </c>
    </row>
    <row r="397" spans="1:49" x14ac:dyDescent="0.25">
      <c r="A397" s="3">
        <v>2017</v>
      </c>
      <c r="P397" s="144"/>
      <c r="Q397" s="145"/>
      <c r="S397" s="3">
        <v>2017</v>
      </c>
      <c r="T397" s="70">
        <v>73</v>
      </c>
      <c r="U397" s="70">
        <v>73</v>
      </c>
      <c r="V397" s="70">
        <v>73</v>
      </c>
      <c r="W397" s="70">
        <v>73</v>
      </c>
      <c r="X397" s="70">
        <v>73</v>
      </c>
      <c r="Y397" s="70">
        <v>73</v>
      </c>
      <c r="Z397" s="70">
        <v>73</v>
      </c>
      <c r="AA397" s="70">
        <v>72</v>
      </c>
      <c r="AB397" s="70">
        <v>71</v>
      </c>
      <c r="AC397" s="70">
        <v>72</v>
      </c>
      <c r="AD397" s="70">
        <v>73</v>
      </c>
      <c r="AE397" s="70">
        <v>73</v>
      </c>
      <c r="AF397" s="1">
        <f>(SUM(Z398:AE398)+SUM(T397:Y397))/12</f>
        <v>72</v>
      </c>
      <c r="AG397" s="6">
        <f t="shared" si="813"/>
        <v>72.666666666666671</v>
      </c>
      <c r="AJ397" s="3">
        <v>2017</v>
      </c>
    </row>
    <row r="398" spans="1:49" x14ac:dyDescent="0.25">
      <c r="A398" s="3">
        <v>2016</v>
      </c>
      <c r="P398" s="144"/>
      <c r="Q398" s="145"/>
      <c r="S398" s="3">
        <v>2016</v>
      </c>
      <c r="U398" s="6">
        <v>69</v>
      </c>
      <c r="V398" s="6">
        <v>68</v>
      </c>
      <c r="W398" s="6">
        <v>70</v>
      </c>
      <c r="X398" s="6">
        <v>70</v>
      </c>
      <c r="Y398" s="6">
        <v>70</v>
      </c>
      <c r="Z398" s="6">
        <v>70</v>
      </c>
      <c r="AA398" s="6">
        <v>70</v>
      </c>
      <c r="AB398" s="6">
        <v>71</v>
      </c>
      <c r="AC398" s="6">
        <v>71</v>
      </c>
      <c r="AD398" s="6">
        <v>72</v>
      </c>
      <c r="AE398" s="6">
        <v>72</v>
      </c>
      <c r="AG398" s="43">
        <f>SUM(T398:AE398)/11</f>
        <v>70.272727272727266</v>
      </c>
      <c r="AJ398" s="3">
        <v>2016</v>
      </c>
      <c r="AV398" s="3" t="s">
        <v>47</v>
      </c>
      <c r="AW398" s="306">
        <f>SUM(AW391:AW396)/5</f>
        <v>0.1196721997127161</v>
      </c>
    </row>
    <row r="399" spans="1:49" x14ac:dyDescent="0.25">
      <c r="A399" s="3">
        <v>2015</v>
      </c>
      <c r="P399" s="144"/>
      <c r="Q399" s="145"/>
      <c r="S399" s="3">
        <v>2015</v>
      </c>
      <c r="AJ399" s="3">
        <v>2015</v>
      </c>
    </row>
    <row r="400" spans="1:49" x14ac:dyDescent="0.25">
      <c r="A400" s="3">
        <v>2014</v>
      </c>
      <c r="P400" s="144"/>
      <c r="Q400" s="145"/>
      <c r="S400" s="3">
        <v>2014</v>
      </c>
      <c r="AJ400" s="3">
        <v>2014</v>
      </c>
    </row>
    <row r="401" spans="1:49" x14ac:dyDescent="0.25">
      <c r="P401" s="144"/>
      <c r="Q401" s="145"/>
    </row>
    <row r="402" spans="1:49" x14ac:dyDescent="0.25">
      <c r="P402" s="144"/>
      <c r="Q402" s="145"/>
    </row>
    <row r="403" spans="1:49" ht="60" x14ac:dyDescent="0.25">
      <c r="A403" s="165" t="s">
        <v>29</v>
      </c>
      <c r="B403" s="111" t="s">
        <v>0</v>
      </c>
      <c r="C403" s="111" t="s">
        <v>1</v>
      </c>
      <c r="D403" s="111" t="s">
        <v>2</v>
      </c>
      <c r="E403" s="111" t="s">
        <v>3</v>
      </c>
      <c r="F403" s="111" t="s">
        <v>4</v>
      </c>
      <c r="G403" s="111" t="s">
        <v>5</v>
      </c>
      <c r="H403" s="111" t="s">
        <v>6</v>
      </c>
      <c r="I403" s="111" t="s">
        <v>7</v>
      </c>
      <c r="J403" s="111" t="s">
        <v>8</v>
      </c>
      <c r="K403" s="111" t="s">
        <v>9</v>
      </c>
      <c r="L403" s="111" t="s">
        <v>10</v>
      </c>
      <c r="M403" s="111" t="s">
        <v>11</v>
      </c>
      <c r="N403" s="112" t="s">
        <v>78</v>
      </c>
      <c r="O403" s="112" t="s">
        <v>77</v>
      </c>
      <c r="P403" s="139" t="s">
        <v>162</v>
      </c>
      <c r="Q403" s="140" t="s">
        <v>72</v>
      </c>
      <c r="R403" s="76"/>
      <c r="S403" s="165" t="s">
        <v>42</v>
      </c>
      <c r="T403" s="5" t="s">
        <v>0</v>
      </c>
      <c r="U403" s="5" t="s">
        <v>1</v>
      </c>
      <c r="V403" s="5" t="s">
        <v>2</v>
      </c>
      <c r="W403" s="5" t="s">
        <v>3</v>
      </c>
      <c r="X403" s="5" t="s">
        <v>4</v>
      </c>
      <c r="Y403" s="5" t="s">
        <v>5</v>
      </c>
      <c r="Z403" s="5" t="s">
        <v>6</v>
      </c>
      <c r="AA403" s="5" t="s">
        <v>7</v>
      </c>
      <c r="AB403" s="5" t="s">
        <v>8</v>
      </c>
      <c r="AC403" s="5" t="s">
        <v>9</v>
      </c>
      <c r="AD403" s="5" t="s">
        <v>10</v>
      </c>
      <c r="AE403" s="5" t="s">
        <v>11</v>
      </c>
      <c r="AF403" s="30" t="s">
        <v>164</v>
      </c>
      <c r="AG403" s="30" t="s">
        <v>167</v>
      </c>
      <c r="AH403" s="54"/>
      <c r="AJ403" s="165" t="s">
        <v>83</v>
      </c>
      <c r="AK403" s="53" t="s">
        <v>0</v>
      </c>
      <c r="AL403" s="53" t="s">
        <v>1</v>
      </c>
      <c r="AM403" s="53" t="s">
        <v>2</v>
      </c>
      <c r="AN403" s="53" t="s">
        <v>3</v>
      </c>
      <c r="AO403" s="53" t="s">
        <v>4</v>
      </c>
      <c r="AP403" s="53" t="s">
        <v>5</v>
      </c>
      <c r="AQ403" s="53" t="s">
        <v>6</v>
      </c>
      <c r="AR403" s="53" t="s">
        <v>7</v>
      </c>
      <c r="AS403" s="53" t="s">
        <v>8</v>
      </c>
      <c r="AT403" s="53" t="s">
        <v>9</v>
      </c>
      <c r="AU403" s="53" t="s">
        <v>10</v>
      </c>
      <c r="AV403" s="53" t="s">
        <v>11</v>
      </c>
      <c r="AW403" s="5" t="s">
        <v>49</v>
      </c>
    </row>
    <row r="404" spans="1:49" x14ac:dyDescent="0.25">
      <c r="A404" s="77">
        <v>2023</v>
      </c>
      <c r="B404" s="189">
        <v>682.5</v>
      </c>
      <c r="C404" s="189">
        <v>639.29999999999995</v>
      </c>
      <c r="D404" s="115">
        <v>0</v>
      </c>
      <c r="E404" s="115">
        <v>0</v>
      </c>
      <c r="F404" s="115">
        <v>0</v>
      </c>
      <c r="G404" s="115">
        <v>0</v>
      </c>
      <c r="H404" s="115">
        <v>0</v>
      </c>
      <c r="I404" s="115">
        <v>0</v>
      </c>
      <c r="J404" s="115">
        <v>0</v>
      </c>
      <c r="K404" s="115">
        <v>0</v>
      </c>
      <c r="L404" s="115">
        <v>0</v>
      </c>
      <c r="M404" s="115">
        <v>0</v>
      </c>
      <c r="N404" s="111"/>
      <c r="O404" s="112"/>
      <c r="P404" s="139"/>
      <c r="Q404" s="140"/>
      <c r="R404" s="76"/>
      <c r="S404" s="77">
        <v>2023</v>
      </c>
      <c r="T404" s="172">
        <v>158</v>
      </c>
      <c r="U404" s="172">
        <v>0</v>
      </c>
      <c r="V404" s="172">
        <v>0</v>
      </c>
      <c r="W404" s="172">
        <v>0</v>
      </c>
      <c r="X404" s="172">
        <v>0</v>
      </c>
      <c r="Y404" s="172">
        <v>0</v>
      </c>
      <c r="Z404" s="172">
        <v>0</v>
      </c>
      <c r="AA404" s="172">
        <v>0</v>
      </c>
      <c r="AB404" s="172">
        <v>0</v>
      </c>
      <c r="AC404" s="172">
        <v>0</v>
      </c>
      <c r="AD404" s="172">
        <v>0</v>
      </c>
      <c r="AE404" s="172">
        <v>0</v>
      </c>
      <c r="AF404" s="95">
        <f>(SUM(Z405:AE405)+SUM(T404:Y404))/12</f>
        <v>92.166666666666671</v>
      </c>
      <c r="AG404" s="38">
        <f>SUM(T404:AE404)/12</f>
        <v>13.166666666666666</v>
      </c>
      <c r="AH404" s="54"/>
      <c r="AJ404" s="77">
        <v>2023</v>
      </c>
      <c r="AK404" s="84">
        <f>B404/T404</f>
        <v>4.3196202531645573</v>
      </c>
      <c r="AL404" s="191">
        <v>0</v>
      </c>
      <c r="AM404" s="191">
        <v>0</v>
      </c>
      <c r="AN404" s="191">
        <v>0</v>
      </c>
      <c r="AO404" s="191">
        <v>0</v>
      </c>
      <c r="AP404" s="191">
        <v>0</v>
      </c>
      <c r="AQ404" s="191">
        <v>0</v>
      </c>
      <c r="AR404" s="191">
        <v>0</v>
      </c>
      <c r="AS404" s="191">
        <v>0</v>
      </c>
      <c r="AT404" s="191">
        <v>0</v>
      </c>
      <c r="AU404" s="191">
        <v>0</v>
      </c>
      <c r="AV404" s="191">
        <v>0</v>
      </c>
      <c r="AW404" s="91">
        <f>(SUM(AK404:AP404)+SUM(AQ404:AV404))/365.25</f>
        <v>1.182647571023835E-2</v>
      </c>
    </row>
    <row r="405" spans="1:49" x14ac:dyDescent="0.25">
      <c r="A405" s="61">
        <v>2022</v>
      </c>
      <c r="B405" s="190">
        <v>604.4</v>
      </c>
      <c r="C405" s="190">
        <v>655.20000000000005</v>
      </c>
      <c r="D405" s="190">
        <v>521.9</v>
      </c>
      <c r="E405" s="190">
        <v>640.20000000000005</v>
      </c>
      <c r="F405" s="190">
        <v>605.20000000000005</v>
      </c>
      <c r="G405" s="190">
        <v>722.4</v>
      </c>
      <c r="H405" s="190">
        <v>1092</v>
      </c>
      <c r="I405" s="190">
        <v>959.2</v>
      </c>
      <c r="J405" s="190">
        <v>903.2</v>
      </c>
      <c r="K405" s="190">
        <v>751.1</v>
      </c>
      <c r="L405" s="190">
        <v>860.4</v>
      </c>
      <c r="M405" s="190">
        <v>448.9</v>
      </c>
      <c r="N405" s="115">
        <f t="shared" ref="N405:N406" si="845">SUM(B405:G405)+SUM(H406:M406)</f>
        <v>8179.9</v>
      </c>
      <c r="O405" s="115">
        <f t="shared" ref="O405:O407" si="846">SUM(B405:M405)</f>
        <v>8764.0999999999985</v>
      </c>
      <c r="P405" s="113"/>
      <c r="Q405" s="114"/>
      <c r="R405" s="76"/>
      <c r="S405" s="61">
        <v>2022</v>
      </c>
      <c r="T405" s="190">
        <v>158</v>
      </c>
      <c r="U405" s="190">
        <v>158</v>
      </c>
      <c r="V405" s="190">
        <v>158</v>
      </c>
      <c r="W405" s="190">
        <v>158</v>
      </c>
      <c r="X405" s="190">
        <v>158</v>
      </c>
      <c r="Y405" s="190">
        <v>158</v>
      </c>
      <c r="Z405" s="34">
        <v>158</v>
      </c>
      <c r="AA405" s="34">
        <v>158</v>
      </c>
      <c r="AB405" s="34">
        <v>158</v>
      </c>
      <c r="AC405" s="34">
        <v>158</v>
      </c>
      <c r="AD405" s="34">
        <v>158</v>
      </c>
      <c r="AE405" s="34">
        <v>158</v>
      </c>
      <c r="AF405" s="95">
        <f>(SUM(Z406:AE406)+SUM(T405:Y405))/12</f>
        <v>158</v>
      </c>
      <c r="AG405" s="38">
        <f t="shared" ref="AG405:AG412" si="847">SUM(T405:AE405)/12</f>
        <v>158</v>
      </c>
      <c r="AH405" s="54"/>
      <c r="AJ405" s="61">
        <v>2022</v>
      </c>
      <c r="AK405" s="84">
        <f>B405/T405</f>
        <v>3.8253164556962025</v>
      </c>
      <c r="AL405" s="84">
        <f t="shared" ref="AL405" si="848">C405/U405</f>
        <v>4.1468354430379746</v>
      </c>
      <c r="AM405" s="84">
        <f t="shared" ref="AM405" si="849">D405/V405</f>
        <v>3.3031645569620252</v>
      </c>
      <c r="AN405" s="84">
        <f t="shared" ref="AN405" si="850">E405/W405</f>
        <v>4.0518987341772155</v>
      </c>
      <c r="AO405" s="84">
        <f>F405/X405</f>
        <v>3.8303797468354435</v>
      </c>
      <c r="AP405" s="84">
        <f>G405/Y405</f>
        <v>4.5721518987341767</v>
      </c>
      <c r="AQ405" s="84">
        <f t="shared" ref="AQ405" si="851">H405/Z405</f>
        <v>6.9113924050632916</v>
      </c>
      <c r="AR405" s="84">
        <f t="shared" ref="AR405" si="852">I405/AA405</f>
        <v>6.0708860759493675</v>
      </c>
      <c r="AS405" s="84">
        <f t="shared" ref="AS405" si="853">J405/AB405</f>
        <v>5.7164556962025319</v>
      </c>
      <c r="AT405" s="84">
        <f t="shared" ref="AT405" si="854">K405/AC405</f>
        <v>4.7537974683544304</v>
      </c>
      <c r="AU405" s="84">
        <f t="shared" ref="AU405" si="855">L405/AD405</f>
        <v>5.4455696202531643</v>
      </c>
      <c r="AV405" s="84">
        <f t="shared" ref="AV405" si="856">M405/AE405</f>
        <v>2.8411392405063292</v>
      </c>
      <c r="AW405" s="91">
        <f>(SUM(AK405:AP405)+SUM(AQ405:AV405))/365.25</f>
        <v>0.15186581065509147</v>
      </c>
    </row>
    <row r="406" spans="1:49" x14ac:dyDescent="0.25">
      <c r="A406" s="61">
        <v>2021</v>
      </c>
      <c r="B406" s="190">
        <v>610.70000000000005</v>
      </c>
      <c r="C406" s="190">
        <v>575.9</v>
      </c>
      <c r="D406" s="190">
        <v>532.5</v>
      </c>
      <c r="E406" s="190">
        <v>576.6</v>
      </c>
      <c r="F406" s="190">
        <v>710.8</v>
      </c>
      <c r="G406" s="190">
        <v>691.8</v>
      </c>
      <c r="H406" s="190">
        <v>802</v>
      </c>
      <c r="I406" s="190">
        <v>743.4</v>
      </c>
      <c r="J406" s="190">
        <v>787.1</v>
      </c>
      <c r="K406" s="190">
        <v>878.3</v>
      </c>
      <c r="L406" s="190">
        <v>651.29999999999995</v>
      </c>
      <c r="M406" s="190">
        <v>568.5</v>
      </c>
      <c r="N406" s="115">
        <f t="shared" si="845"/>
        <v>8229</v>
      </c>
      <c r="O406" s="115">
        <f t="shared" si="846"/>
        <v>8128.9000000000005</v>
      </c>
      <c r="P406" s="113"/>
      <c r="Q406" s="114"/>
      <c r="R406" s="76"/>
      <c r="S406" s="61">
        <v>2021</v>
      </c>
      <c r="T406" s="190">
        <v>158</v>
      </c>
      <c r="U406" s="190">
        <v>158</v>
      </c>
      <c r="V406" s="190">
        <v>158</v>
      </c>
      <c r="W406" s="190">
        <v>158</v>
      </c>
      <c r="X406" s="190">
        <v>158</v>
      </c>
      <c r="Y406" s="190">
        <v>158</v>
      </c>
      <c r="Z406" s="190">
        <v>158</v>
      </c>
      <c r="AA406" s="190">
        <v>158</v>
      </c>
      <c r="AB406" s="190">
        <v>158</v>
      </c>
      <c r="AC406" s="190">
        <v>158</v>
      </c>
      <c r="AD406" s="190">
        <v>158</v>
      </c>
      <c r="AE406" s="190">
        <v>158</v>
      </c>
      <c r="AF406" s="95">
        <f>(SUM(Z407:AE407)+SUM(T406:Y406))/12</f>
        <v>157.91666666666666</v>
      </c>
      <c r="AG406" s="38">
        <f t="shared" si="847"/>
        <v>158</v>
      </c>
      <c r="AH406" s="54"/>
      <c r="AJ406" s="61">
        <v>2021</v>
      </c>
      <c r="AK406" s="84">
        <f>B406/T406</f>
        <v>3.8651898734177217</v>
      </c>
      <c r="AL406" s="84">
        <f t="shared" ref="AL406" si="857">C406/U406</f>
        <v>3.6449367088607594</v>
      </c>
      <c r="AM406" s="84">
        <f t="shared" ref="AM406" si="858">D406/V406</f>
        <v>3.3702531645569622</v>
      </c>
      <c r="AN406" s="84">
        <f t="shared" ref="AN406" si="859">E406/W406</f>
        <v>3.6493670886075953</v>
      </c>
      <c r="AO406" s="84">
        <f t="shared" ref="AO406" si="860">F406/X406</f>
        <v>4.4987341772151899</v>
      </c>
      <c r="AP406" s="84">
        <f t="shared" ref="AP406" si="861">G406/Y406</f>
        <v>4.3784810126582272</v>
      </c>
      <c r="AQ406" s="84">
        <f t="shared" ref="AQ406" si="862">H406/Z406</f>
        <v>5.075949367088608</v>
      </c>
      <c r="AR406" s="84">
        <f t="shared" ref="AR406" si="863">I406/AA406</f>
        <v>4.7050632911392407</v>
      </c>
      <c r="AS406" s="84">
        <f t="shared" ref="AS406" si="864">J406/AB406</f>
        <v>4.9816455696202535</v>
      </c>
      <c r="AT406" s="84">
        <f t="shared" ref="AT406" si="865">K406/AC406</f>
        <v>5.5588607594936708</v>
      </c>
      <c r="AU406" s="84">
        <f t="shared" ref="AU406" si="866">L406/AD406</f>
        <v>4.1221518987341765</v>
      </c>
      <c r="AV406" s="84">
        <f t="shared" ref="AV406" si="867">M406/AE406</f>
        <v>3.5981012658227849</v>
      </c>
      <c r="AW406" s="91">
        <f t="shared" ref="AW406:AW409" si="868">(SUM(AK406:AP406)+SUM(AQ406:AV406))/365.25</f>
        <v>0.14085895736403883</v>
      </c>
    </row>
    <row r="407" spans="1:49" x14ac:dyDescent="0.25">
      <c r="A407" s="61">
        <v>2020</v>
      </c>
      <c r="B407" s="190">
        <v>565.70000000000005</v>
      </c>
      <c r="C407" s="190">
        <v>582</v>
      </c>
      <c r="D407" s="190">
        <v>543.6</v>
      </c>
      <c r="E407" s="190">
        <v>570.29999999999995</v>
      </c>
      <c r="F407" s="190">
        <v>701.1</v>
      </c>
      <c r="G407" s="190">
        <v>698.9</v>
      </c>
      <c r="H407" s="190">
        <v>956.4</v>
      </c>
      <c r="I407" s="190">
        <v>936</v>
      </c>
      <c r="J407" s="190">
        <v>740.6</v>
      </c>
      <c r="K407" s="190">
        <v>757.1</v>
      </c>
      <c r="L407" s="190">
        <v>636.9</v>
      </c>
      <c r="M407" s="190">
        <v>503.7</v>
      </c>
      <c r="N407" s="115">
        <f>SUM(B407:G407)+SUM(H408:M408)</f>
        <v>7729.5</v>
      </c>
      <c r="O407" s="115">
        <f t="shared" si="846"/>
        <v>8192.3000000000011</v>
      </c>
      <c r="Q407" s="130"/>
      <c r="R407" s="76"/>
      <c r="S407" s="61">
        <v>2020</v>
      </c>
      <c r="T407" s="190">
        <v>158</v>
      </c>
      <c r="U407" s="190">
        <v>158</v>
      </c>
      <c r="V407" s="190">
        <v>158</v>
      </c>
      <c r="W407" s="190">
        <v>158</v>
      </c>
      <c r="X407" s="190">
        <v>158</v>
      </c>
      <c r="Y407" s="190">
        <v>158</v>
      </c>
      <c r="Z407" s="190">
        <v>157</v>
      </c>
      <c r="AA407" s="190">
        <v>158</v>
      </c>
      <c r="AB407" s="190">
        <v>158</v>
      </c>
      <c r="AC407" s="190">
        <v>158</v>
      </c>
      <c r="AD407" s="190">
        <v>158</v>
      </c>
      <c r="AE407" s="190">
        <v>158</v>
      </c>
      <c r="AF407" s="95">
        <f>(SUM(Z408:AE408)+SUM(T407:Y407))/12</f>
        <v>157.91666666666666</v>
      </c>
      <c r="AG407" s="38">
        <f t="shared" si="847"/>
        <v>157.91666666666666</v>
      </c>
      <c r="AJ407" s="61">
        <v>2020</v>
      </c>
      <c r="AK407" s="84">
        <f>B407/T407</f>
        <v>3.5803797468354435</v>
      </c>
      <c r="AL407" s="84">
        <f t="shared" ref="AL407:AP408" si="869">C407/U407</f>
        <v>3.6835443037974684</v>
      </c>
      <c r="AM407" s="98">
        <f t="shared" si="869"/>
        <v>3.4405063291139242</v>
      </c>
      <c r="AN407" s="98">
        <f t="shared" si="869"/>
        <v>3.6094936708860756</v>
      </c>
      <c r="AO407" s="98">
        <f t="shared" si="869"/>
        <v>4.4373417721518988</v>
      </c>
      <c r="AP407" s="98">
        <f t="shared" si="869"/>
        <v>4.4234177215189874</v>
      </c>
      <c r="AQ407" s="98">
        <f t="shared" ref="AQ407" si="870">H407/Z407</f>
        <v>6.0917197452229299</v>
      </c>
      <c r="AR407" s="98">
        <f t="shared" ref="AR407" si="871">I407/AA407</f>
        <v>5.924050632911392</v>
      </c>
      <c r="AS407" s="98">
        <f t="shared" ref="AS407" si="872">J407/AB407</f>
        <v>4.6873417721518988</v>
      </c>
      <c r="AT407" s="98">
        <f t="shared" ref="AT407" si="873">K407/AC407</f>
        <v>4.7917721518987344</v>
      </c>
      <c r="AU407" s="98">
        <f t="shared" ref="AU407" si="874">L407/AD407</f>
        <v>4.0310126582278478</v>
      </c>
      <c r="AV407" s="98">
        <f t="shared" ref="AV407" si="875">M407/AE407</f>
        <v>3.1879746835443039</v>
      </c>
      <c r="AW407" s="91">
        <f t="shared" si="868"/>
        <v>0.14206312166532761</v>
      </c>
    </row>
    <row r="408" spans="1:49" x14ac:dyDescent="0.25">
      <c r="A408" s="61">
        <v>2019</v>
      </c>
      <c r="B408" s="125">
        <v>646.1</v>
      </c>
      <c r="C408" s="125">
        <v>554.70000000000005</v>
      </c>
      <c r="D408" s="125">
        <v>531.4</v>
      </c>
      <c r="E408" s="125">
        <v>596.9</v>
      </c>
      <c r="F408" s="125">
        <v>609.1</v>
      </c>
      <c r="G408" s="125">
        <v>704.8</v>
      </c>
      <c r="H408" s="190">
        <v>685.6</v>
      </c>
      <c r="I408" s="190">
        <v>744</v>
      </c>
      <c r="J408" s="190">
        <v>762</v>
      </c>
      <c r="K408" s="190">
        <v>699.4</v>
      </c>
      <c r="L408" s="190">
        <v>559.9</v>
      </c>
      <c r="M408" s="190">
        <v>617</v>
      </c>
      <c r="N408" s="115">
        <f t="shared" ref="N408" si="876">SUM(B408:G408)+SUM(H409:M409)</f>
        <v>8762.2000000000007</v>
      </c>
      <c r="O408" s="115">
        <f>SUM(B408:M408)</f>
        <v>7710.9</v>
      </c>
      <c r="Q408" s="130"/>
      <c r="R408" s="157"/>
      <c r="S408" s="61">
        <v>2019</v>
      </c>
      <c r="T408" s="35">
        <v>158</v>
      </c>
      <c r="U408" s="35">
        <v>158</v>
      </c>
      <c r="V408" s="35">
        <v>158</v>
      </c>
      <c r="W408" s="35">
        <v>158</v>
      </c>
      <c r="X408" s="35">
        <v>157</v>
      </c>
      <c r="Y408" s="35">
        <v>158</v>
      </c>
      <c r="Z408" s="35">
        <v>158</v>
      </c>
      <c r="AA408" s="35">
        <v>158</v>
      </c>
      <c r="AB408" s="35">
        <v>158</v>
      </c>
      <c r="AC408" s="35">
        <v>158</v>
      </c>
      <c r="AD408" s="35">
        <v>158</v>
      </c>
      <c r="AE408" s="35">
        <v>157</v>
      </c>
      <c r="AF408" s="83">
        <f>(SUM(Z409:AE409)+SUM(T408:Y408))/12</f>
        <v>157.91666666666666</v>
      </c>
      <c r="AG408" s="38">
        <f t="shared" si="847"/>
        <v>157.83333333333334</v>
      </c>
      <c r="AJ408" s="61">
        <v>2019</v>
      </c>
      <c r="AK408" s="84">
        <f>B408/T408</f>
        <v>4.089240506329114</v>
      </c>
      <c r="AL408" s="84">
        <f t="shared" si="869"/>
        <v>3.5107594936708866</v>
      </c>
      <c r="AM408" s="84">
        <f t="shared" si="869"/>
        <v>3.363291139240506</v>
      </c>
      <c r="AN408" s="84">
        <f t="shared" si="869"/>
        <v>3.7778481012658225</v>
      </c>
      <c r="AO408" s="84">
        <f t="shared" si="869"/>
        <v>3.8796178343949048</v>
      </c>
      <c r="AP408" s="84">
        <f t="shared" si="869"/>
        <v>4.4607594936708859</v>
      </c>
      <c r="AQ408" s="84">
        <f t="shared" ref="AQ408:AV409" si="877">H408/Z408</f>
        <v>4.339240506329114</v>
      </c>
      <c r="AR408" s="84">
        <f t="shared" si="877"/>
        <v>4.7088607594936711</v>
      </c>
      <c r="AS408" s="84">
        <f t="shared" si="877"/>
        <v>4.8227848101265822</v>
      </c>
      <c r="AT408" s="84">
        <f t="shared" si="877"/>
        <v>4.4265822784810123</v>
      </c>
      <c r="AU408" s="84">
        <f t="shared" si="877"/>
        <v>3.5436708860759492</v>
      </c>
      <c r="AV408" s="84">
        <f t="shared" si="877"/>
        <v>3.9299363057324839</v>
      </c>
      <c r="AW408" s="91">
        <f t="shared" si="868"/>
        <v>0.13375110777497859</v>
      </c>
    </row>
    <row r="409" spans="1:49" x14ac:dyDescent="0.25">
      <c r="A409" s="61">
        <v>2018</v>
      </c>
      <c r="B409" s="115"/>
      <c r="C409" s="115"/>
      <c r="D409" s="115"/>
      <c r="E409" s="115"/>
      <c r="F409" s="116">
        <v>0.7</v>
      </c>
      <c r="G409" s="116">
        <v>1126.5999999999999</v>
      </c>
      <c r="H409" s="116">
        <v>1222.4000000000001</v>
      </c>
      <c r="I409" s="116">
        <v>1169.2</v>
      </c>
      <c r="J409" s="116">
        <v>774.3</v>
      </c>
      <c r="K409" s="116">
        <v>848.2</v>
      </c>
      <c r="L409" s="116">
        <v>1102.9000000000001</v>
      </c>
      <c r="M409" s="116">
        <v>2.2000000000000002</v>
      </c>
      <c r="N409" s="115"/>
      <c r="O409" s="328">
        <f>AVERAGE(F409:M409)*12</f>
        <v>9369.7499999999982</v>
      </c>
      <c r="Q409" s="130"/>
      <c r="R409" s="76"/>
      <c r="S409" s="61">
        <v>2018</v>
      </c>
      <c r="T409" s="70">
        <v>154</v>
      </c>
      <c r="U409" s="70">
        <v>156</v>
      </c>
      <c r="V409" s="70">
        <v>155</v>
      </c>
      <c r="W409" s="70">
        <v>154</v>
      </c>
      <c r="X409" s="70">
        <v>156</v>
      </c>
      <c r="Y409" s="70">
        <v>156</v>
      </c>
      <c r="Z409" s="70">
        <v>158</v>
      </c>
      <c r="AA409" s="70">
        <v>158</v>
      </c>
      <c r="AB409" s="70">
        <v>158</v>
      </c>
      <c r="AC409" s="70">
        <v>158</v>
      </c>
      <c r="AD409" s="70">
        <v>158</v>
      </c>
      <c r="AE409" s="70">
        <v>158</v>
      </c>
      <c r="AF409" s="83">
        <f t="shared" ref="AF409:AF411" si="878">(SUM(Z410:AE410)+SUM(T409:Y409))/12</f>
        <v>155.66666666666666</v>
      </c>
      <c r="AG409" s="38">
        <f t="shared" si="847"/>
        <v>156.58333333333334</v>
      </c>
      <c r="AJ409" s="61">
        <v>2018</v>
      </c>
      <c r="AK409" s="84"/>
      <c r="AL409" s="84"/>
      <c r="AM409" s="84"/>
      <c r="AN409" s="84"/>
      <c r="AO409" s="84">
        <f>F409/X409</f>
        <v>4.4871794871794869E-3</v>
      </c>
      <c r="AP409" s="84">
        <f>G409/Y409</f>
        <v>7.221794871794871</v>
      </c>
      <c r="AQ409" s="84">
        <f t="shared" si="877"/>
        <v>7.736708860759494</v>
      </c>
      <c r="AR409" s="84">
        <f t="shared" si="877"/>
        <v>7.4</v>
      </c>
      <c r="AS409" s="84">
        <f t="shared" si="877"/>
        <v>4.900632911392405</v>
      </c>
      <c r="AT409" s="84">
        <f t="shared" si="877"/>
        <v>5.368354430379747</v>
      </c>
      <c r="AU409" s="84">
        <f t="shared" si="877"/>
        <v>6.9803797468354434</v>
      </c>
      <c r="AV409" s="84">
        <f t="shared" si="877"/>
        <v>1.3924050632911394E-2</v>
      </c>
      <c r="AW409" s="91">
        <f t="shared" si="868"/>
        <v>0.10849084750522121</v>
      </c>
    </row>
    <row r="410" spans="1:49" x14ac:dyDescent="0.25">
      <c r="A410" s="3">
        <v>2017</v>
      </c>
      <c r="S410" s="3">
        <v>2017</v>
      </c>
      <c r="T410" s="70">
        <v>157</v>
      </c>
      <c r="U410" s="70">
        <v>156</v>
      </c>
      <c r="V410" s="70">
        <v>156</v>
      </c>
      <c r="W410" s="70">
        <v>156</v>
      </c>
      <c r="X410" s="70">
        <v>157</v>
      </c>
      <c r="Y410" s="70">
        <v>156</v>
      </c>
      <c r="Z410" s="70">
        <v>156</v>
      </c>
      <c r="AA410" s="70">
        <v>156</v>
      </c>
      <c r="AB410" s="70">
        <v>157</v>
      </c>
      <c r="AC410" s="70">
        <v>157</v>
      </c>
      <c r="AD410" s="70">
        <v>155</v>
      </c>
      <c r="AE410" s="70">
        <v>156</v>
      </c>
      <c r="AF410" s="83">
        <f t="shared" si="878"/>
        <v>153.08333333333334</v>
      </c>
      <c r="AG410" s="38">
        <f t="shared" si="847"/>
        <v>156.25</v>
      </c>
      <c r="AJ410" s="3">
        <v>2017</v>
      </c>
    </row>
    <row r="411" spans="1:49" x14ac:dyDescent="0.25">
      <c r="A411" s="3">
        <v>2016</v>
      </c>
      <c r="S411" s="3">
        <v>2016</v>
      </c>
      <c r="T411" s="6">
        <v>109</v>
      </c>
      <c r="U411" s="6">
        <v>113</v>
      </c>
      <c r="V411" s="6">
        <v>120</v>
      </c>
      <c r="W411" s="6">
        <v>119</v>
      </c>
      <c r="X411" s="6">
        <v>126</v>
      </c>
      <c r="Y411" s="6">
        <v>135</v>
      </c>
      <c r="Z411" s="6">
        <v>141</v>
      </c>
      <c r="AA411" s="6">
        <v>145</v>
      </c>
      <c r="AB411" s="6">
        <v>149</v>
      </c>
      <c r="AC411" s="6">
        <v>153</v>
      </c>
      <c r="AD411" s="6">
        <v>155</v>
      </c>
      <c r="AE411" s="6">
        <v>156</v>
      </c>
      <c r="AF411" s="83">
        <f t="shared" si="878"/>
        <v>109</v>
      </c>
      <c r="AG411" s="38">
        <f t="shared" si="847"/>
        <v>135.08333333333334</v>
      </c>
      <c r="AJ411" s="3">
        <v>2016</v>
      </c>
      <c r="AV411" s="3" t="s">
        <v>47</v>
      </c>
      <c r="AW411" s="306">
        <f>SUM(AW404:AW409)/5</f>
        <v>0.1377712641349792</v>
      </c>
    </row>
    <row r="412" spans="1:49" x14ac:dyDescent="0.25">
      <c r="A412" s="3">
        <v>2015</v>
      </c>
      <c r="S412" s="3">
        <v>2015</v>
      </c>
      <c r="T412" s="6">
        <v>77</v>
      </c>
      <c r="U412" s="6">
        <v>77</v>
      </c>
      <c r="V412" s="6">
        <v>79</v>
      </c>
      <c r="W412" s="6">
        <v>79</v>
      </c>
      <c r="X412" s="6">
        <v>85</v>
      </c>
      <c r="Y412" s="6">
        <v>85</v>
      </c>
      <c r="Z412" s="6">
        <v>87</v>
      </c>
      <c r="AA412" s="6">
        <v>91</v>
      </c>
      <c r="AB412" s="6">
        <v>97</v>
      </c>
      <c r="AC412" s="6">
        <v>100</v>
      </c>
      <c r="AD412" s="6">
        <v>103</v>
      </c>
      <c r="AE412" s="6">
        <v>108</v>
      </c>
      <c r="AG412" s="38">
        <f t="shared" si="847"/>
        <v>89</v>
      </c>
      <c r="AJ412" s="3">
        <v>2015</v>
      </c>
    </row>
    <row r="413" spans="1:49" x14ac:dyDescent="0.25">
      <c r="A413" s="3">
        <v>2014</v>
      </c>
      <c r="S413" s="3">
        <v>2014</v>
      </c>
      <c r="AJ413" s="3">
        <v>2014</v>
      </c>
    </row>
    <row r="414" spans="1:49" x14ac:dyDescent="0.25">
      <c r="A414" s="3">
        <v>2013</v>
      </c>
      <c r="S414" s="3">
        <v>2013</v>
      </c>
      <c r="AJ414" s="3">
        <v>2013</v>
      </c>
    </row>
    <row r="417" spans="1:49" ht="60" x14ac:dyDescent="0.25">
      <c r="A417" s="40" t="s">
        <v>90</v>
      </c>
      <c r="B417" s="111" t="s">
        <v>0</v>
      </c>
      <c r="C417" s="111" t="s">
        <v>1</v>
      </c>
      <c r="D417" s="111" t="s">
        <v>2</v>
      </c>
      <c r="E417" s="111" t="s">
        <v>3</v>
      </c>
      <c r="F417" s="111" t="s">
        <v>4</v>
      </c>
      <c r="G417" s="111" t="s">
        <v>5</v>
      </c>
      <c r="H417" s="111" t="s">
        <v>6</v>
      </c>
      <c r="I417" s="111" t="s">
        <v>7</v>
      </c>
      <c r="J417" s="111" t="s">
        <v>8</v>
      </c>
      <c r="K417" s="111" t="s">
        <v>9</v>
      </c>
      <c r="L417" s="111" t="s">
        <v>10</v>
      </c>
      <c r="M417" s="111" t="s">
        <v>11</v>
      </c>
      <c r="N417" s="112" t="s">
        <v>78</v>
      </c>
      <c r="O417" s="112" t="s">
        <v>77</v>
      </c>
      <c r="P417" s="139" t="s">
        <v>162</v>
      </c>
      <c r="Q417" s="140" t="s">
        <v>72</v>
      </c>
      <c r="R417" s="76"/>
      <c r="S417" s="40" t="s">
        <v>95</v>
      </c>
      <c r="T417" s="5" t="s">
        <v>0</v>
      </c>
      <c r="U417" s="5" t="s">
        <v>1</v>
      </c>
      <c r="V417" s="5" t="s">
        <v>2</v>
      </c>
      <c r="W417" s="5" t="s">
        <v>3</v>
      </c>
      <c r="X417" s="5" t="s">
        <v>4</v>
      </c>
      <c r="Y417" s="5" t="s">
        <v>5</v>
      </c>
      <c r="Z417" s="5" t="s">
        <v>6</v>
      </c>
      <c r="AA417" s="5" t="s">
        <v>7</v>
      </c>
      <c r="AB417" s="5" t="s">
        <v>8</v>
      </c>
      <c r="AC417" s="5" t="s">
        <v>9</v>
      </c>
      <c r="AD417" s="5" t="s">
        <v>10</v>
      </c>
      <c r="AE417" s="5" t="s">
        <v>11</v>
      </c>
      <c r="AF417" s="30" t="s">
        <v>164</v>
      </c>
      <c r="AG417" s="30" t="s">
        <v>167</v>
      </c>
      <c r="AH417" s="54"/>
      <c r="AJ417" s="40" t="s">
        <v>96</v>
      </c>
      <c r="AK417" s="53" t="s">
        <v>0</v>
      </c>
      <c r="AL417" s="53" t="s">
        <v>1</v>
      </c>
      <c r="AM417" s="53" t="s">
        <v>2</v>
      </c>
      <c r="AN417" s="53" t="s">
        <v>3</v>
      </c>
      <c r="AO417" s="53" t="s">
        <v>4</v>
      </c>
      <c r="AP417" s="53" t="s">
        <v>5</v>
      </c>
      <c r="AQ417" s="53" t="s">
        <v>6</v>
      </c>
      <c r="AR417" s="53" t="s">
        <v>7</v>
      </c>
      <c r="AS417" s="53" t="s">
        <v>8</v>
      </c>
      <c r="AT417" s="53" t="s">
        <v>9</v>
      </c>
      <c r="AU417" s="53" t="s">
        <v>10</v>
      </c>
      <c r="AV417" s="53" t="s">
        <v>11</v>
      </c>
      <c r="AW417" s="5" t="s">
        <v>49</v>
      </c>
    </row>
    <row r="418" spans="1:49" x14ac:dyDescent="0.25">
      <c r="A418" s="77">
        <v>2023</v>
      </c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2"/>
      <c r="Q418" s="130"/>
      <c r="R418" s="76"/>
      <c r="S418" s="77">
        <v>2023</v>
      </c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30"/>
      <c r="AG418" s="54"/>
      <c r="AH418" s="54"/>
      <c r="AJ418" s="77">
        <v>2023</v>
      </c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"/>
    </row>
    <row r="419" spans="1:49" x14ac:dyDescent="0.25">
      <c r="A419" s="61">
        <v>2022</v>
      </c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2"/>
      <c r="Q419" s="130"/>
      <c r="R419" s="76"/>
      <c r="S419" s="61">
        <v>2022</v>
      </c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30"/>
      <c r="AG419" s="54"/>
      <c r="AH419" s="54"/>
      <c r="AJ419" s="61">
        <v>2022</v>
      </c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"/>
    </row>
    <row r="420" spans="1:49" x14ac:dyDescent="0.25">
      <c r="A420" s="61">
        <v>2021</v>
      </c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2"/>
      <c r="Q420" s="130"/>
      <c r="R420" s="76"/>
      <c r="S420" s="61">
        <v>2021</v>
      </c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30"/>
      <c r="AG420" s="54"/>
      <c r="AH420" s="54"/>
      <c r="AJ420" s="61">
        <v>2021</v>
      </c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"/>
    </row>
    <row r="421" spans="1:49" x14ac:dyDescent="0.25">
      <c r="A421" s="61">
        <v>2020</v>
      </c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2"/>
      <c r="Q421" s="130"/>
      <c r="R421" s="76"/>
      <c r="S421" s="61">
        <v>2020</v>
      </c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30"/>
      <c r="AJ421" s="61">
        <v>2020</v>
      </c>
    </row>
    <row r="422" spans="1:49" x14ac:dyDescent="0.25">
      <c r="A422" s="61">
        <v>2019</v>
      </c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2"/>
      <c r="Q422" s="130"/>
      <c r="R422" s="76"/>
      <c r="S422" s="61">
        <v>2019</v>
      </c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30"/>
      <c r="AJ422" s="61">
        <v>2019</v>
      </c>
    </row>
    <row r="423" spans="1:49" x14ac:dyDescent="0.25">
      <c r="A423" s="61">
        <v>2018</v>
      </c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2"/>
      <c r="Q423" s="130"/>
      <c r="R423" s="76"/>
      <c r="S423" s="61">
        <v>2018</v>
      </c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30"/>
      <c r="AJ423" s="61">
        <v>2018</v>
      </c>
    </row>
    <row r="424" spans="1:49" x14ac:dyDescent="0.25">
      <c r="A424" s="3">
        <v>2017</v>
      </c>
      <c r="S424" s="3">
        <v>2017</v>
      </c>
      <c r="AJ424" s="3">
        <v>2017</v>
      </c>
    </row>
    <row r="425" spans="1:49" x14ac:dyDescent="0.25">
      <c r="A425" s="3">
        <v>2016</v>
      </c>
      <c r="S425" s="3">
        <v>2016</v>
      </c>
      <c r="T425" s="6">
        <v>132</v>
      </c>
      <c r="U425" s="6">
        <v>131</v>
      </c>
      <c r="V425" s="6">
        <v>131</v>
      </c>
      <c r="W425" s="6">
        <v>136</v>
      </c>
      <c r="X425" s="6">
        <v>137</v>
      </c>
      <c r="Y425" s="6">
        <v>138</v>
      </c>
      <c r="Z425" s="6">
        <v>137</v>
      </c>
      <c r="AA425" s="6">
        <v>138</v>
      </c>
      <c r="AB425" s="6">
        <v>143</v>
      </c>
      <c r="AC425" s="6">
        <v>140</v>
      </c>
      <c r="AD425" s="6">
        <v>135</v>
      </c>
      <c r="AE425" s="6">
        <v>135</v>
      </c>
      <c r="AJ425" s="3">
        <v>2016</v>
      </c>
    </row>
    <row r="426" spans="1:49" x14ac:dyDescent="0.25">
      <c r="A426" s="3">
        <v>2015</v>
      </c>
      <c r="S426" s="3">
        <v>2015</v>
      </c>
      <c r="T426" s="6">
        <v>134</v>
      </c>
      <c r="U426" s="6">
        <v>134</v>
      </c>
      <c r="V426" s="6">
        <v>135</v>
      </c>
      <c r="W426" s="6">
        <v>136</v>
      </c>
      <c r="X426" s="6">
        <v>137</v>
      </c>
      <c r="Y426" s="6">
        <v>137</v>
      </c>
      <c r="Z426" s="6">
        <v>136</v>
      </c>
      <c r="AA426" s="6">
        <v>135</v>
      </c>
      <c r="AB426" s="6">
        <v>135</v>
      </c>
      <c r="AC426" s="6">
        <v>135</v>
      </c>
      <c r="AD426" s="6">
        <v>132</v>
      </c>
      <c r="AE426" s="6">
        <v>132</v>
      </c>
      <c r="AJ426" s="3">
        <v>2015</v>
      </c>
    </row>
    <row r="427" spans="1:49" x14ac:dyDescent="0.25">
      <c r="A427" s="3">
        <v>2014</v>
      </c>
      <c r="S427" s="3">
        <v>2014</v>
      </c>
      <c r="T427" s="6">
        <v>130</v>
      </c>
      <c r="U427" s="6">
        <v>130</v>
      </c>
      <c r="V427" s="6">
        <v>134</v>
      </c>
      <c r="W427" s="6">
        <v>137</v>
      </c>
      <c r="X427" s="6">
        <v>138</v>
      </c>
      <c r="Y427" s="6">
        <v>139</v>
      </c>
      <c r="Z427" s="6">
        <v>140</v>
      </c>
      <c r="AA427" s="6">
        <v>140</v>
      </c>
      <c r="AB427" s="6">
        <v>138</v>
      </c>
      <c r="AC427" s="6">
        <v>137</v>
      </c>
      <c r="AD427" s="6">
        <v>136</v>
      </c>
      <c r="AE427" s="6">
        <v>134</v>
      </c>
      <c r="AJ427" s="3">
        <v>2014</v>
      </c>
    </row>
    <row r="428" spans="1:49" x14ac:dyDescent="0.25">
      <c r="A428" s="3">
        <v>2013</v>
      </c>
      <c r="S428" s="3">
        <v>2013</v>
      </c>
      <c r="T428" s="6">
        <v>140</v>
      </c>
      <c r="U428" s="6">
        <v>140</v>
      </c>
      <c r="V428" s="6">
        <v>137</v>
      </c>
      <c r="W428" s="6">
        <v>141</v>
      </c>
      <c r="X428" s="6">
        <v>0</v>
      </c>
      <c r="Y428" s="6">
        <v>137</v>
      </c>
      <c r="Z428" s="6">
        <v>141</v>
      </c>
      <c r="AA428" s="6">
        <v>137</v>
      </c>
      <c r="AB428" s="6">
        <v>137</v>
      </c>
      <c r="AC428" s="6">
        <v>135</v>
      </c>
      <c r="AD428" s="6">
        <v>132</v>
      </c>
      <c r="AE428" s="6">
        <v>133</v>
      </c>
      <c r="AJ428" s="3">
        <v>2013</v>
      </c>
    </row>
    <row r="429" spans="1:49" x14ac:dyDescent="0.25">
      <c r="A429" s="3">
        <v>2012</v>
      </c>
      <c r="S429" s="3">
        <v>2012</v>
      </c>
      <c r="T429" s="6">
        <v>137</v>
      </c>
      <c r="U429" s="6">
        <v>137</v>
      </c>
      <c r="V429" s="6">
        <v>137</v>
      </c>
      <c r="W429" s="6">
        <v>137</v>
      </c>
      <c r="X429" s="6">
        <v>137</v>
      </c>
      <c r="Y429" s="6">
        <v>137</v>
      </c>
      <c r="Z429" s="6">
        <v>137</v>
      </c>
      <c r="AA429" s="6">
        <v>137</v>
      </c>
      <c r="AB429" s="6">
        <v>137</v>
      </c>
      <c r="AC429" s="6">
        <v>137</v>
      </c>
      <c r="AD429" s="6">
        <v>137</v>
      </c>
      <c r="AE429" s="6">
        <v>137</v>
      </c>
      <c r="AJ429" s="3">
        <v>2012</v>
      </c>
    </row>
    <row r="430" spans="1:49" x14ac:dyDescent="0.25">
      <c r="A430" s="3">
        <v>2011</v>
      </c>
      <c r="S430" s="3">
        <v>2011</v>
      </c>
      <c r="T430" s="6"/>
      <c r="U430" s="6"/>
      <c r="V430" s="6"/>
      <c r="W430" s="6"/>
      <c r="X430" s="6"/>
      <c r="Y430" s="6"/>
      <c r="Z430" s="6"/>
      <c r="AA430" s="6">
        <v>137</v>
      </c>
      <c r="AB430" s="6">
        <v>137</v>
      </c>
      <c r="AC430" s="6">
        <v>137</v>
      </c>
      <c r="AD430" s="6">
        <v>137</v>
      </c>
      <c r="AE430" s="6">
        <v>137</v>
      </c>
      <c r="AJ430" s="3">
        <v>2011</v>
      </c>
    </row>
    <row r="431" spans="1:49" x14ac:dyDescent="0.25">
      <c r="A431" s="3">
        <v>2010</v>
      </c>
      <c r="S431" s="3">
        <v>2010</v>
      </c>
      <c r="AJ431" s="3">
        <v>2010</v>
      </c>
    </row>
    <row r="432" spans="1:49" x14ac:dyDescent="0.25">
      <c r="A432" s="3">
        <v>2009</v>
      </c>
      <c r="S432" s="3">
        <v>2009</v>
      </c>
      <c r="AJ432" s="3">
        <v>2009</v>
      </c>
    </row>
    <row r="434" spans="1:49" x14ac:dyDescent="0.25">
      <c r="A434" s="3" t="s">
        <v>79</v>
      </c>
    </row>
    <row r="436" spans="1:49" ht="60" x14ac:dyDescent="0.25">
      <c r="A436" s="165" t="s">
        <v>75</v>
      </c>
      <c r="B436" s="111" t="s">
        <v>0</v>
      </c>
      <c r="C436" s="111" t="s">
        <v>1</v>
      </c>
      <c r="D436" s="111" t="s">
        <v>2</v>
      </c>
      <c r="E436" s="111" t="s">
        <v>3</v>
      </c>
      <c r="F436" s="111" t="s">
        <v>4</v>
      </c>
      <c r="G436" s="111" t="s">
        <v>5</v>
      </c>
      <c r="H436" s="111" t="s">
        <v>6</v>
      </c>
      <c r="I436" s="111" t="s">
        <v>7</v>
      </c>
      <c r="J436" s="111" t="s">
        <v>8</v>
      </c>
      <c r="K436" s="111" t="s">
        <v>9</v>
      </c>
      <c r="L436" s="111" t="s">
        <v>10</v>
      </c>
      <c r="M436" s="111" t="s">
        <v>11</v>
      </c>
      <c r="N436" s="112" t="s">
        <v>78</v>
      </c>
      <c r="O436" s="112" t="s">
        <v>77</v>
      </c>
      <c r="P436" s="139" t="s">
        <v>162</v>
      </c>
      <c r="Q436" s="140" t="s">
        <v>72</v>
      </c>
      <c r="S436" s="165" t="s">
        <v>91</v>
      </c>
      <c r="T436" s="53" t="s">
        <v>0</v>
      </c>
      <c r="U436" s="53" t="s">
        <v>1</v>
      </c>
      <c r="V436" s="53" t="s">
        <v>2</v>
      </c>
      <c r="W436" s="53" t="s">
        <v>3</v>
      </c>
      <c r="X436" s="53" t="s">
        <v>4</v>
      </c>
      <c r="Y436" s="53" t="s">
        <v>5</v>
      </c>
      <c r="Z436" s="53" t="s">
        <v>6</v>
      </c>
      <c r="AA436" s="53" t="s">
        <v>7</v>
      </c>
      <c r="AB436" s="53" t="s">
        <v>8</v>
      </c>
      <c r="AC436" s="53" t="s">
        <v>9</v>
      </c>
      <c r="AD436" s="53" t="s">
        <v>10</v>
      </c>
      <c r="AE436" s="53" t="s">
        <v>11</v>
      </c>
      <c r="AF436" s="30" t="s">
        <v>164</v>
      </c>
      <c r="AG436" s="30" t="s">
        <v>167</v>
      </c>
      <c r="AH436" s="54"/>
      <c r="AJ436" s="165" t="s">
        <v>84</v>
      </c>
      <c r="AK436" s="53" t="s">
        <v>0</v>
      </c>
      <c r="AL436" s="53" t="s">
        <v>1</v>
      </c>
      <c r="AM436" s="53" t="s">
        <v>2</v>
      </c>
      <c r="AN436" s="53" t="s">
        <v>3</v>
      </c>
      <c r="AO436" s="53" t="s">
        <v>4</v>
      </c>
      <c r="AP436" s="53" t="s">
        <v>5</v>
      </c>
      <c r="AQ436" s="53" t="s">
        <v>6</v>
      </c>
      <c r="AR436" s="53" t="s">
        <v>7</v>
      </c>
      <c r="AS436" s="53" t="s">
        <v>8</v>
      </c>
      <c r="AT436" s="53" t="s">
        <v>9</v>
      </c>
      <c r="AU436" s="53" t="s">
        <v>10</v>
      </c>
      <c r="AV436" s="53" t="s">
        <v>11</v>
      </c>
      <c r="AW436" s="5" t="s">
        <v>49</v>
      </c>
    </row>
    <row r="437" spans="1:49" x14ac:dyDescent="0.25">
      <c r="A437" s="77">
        <v>2023</v>
      </c>
      <c r="B437" s="189">
        <v>3278.02</v>
      </c>
      <c r="C437" s="189">
        <v>3036.34</v>
      </c>
      <c r="D437" s="189">
        <v>3734.47</v>
      </c>
      <c r="E437" s="189">
        <v>3065.0059999999999</v>
      </c>
      <c r="F437" s="189">
        <v>3606.5129999999999</v>
      </c>
      <c r="G437" s="189">
        <v>544.87</v>
      </c>
      <c r="H437" s="189">
        <v>7354.6120000000001</v>
      </c>
      <c r="I437" s="189">
        <v>4016.01</v>
      </c>
      <c r="J437" s="189">
        <v>3538.13</v>
      </c>
      <c r="K437" s="189">
        <v>3376.0940000000001</v>
      </c>
      <c r="L437" s="189">
        <v>3555.05</v>
      </c>
      <c r="M437" s="189">
        <v>3097.42</v>
      </c>
      <c r="N437" s="115">
        <f t="shared" ref="N437:N439" si="879">SUM(B437:G437)+SUM(H438:M438)</f>
        <v>38814.458999999995</v>
      </c>
      <c r="O437" s="115">
        <f t="shared" ref="O437:O440" si="880">SUM(B437:M437)</f>
        <v>42202.535000000003</v>
      </c>
      <c r="P437" s="139"/>
      <c r="Q437" s="140"/>
      <c r="S437" s="77">
        <v>2023</v>
      </c>
      <c r="T437" s="189">
        <v>917</v>
      </c>
      <c r="U437" s="189">
        <v>918</v>
      </c>
      <c r="V437" s="189">
        <v>917</v>
      </c>
      <c r="W437" s="189">
        <v>917</v>
      </c>
      <c r="X437" s="189">
        <v>915</v>
      </c>
      <c r="Y437" s="189">
        <v>914</v>
      </c>
      <c r="Z437" s="189">
        <v>914</v>
      </c>
      <c r="AA437" s="189">
        <v>917</v>
      </c>
      <c r="AB437" s="189">
        <v>918</v>
      </c>
      <c r="AC437" s="189">
        <v>920</v>
      </c>
      <c r="AD437" s="189">
        <v>921</v>
      </c>
      <c r="AE437" s="189">
        <v>921</v>
      </c>
      <c r="AF437" s="96">
        <f>(SUM(T437:Y437)+SUM(Z438:AE438))/12</f>
        <v>915.33333333333337</v>
      </c>
      <c r="AG437" s="83">
        <f>SUM(T437:AE437)/12</f>
        <v>917.41666666666663</v>
      </c>
      <c r="AH437" s="54"/>
      <c r="AJ437" s="77">
        <v>2023</v>
      </c>
      <c r="AK437" s="84">
        <f>B437/T437</f>
        <v>3.5747219193020721</v>
      </c>
      <c r="AL437" s="84">
        <f t="shared" ref="AL437" si="881">C437/U437</f>
        <v>3.3075599128540305</v>
      </c>
      <c r="AM437" s="84">
        <f t="shared" ref="AM437" si="882">D437/V437</f>
        <v>4.0724863685932382</v>
      </c>
      <c r="AN437" s="84">
        <f t="shared" ref="AN437" si="883">E437/W437</f>
        <v>3.3424274809160304</v>
      </c>
      <c r="AO437" s="84">
        <f t="shared" ref="AO437" si="884">F437/X437</f>
        <v>3.941544262295082</v>
      </c>
      <c r="AP437" s="84">
        <f t="shared" ref="AP437" si="885">G437/Y437</f>
        <v>0.59613785557986876</v>
      </c>
      <c r="AQ437" s="84">
        <f t="shared" ref="AQ437" si="886">H437/Z437</f>
        <v>8.0466214442013122</v>
      </c>
      <c r="AR437" s="84">
        <f t="shared" ref="AR437" si="887">I437/AA437</f>
        <v>4.379509269356598</v>
      </c>
      <c r="AS437" s="84">
        <f t="shared" ref="AS437" si="888">J437/AB437</f>
        <v>3.8541721132897604</v>
      </c>
      <c r="AT437" s="84">
        <f t="shared" ref="AT437" si="889">K437/AC437</f>
        <v>3.669667391304348</v>
      </c>
      <c r="AU437" s="84">
        <f t="shared" ref="AU437" si="890">L437/AD437</f>
        <v>3.8599891422366994</v>
      </c>
      <c r="AV437" s="84">
        <f t="shared" ref="AV437" si="891">M437/AE437</f>
        <v>3.3631053203040175</v>
      </c>
      <c r="AW437" s="90">
        <f>(SUM(AK437:AP437)+SUM(AQ437:AV437))/365.25</f>
        <v>0.1259628815338345</v>
      </c>
    </row>
    <row r="438" spans="1:49" x14ac:dyDescent="0.25">
      <c r="A438" s="61">
        <v>2022</v>
      </c>
      <c r="B438" s="190">
        <v>3322.7</v>
      </c>
      <c r="C438" s="190">
        <v>3142.5</v>
      </c>
      <c r="D438" s="190">
        <v>3606.21</v>
      </c>
      <c r="E438" s="190">
        <v>3268.25</v>
      </c>
      <c r="F438" s="190">
        <v>-90.47</v>
      </c>
      <c r="G438" s="190">
        <v>7097.4800000000005</v>
      </c>
      <c r="H438" s="190">
        <v>3703.8589999999995</v>
      </c>
      <c r="I438" s="190">
        <v>32.630000000000003</v>
      </c>
      <c r="J438" s="190">
        <v>7655.7</v>
      </c>
      <c r="K438" s="190">
        <v>3414.18</v>
      </c>
      <c r="L438" s="190">
        <v>3524.41</v>
      </c>
      <c r="M438" s="190">
        <v>3218.4609999999998</v>
      </c>
      <c r="N438" s="115">
        <f t="shared" si="879"/>
        <v>41024.21</v>
      </c>
      <c r="O438" s="115">
        <f t="shared" si="880"/>
        <v>41895.910000000011</v>
      </c>
      <c r="P438" s="139"/>
      <c r="Q438" s="140"/>
      <c r="S438" s="61">
        <v>2022</v>
      </c>
      <c r="T438" s="190">
        <v>912</v>
      </c>
      <c r="U438" s="190">
        <v>913</v>
      </c>
      <c r="V438" s="190">
        <v>912</v>
      </c>
      <c r="W438" s="190">
        <v>914</v>
      </c>
      <c r="X438" s="190">
        <v>913</v>
      </c>
      <c r="Y438" s="190">
        <v>915</v>
      </c>
      <c r="Z438" s="190">
        <v>914</v>
      </c>
      <c r="AA438" s="190">
        <v>914</v>
      </c>
      <c r="AB438" s="190">
        <v>910</v>
      </c>
      <c r="AC438" s="190">
        <v>915</v>
      </c>
      <c r="AD438" s="190">
        <v>915</v>
      </c>
      <c r="AE438" s="190">
        <v>918</v>
      </c>
      <c r="AF438" s="96">
        <f>(SUM(T438:Y438)+SUM(Z439:AE439))/12</f>
        <v>910.16666666666663</v>
      </c>
      <c r="AG438" s="83">
        <f t="shared" ref="AG438:AG441" si="892">SUM(T438:AE438)/12</f>
        <v>913.75</v>
      </c>
      <c r="AH438" s="54"/>
      <c r="AJ438" s="61">
        <v>2022</v>
      </c>
      <c r="AK438" s="84">
        <f>B438/T438</f>
        <v>3.6433114035087719</v>
      </c>
      <c r="AL438" s="84">
        <f t="shared" ref="AL438" si="893">C438/U438</f>
        <v>3.441949616648412</v>
      </c>
      <c r="AM438" s="84">
        <f t="shared" ref="AM438" si="894">D438/V438</f>
        <v>3.9541776315789474</v>
      </c>
      <c r="AN438" s="84">
        <f t="shared" ref="AN438" si="895">E438/W438</f>
        <v>3.5757658643326038</v>
      </c>
      <c r="AO438" s="84">
        <f t="shared" ref="AO438" si="896">F438/X438</f>
        <v>-9.9090909090909091E-2</v>
      </c>
      <c r="AP438" s="84">
        <f t="shared" ref="AP438" si="897">G438/Y438</f>
        <v>7.7568087431693993</v>
      </c>
      <c r="AQ438" s="84">
        <f t="shared" ref="AQ438" si="898">H438/Z438</f>
        <v>4.0523621444201305</v>
      </c>
      <c r="AR438" s="84">
        <f t="shared" ref="AR438" si="899">I438/AA438</f>
        <v>3.5700218818380744E-2</v>
      </c>
      <c r="AS438" s="84">
        <f t="shared" ref="AS438" si="900">J438/AB438</f>
        <v>8.4128571428571419</v>
      </c>
      <c r="AT438" s="84">
        <f t="shared" ref="AT438" si="901">K438/AC438</f>
        <v>3.7313442622950816</v>
      </c>
      <c r="AU438" s="84">
        <f t="shared" ref="AU438" si="902">L438/AD438</f>
        <v>3.851814207650273</v>
      </c>
      <c r="AV438" s="84">
        <f t="shared" ref="AV438" si="903">M438/AE438</f>
        <v>3.5059488017429192</v>
      </c>
      <c r="AW438" s="90">
        <f>(SUM(AK438:AP438)+SUM(AQ438:AV438))/365.25</f>
        <v>0.12556591137010584</v>
      </c>
    </row>
    <row r="439" spans="1:49" x14ac:dyDescent="0.25">
      <c r="A439" s="61">
        <v>2021</v>
      </c>
      <c r="B439" s="190">
        <v>3048.3999999999996</v>
      </c>
      <c r="C439" s="190">
        <v>14.38</v>
      </c>
      <c r="D439" s="190">
        <v>6503.692</v>
      </c>
      <c r="E439" s="190">
        <v>37.04</v>
      </c>
      <c r="F439" s="190">
        <v>6259.3</v>
      </c>
      <c r="G439" s="190">
        <v>3545.8</v>
      </c>
      <c r="H439" s="190">
        <v>3895.91</v>
      </c>
      <c r="I439" s="190">
        <v>3543.5199999999995</v>
      </c>
      <c r="J439" s="190">
        <v>3664.96</v>
      </c>
      <c r="K439" s="190">
        <v>3095.48</v>
      </c>
      <c r="L439" s="190">
        <v>2914.62</v>
      </c>
      <c r="M439" s="190">
        <v>3563.05</v>
      </c>
      <c r="N439" s="115">
        <f t="shared" si="879"/>
        <v>40714.046000000002</v>
      </c>
      <c r="O439" s="115">
        <f t="shared" si="880"/>
        <v>40086.152000000009</v>
      </c>
      <c r="P439" s="139"/>
      <c r="Q439" s="140"/>
      <c r="S439" s="61">
        <v>2021</v>
      </c>
      <c r="T439" s="190">
        <v>899</v>
      </c>
      <c r="U439" s="190">
        <v>900</v>
      </c>
      <c r="V439" s="190">
        <v>902</v>
      </c>
      <c r="W439" s="190">
        <v>901</v>
      </c>
      <c r="X439" s="190">
        <v>904</v>
      </c>
      <c r="Y439" s="190">
        <v>906</v>
      </c>
      <c r="Z439" s="190">
        <v>905</v>
      </c>
      <c r="AA439" s="190">
        <v>906</v>
      </c>
      <c r="AB439" s="190">
        <v>906</v>
      </c>
      <c r="AC439" s="190">
        <v>907</v>
      </c>
      <c r="AD439" s="190">
        <v>908</v>
      </c>
      <c r="AE439" s="190">
        <v>911</v>
      </c>
      <c r="AF439" s="96">
        <f>(SUM(T439:Y439)+SUM(Z440:AE440))/12</f>
        <v>900.58333333333337</v>
      </c>
      <c r="AG439" s="83">
        <f t="shared" si="892"/>
        <v>904.58333333333337</v>
      </c>
      <c r="AH439" s="54"/>
      <c r="AJ439" s="61">
        <v>2021</v>
      </c>
      <c r="AK439" s="84">
        <f>B439/T439</f>
        <v>3.3908787541713012</v>
      </c>
      <c r="AL439" s="84">
        <f t="shared" ref="AL439" si="904">C439/U439</f>
        <v>1.5977777777777778E-2</v>
      </c>
      <c r="AM439" s="84">
        <f t="shared" ref="AM439" si="905">D439/V439</f>
        <v>7.2103015521064302</v>
      </c>
      <c r="AN439" s="84">
        <f t="shared" ref="AN439" si="906">E439/W439</f>
        <v>4.1109877913429523E-2</v>
      </c>
      <c r="AO439" s="84">
        <f t="shared" ref="AO439" si="907">F439/X439</f>
        <v>6.9240044247787615</v>
      </c>
      <c r="AP439" s="84">
        <f t="shared" ref="AP439" si="908">G439/Y439</f>
        <v>3.9136865342163358</v>
      </c>
      <c r="AQ439" s="84">
        <f t="shared" ref="AQ439" si="909">H439/Z439</f>
        <v>4.3048729281767955</v>
      </c>
      <c r="AR439" s="84">
        <f t="shared" ref="AR439" si="910">I439/AA439</f>
        <v>3.9111699779249443</v>
      </c>
      <c r="AS439" s="84">
        <f t="shared" ref="AS439" si="911">J439/AB439</f>
        <v>4.045209713024283</v>
      </c>
      <c r="AT439" s="84">
        <f t="shared" ref="AT439" si="912">K439/AC439</f>
        <v>3.412877618522602</v>
      </c>
      <c r="AU439" s="84">
        <f t="shared" ref="AU439" si="913">L439/AD439</f>
        <v>3.2099339207048456</v>
      </c>
      <c r="AV439" s="84">
        <f t="shared" ref="AV439" si="914">M439/AE439</f>
        <v>3.9111416026344679</v>
      </c>
      <c r="AW439" s="90">
        <f t="shared" ref="AW439:AW442" si="915">(SUM(AK439:AP439)+SUM(AQ439:AV439))/365.25</f>
        <v>0.12126260008747974</v>
      </c>
    </row>
    <row r="440" spans="1:49" x14ac:dyDescent="0.25">
      <c r="A440" s="61">
        <v>2020</v>
      </c>
      <c r="B440" s="190">
        <v>3645.982</v>
      </c>
      <c r="C440" s="190">
        <v>3182.7809999999999</v>
      </c>
      <c r="D440" s="190">
        <v>3046.0880000000002</v>
      </c>
      <c r="E440" s="190">
        <v>3872.49</v>
      </c>
      <c r="F440" s="190">
        <v>2448.52</v>
      </c>
      <c r="G440" s="190">
        <v>4867.28</v>
      </c>
      <c r="H440" s="190">
        <v>4332.4399999999996</v>
      </c>
      <c r="I440" s="190">
        <v>3214.6439999999998</v>
      </c>
      <c r="J440" s="190">
        <v>14.04</v>
      </c>
      <c r="K440" s="190">
        <v>6896.6100000000006</v>
      </c>
      <c r="L440" s="190">
        <v>3007.74</v>
      </c>
      <c r="M440" s="190">
        <v>3839.96</v>
      </c>
      <c r="N440" s="115">
        <f>SUM(B440:G440)+SUM(H441:M441)</f>
        <v>41184.868000000002</v>
      </c>
      <c r="O440" s="115">
        <f t="shared" si="880"/>
        <v>42368.574999999997</v>
      </c>
      <c r="P440" s="144"/>
      <c r="Q440" s="145"/>
      <c r="S440" s="61">
        <v>2020</v>
      </c>
      <c r="T440" s="190">
        <v>892</v>
      </c>
      <c r="U440" s="190">
        <v>892</v>
      </c>
      <c r="V440" s="190">
        <v>892</v>
      </c>
      <c r="W440" s="190">
        <v>894</v>
      </c>
      <c r="X440" s="190">
        <v>894</v>
      </c>
      <c r="Y440" s="190">
        <v>894</v>
      </c>
      <c r="Z440" s="190">
        <v>895</v>
      </c>
      <c r="AA440" s="190">
        <v>897</v>
      </c>
      <c r="AB440" s="190">
        <v>899</v>
      </c>
      <c r="AC440" s="190">
        <v>901</v>
      </c>
      <c r="AD440" s="190">
        <v>902</v>
      </c>
      <c r="AE440" s="190">
        <v>901</v>
      </c>
      <c r="AF440" s="96">
        <f>(SUM(T440:Y440)+SUM(Z441:AE441))/12</f>
        <v>892</v>
      </c>
      <c r="AG440" s="83">
        <f t="shared" si="892"/>
        <v>896.08333333333337</v>
      </c>
      <c r="AJ440" s="61">
        <v>2020</v>
      </c>
      <c r="AK440" s="84">
        <f>B440/T440</f>
        <v>4.0874237668161433</v>
      </c>
      <c r="AL440" s="84">
        <f t="shared" ref="AL440:AP441" si="916">C440/U440</f>
        <v>3.5681401345291479</v>
      </c>
      <c r="AM440" s="98">
        <f t="shared" si="916"/>
        <v>3.4148968609865471</v>
      </c>
      <c r="AN440" s="98">
        <f t="shared" si="916"/>
        <v>4.3316442953020129</v>
      </c>
      <c r="AO440" s="98">
        <f t="shared" si="916"/>
        <v>2.7388366890380311</v>
      </c>
      <c r="AP440" s="98">
        <f t="shared" si="916"/>
        <v>5.4443847874720355</v>
      </c>
      <c r="AQ440" s="98">
        <f t="shared" ref="AQ440" si="917">H440/Z440</f>
        <v>4.8407150837988819</v>
      </c>
      <c r="AR440" s="98">
        <f t="shared" ref="AR440" si="918">I440/AA440</f>
        <v>3.583772575250836</v>
      </c>
      <c r="AS440" s="98">
        <f t="shared" ref="AS440" si="919">J440/AB440</f>
        <v>1.5617352614015572E-2</v>
      </c>
      <c r="AT440" s="98">
        <f t="shared" ref="AT440" si="920">K440/AC440</f>
        <v>7.6543951165371817</v>
      </c>
      <c r="AU440" s="98">
        <f t="shared" ref="AU440" si="921">L440/AD440</f>
        <v>3.3345232815964523</v>
      </c>
      <c r="AV440" s="98">
        <f t="shared" ref="AV440" si="922">M440/AE440</f>
        <v>4.2618867924528301</v>
      </c>
      <c r="AW440" s="90">
        <f t="shared" si="915"/>
        <v>0.12943528196138018</v>
      </c>
    </row>
    <row r="441" spans="1:49" x14ac:dyDescent="0.25">
      <c r="A441" s="61">
        <v>2019</v>
      </c>
      <c r="B441" s="125">
        <v>3304</v>
      </c>
      <c r="C441" s="125">
        <v>3238</v>
      </c>
      <c r="D441" s="125">
        <v>2969</v>
      </c>
      <c r="E441" s="125">
        <v>2954.81</v>
      </c>
      <c r="F441" s="125">
        <v>3394.95</v>
      </c>
      <c r="G441" s="125">
        <v>3209.549</v>
      </c>
      <c r="H441" s="190">
        <v>3477.9950000000003</v>
      </c>
      <c r="I441" s="190">
        <v>3231.32</v>
      </c>
      <c r="J441" s="190">
        <v>3515.4199999999996</v>
      </c>
      <c r="K441" s="190">
        <v>3124.1179999999999</v>
      </c>
      <c r="L441" s="190">
        <v>3238.0240000000003</v>
      </c>
      <c r="M441" s="190">
        <v>3534.85</v>
      </c>
      <c r="N441" s="115">
        <f t="shared" ref="N441" si="923">SUM(B441:G441)+SUM(H442:M442)</f>
        <v>31035.608999999997</v>
      </c>
      <c r="O441" s="115">
        <f>SUM(B441:M441)</f>
        <v>39192.035999999993</v>
      </c>
      <c r="P441" s="144"/>
      <c r="Q441" s="145"/>
      <c r="R441" s="36"/>
      <c r="S441" s="61">
        <v>2019</v>
      </c>
      <c r="T441" s="35">
        <v>888</v>
      </c>
      <c r="U441" s="35">
        <v>888</v>
      </c>
      <c r="V441" s="35">
        <v>889</v>
      </c>
      <c r="W441" s="35">
        <v>893</v>
      </c>
      <c r="X441" s="35">
        <v>894</v>
      </c>
      <c r="Y441" s="35">
        <v>890</v>
      </c>
      <c r="Z441" s="190">
        <v>888</v>
      </c>
      <c r="AA441" s="190">
        <v>895</v>
      </c>
      <c r="AB441" s="190">
        <v>894</v>
      </c>
      <c r="AC441" s="190">
        <v>890</v>
      </c>
      <c r="AD441" s="190">
        <v>889</v>
      </c>
      <c r="AE441" s="190">
        <v>890</v>
      </c>
      <c r="AF441" s="85">
        <f>(SUM(T441:Y441)+SUM(Z442:AE442))/12</f>
        <v>889.5</v>
      </c>
      <c r="AG441" s="83">
        <f t="shared" si="892"/>
        <v>890.66666666666663</v>
      </c>
      <c r="AJ441" s="61">
        <v>2019</v>
      </c>
      <c r="AK441" s="84">
        <f>B441/T441</f>
        <v>3.7207207207207209</v>
      </c>
      <c r="AL441" s="84">
        <f t="shared" si="916"/>
        <v>3.6463963963963963</v>
      </c>
      <c r="AM441" s="84">
        <f t="shared" si="916"/>
        <v>3.3397075365579303</v>
      </c>
      <c r="AN441" s="84">
        <f t="shared" si="916"/>
        <v>3.3088577827547594</v>
      </c>
      <c r="AO441" s="84">
        <f t="shared" si="916"/>
        <v>3.7974832214765097</v>
      </c>
      <c r="AP441" s="84">
        <f t="shared" si="916"/>
        <v>3.6062348314606743</v>
      </c>
      <c r="AQ441" s="84">
        <f t="shared" ref="AQ441:AV441" si="924">H441/Z441</f>
        <v>3.9166610360360363</v>
      </c>
      <c r="AR441" s="84">
        <f t="shared" si="924"/>
        <v>3.6104134078212291</v>
      </c>
      <c r="AS441" s="84">
        <f t="shared" si="924"/>
        <v>3.9322371364653241</v>
      </c>
      <c r="AT441" s="84">
        <f t="shared" si="924"/>
        <v>3.5102449438202248</v>
      </c>
      <c r="AU441" s="84">
        <f t="shared" si="924"/>
        <v>3.6423217097862772</v>
      </c>
      <c r="AV441" s="84">
        <f t="shared" si="924"/>
        <v>3.9717415730337078</v>
      </c>
      <c r="AW441" s="90">
        <f t="shared" si="915"/>
        <v>0.12047370375449636</v>
      </c>
    </row>
    <row r="442" spans="1:49" x14ac:dyDescent="0.25">
      <c r="A442" s="61">
        <v>2018</v>
      </c>
      <c r="B442" s="116"/>
      <c r="C442" s="116"/>
      <c r="D442" s="116"/>
      <c r="E442" s="116"/>
      <c r="F442" s="116"/>
      <c r="G442" s="116"/>
      <c r="H442" s="116"/>
      <c r="I442" s="116"/>
      <c r="J442" s="116">
        <v>2721.7</v>
      </c>
      <c r="K442" s="116">
        <v>3266.7</v>
      </c>
      <c r="L442" s="116">
        <v>199.1</v>
      </c>
      <c r="M442" s="116">
        <v>5777.8</v>
      </c>
      <c r="N442" s="115"/>
      <c r="O442" s="328">
        <f>AVERAGE(J442:M442)*12</f>
        <v>35895.899999999994</v>
      </c>
      <c r="P442" s="144"/>
      <c r="Q442" s="145"/>
      <c r="S442" s="61">
        <v>2018</v>
      </c>
      <c r="T442" s="43"/>
      <c r="U442" s="43"/>
      <c r="V442" s="43"/>
      <c r="W442" s="43"/>
      <c r="X442" s="43"/>
      <c r="Y442" s="43"/>
      <c r="Z442" s="35">
        <v>888</v>
      </c>
      <c r="AA442" s="35">
        <v>884</v>
      </c>
      <c r="AB442" s="35">
        <v>890</v>
      </c>
      <c r="AC442" s="35">
        <v>890</v>
      </c>
      <c r="AD442" s="35">
        <v>890</v>
      </c>
      <c r="AE442" s="35">
        <v>890</v>
      </c>
      <c r="AG442" s="307">
        <f>SUM(T442:AE442)/6</f>
        <v>888.66666666666663</v>
      </c>
      <c r="AJ442" s="61">
        <v>2018</v>
      </c>
      <c r="AK442" s="84"/>
      <c r="AL442" s="84"/>
      <c r="AM442" s="84"/>
      <c r="AN442" s="84"/>
      <c r="AO442" s="84"/>
      <c r="AP442" s="84"/>
      <c r="AQ442" s="98">
        <v>3.92</v>
      </c>
      <c r="AR442" s="98">
        <v>3.61</v>
      </c>
      <c r="AS442" s="84">
        <f>J442/AB442</f>
        <v>3.0580898876404494</v>
      </c>
      <c r="AT442" s="84">
        <f>K442/AC442</f>
        <v>3.670449438202247</v>
      </c>
      <c r="AU442" s="84">
        <f>L442/AD442</f>
        <v>0.22370786516853933</v>
      </c>
      <c r="AV442" s="84">
        <f>M442/AE442</f>
        <v>6.4919101123595508</v>
      </c>
      <c r="AW442" s="90">
        <f t="shared" si="915"/>
        <v>5.7424113082466213E-2</v>
      </c>
    </row>
    <row r="443" spans="1:49" x14ac:dyDescent="0.25">
      <c r="A443" s="3">
        <v>2017</v>
      </c>
      <c r="P443" s="144"/>
      <c r="Q443" s="145"/>
      <c r="S443" s="3">
        <v>2017</v>
      </c>
      <c r="AJ443" s="3">
        <v>2017</v>
      </c>
    </row>
    <row r="444" spans="1:49" x14ac:dyDescent="0.25">
      <c r="A444" s="3">
        <v>2016</v>
      </c>
      <c r="P444" s="144"/>
      <c r="Q444" s="145"/>
      <c r="S444" s="3">
        <v>2016</v>
      </c>
      <c r="AJ444" s="3">
        <v>2016</v>
      </c>
      <c r="AV444" t="s">
        <v>166</v>
      </c>
      <c r="AW444" s="72">
        <f>SUM(AW437:AW441)/5</f>
        <v>0.12454007574145934</v>
      </c>
    </row>
    <row r="445" spans="1:49" x14ac:dyDescent="0.25">
      <c r="P445" s="144"/>
      <c r="Q445" s="145"/>
    </row>
    <row r="446" spans="1:49" x14ac:dyDescent="0.25">
      <c r="P446" s="144"/>
      <c r="Q446" s="145"/>
    </row>
    <row r="447" spans="1:49" ht="60" x14ac:dyDescent="0.25">
      <c r="A447" s="165" t="s">
        <v>76</v>
      </c>
      <c r="B447" s="111" t="s">
        <v>0</v>
      </c>
      <c r="C447" s="111" t="s">
        <v>1</v>
      </c>
      <c r="D447" s="111" t="s">
        <v>2</v>
      </c>
      <c r="E447" s="111" t="s">
        <v>3</v>
      </c>
      <c r="F447" s="111" t="s">
        <v>4</v>
      </c>
      <c r="G447" s="111" t="s">
        <v>5</v>
      </c>
      <c r="H447" s="111" t="s">
        <v>6</v>
      </c>
      <c r="I447" s="111" t="s">
        <v>7</v>
      </c>
      <c r="J447" s="111" t="s">
        <v>8</v>
      </c>
      <c r="K447" s="111" t="s">
        <v>9</v>
      </c>
      <c r="L447" s="111" t="s">
        <v>10</v>
      </c>
      <c r="M447" s="111" t="s">
        <v>11</v>
      </c>
      <c r="N447" s="112" t="s">
        <v>78</v>
      </c>
      <c r="O447" s="112" t="s">
        <v>77</v>
      </c>
      <c r="P447" s="139" t="s">
        <v>162</v>
      </c>
      <c r="Q447" s="140" t="s">
        <v>72</v>
      </c>
      <c r="S447" s="165" t="s">
        <v>92</v>
      </c>
      <c r="T447" s="53" t="s">
        <v>0</v>
      </c>
      <c r="U447" s="53" t="s">
        <v>1</v>
      </c>
      <c r="V447" s="53" t="s">
        <v>2</v>
      </c>
      <c r="W447" s="53" t="s">
        <v>3</v>
      </c>
      <c r="X447" s="53" t="s">
        <v>4</v>
      </c>
      <c r="Y447" s="53" t="s">
        <v>5</v>
      </c>
      <c r="Z447" s="53" t="s">
        <v>6</v>
      </c>
      <c r="AA447" s="53" t="s">
        <v>7</v>
      </c>
      <c r="AB447" s="53" t="s">
        <v>8</v>
      </c>
      <c r="AC447" s="53" t="s">
        <v>9</v>
      </c>
      <c r="AD447" s="53" t="s">
        <v>10</v>
      </c>
      <c r="AE447" s="53" t="s">
        <v>11</v>
      </c>
      <c r="AF447" s="30" t="s">
        <v>164</v>
      </c>
      <c r="AG447" s="30" t="s">
        <v>167</v>
      </c>
      <c r="AH447" s="54"/>
      <c r="AJ447" s="165" t="s">
        <v>85</v>
      </c>
      <c r="AK447" s="53" t="s">
        <v>0</v>
      </c>
      <c r="AL447" s="53" t="s">
        <v>1</v>
      </c>
      <c r="AM447" s="53" t="s">
        <v>2</v>
      </c>
      <c r="AN447" s="53" t="s">
        <v>3</v>
      </c>
      <c r="AO447" s="53" t="s">
        <v>4</v>
      </c>
      <c r="AP447" s="53" t="s">
        <v>5</v>
      </c>
      <c r="AQ447" s="53" t="s">
        <v>6</v>
      </c>
      <c r="AR447" s="53" t="s">
        <v>7</v>
      </c>
      <c r="AS447" s="53" t="s">
        <v>8</v>
      </c>
      <c r="AT447" s="53" t="s">
        <v>9</v>
      </c>
      <c r="AU447" s="53" t="s">
        <v>10</v>
      </c>
      <c r="AV447" s="53" t="s">
        <v>11</v>
      </c>
      <c r="AW447" s="5" t="s">
        <v>49</v>
      </c>
    </row>
    <row r="448" spans="1:49" x14ac:dyDescent="0.25">
      <c r="A448" s="77">
        <v>2023</v>
      </c>
      <c r="B448" s="189">
        <v>249.7</v>
      </c>
      <c r="C448" s="189">
        <v>206.1</v>
      </c>
      <c r="D448" s="189">
        <v>190</v>
      </c>
      <c r="E448" s="189">
        <v>205.1</v>
      </c>
      <c r="F448" s="189">
        <v>263.5</v>
      </c>
      <c r="G448" s="189">
        <v>388.416</v>
      </c>
      <c r="H448" s="189">
        <v>282.39999999999998</v>
      </c>
      <c r="I448" s="189">
        <v>322.8</v>
      </c>
      <c r="J448" s="189">
        <v>369.6</v>
      </c>
      <c r="K448" s="189">
        <v>338.2</v>
      </c>
      <c r="L448" s="189">
        <v>346.5</v>
      </c>
      <c r="M448" s="189">
        <v>281.10000000000002</v>
      </c>
      <c r="N448" s="131">
        <f t="shared" ref="N448:N450" si="925">SUM(B448:G448)+SUM(H449:M449)</f>
        <v>2895.192</v>
      </c>
      <c r="O448" s="115">
        <f t="shared" ref="O448:O451" si="926">SUM(B448:M448)</f>
        <v>3443.4159999999997</v>
      </c>
      <c r="P448" s="144"/>
      <c r="Q448" s="145"/>
      <c r="S448" s="77">
        <v>2023</v>
      </c>
      <c r="T448" s="189">
        <v>78</v>
      </c>
      <c r="U448" s="189">
        <v>77</v>
      </c>
      <c r="V448" s="189">
        <v>82</v>
      </c>
      <c r="W448" s="189">
        <v>86</v>
      </c>
      <c r="X448" s="189">
        <v>89</v>
      </c>
      <c r="Y448" s="189">
        <v>89</v>
      </c>
      <c r="Z448" s="189">
        <v>91</v>
      </c>
      <c r="AA448" s="189">
        <v>91</v>
      </c>
      <c r="AB448" s="189">
        <v>91</v>
      </c>
      <c r="AC448" s="189">
        <v>89</v>
      </c>
      <c r="AD448" s="189">
        <v>82</v>
      </c>
      <c r="AE448" s="189">
        <v>79</v>
      </c>
      <c r="AF448" s="94">
        <f>(SUM(Z449:AE449)+SUM(T448:Y448))/12</f>
        <v>83.5</v>
      </c>
      <c r="AG448" s="83">
        <f>SUM(T448:AE448)/12</f>
        <v>85.333333333333329</v>
      </c>
      <c r="AH448" s="54"/>
      <c r="AJ448" s="77">
        <v>2023</v>
      </c>
      <c r="AK448" s="9">
        <f>B448/T448</f>
        <v>3.201282051282051</v>
      </c>
      <c r="AL448" s="9">
        <f t="shared" ref="AL448" si="927">C448/U448</f>
        <v>2.6766233766233767</v>
      </c>
      <c r="AM448" s="9">
        <f t="shared" ref="AM448" si="928">D448/V448</f>
        <v>2.3170731707317072</v>
      </c>
      <c r="AN448" s="9">
        <f t="shared" ref="AN448" si="929">E448/W448</f>
        <v>2.3848837209302327</v>
      </c>
      <c r="AO448" s="9">
        <f t="shared" ref="AO448" si="930">F448/X448</f>
        <v>2.9606741573033708</v>
      </c>
      <c r="AP448" s="9">
        <f t="shared" ref="AP448" si="931">G448/Y448</f>
        <v>4.3642247191011236</v>
      </c>
      <c r="AQ448" s="9">
        <f t="shared" ref="AQ448" si="932">H448/Z448</f>
        <v>3.1032967032967029</v>
      </c>
      <c r="AR448" s="9">
        <f t="shared" ref="AR448" si="933">I448/AA448</f>
        <v>3.5472527472527475</v>
      </c>
      <c r="AS448" s="9">
        <f t="shared" ref="AS448" si="934">J448/AB448</f>
        <v>4.0615384615384622</v>
      </c>
      <c r="AT448" s="9">
        <f t="shared" ref="AT448" si="935">K448/AC448</f>
        <v>3.8</v>
      </c>
      <c r="AU448" s="9">
        <f t="shared" ref="AU448" si="936">L448/AD448</f>
        <v>4.225609756097561</v>
      </c>
      <c r="AV448" s="9">
        <f t="shared" ref="AV448" si="937">M448/AE448</f>
        <v>3.5582278481012661</v>
      </c>
      <c r="AW448" s="91">
        <f>(SUM(AQ448:AV448)+SUM(AK448:AP448))/365.25</f>
        <v>0.11006348175840824</v>
      </c>
    </row>
    <row r="449" spans="1:49" x14ac:dyDescent="0.25">
      <c r="A449" s="61">
        <v>2022</v>
      </c>
      <c r="B449" s="190">
        <v>206.95</v>
      </c>
      <c r="C449" s="190">
        <v>244.5</v>
      </c>
      <c r="D449" s="190">
        <v>167.4</v>
      </c>
      <c r="E449" s="190">
        <v>191.4</v>
      </c>
      <c r="F449" s="190">
        <v>188.2</v>
      </c>
      <c r="G449" s="190">
        <v>365.3</v>
      </c>
      <c r="H449" s="190">
        <v>244.94400000000002</v>
      </c>
      <c r="I449" s="190">
        <v>264.39999999999998</v>
      </c>
      <c r="J449" s="190">
        <v>239.2</v>
      </c>
      <c r="K449" s="190">
        <v>229.7</v>
      </c>
      <c r="L449" s="190">
        <v>316.8</v>
      </c>
      <c r="M449" s="190">
        <v>97.331999999999994</v>
      </c>
      <c r="N449" s="131">
        <f t="shared" si="925"/>
        <v>2872.2370000000001</v>
      </c>
      <c r="O449" s="115">
        <f t="shared" si="926"/>
        <v>2756.1259999999997</v>
      </c>
      <c r="P449" s="144"/>
      <c r="Q449" s="145"/>
      <c r="S449" s="61">
        <v>2022</v>
      </c>
      <c r="T449" s="190">
        <v>79</v>
      </c>
      <c r="U449" s="190">
        <v>78</v>
      </c>
      <c r="V449" s="190">
        <v>81</v>
      </c>
      <c r="W449" s="190">
        <v>83</v>
      </c>
      <c r="X449" s="190">
        <v>85</v>
      </c>
      <c r="Y449" s="190">
        <v>88</v>
      </c>
      <c r="Z449" s="190">
        <v>87</v>
      </c>
      <c r="AA449" s="190">
        <v>87</v>
      </c>
      <c r="AB449" s="190">
        <v>87</v>
      </c>
      <c r="AC449" s="190">
        <v>85</v>
      </c>
      <c r="AD449" s="190">
        <v>78</v>
      </c>
      <c r="AE449" s="190">
        <v>77</v>
      </c>
      <c r="AF449" s="94">
        <f>(SUM(Z450:AE450)+SUM(T449:Y449))/12</f>
        <v>82.583333333333329</v>
      </c>
      <c r="AG449" s="83">
        <f t="shared" ref="AG449:AG452" si="938">SUM(T449:AE449)/12</f>
        <v>82.916666666666671</v>
      </c>
      <c r="AH449" s="54"/>
      <c r="AJ449" s="61">
        <v>2022</v>
      </c>
      <c r="AK449" s="9">
        <f>B449/T449</f>
        <v>2.6196202531645567</v>
      </c>
      <c r="AL449" s="9">
        <f t="shared" ref="AL449" si="939">C449/U449</f>
        <v>3.1346153846153846</v>
      </c>
      <c r="AM449" s="9">
        <f t="shared" ref="AM449" si="940">D449/V449</f>
        <v>2.0666666666666669</v>
      </c>
      <c r="AN449" s="9">
        <f t="shared" ref="AN449" si="941">E449/W449</f>
        <v>2.3060240963855421</v>
      </c>
      <c r="AO449" s="9">
        <f t="shared" ref="AO449" si="942">F449/X449</f>
        <v>2.2141176470588233</v>
      </c>
      <c r="AP449" s="9">
        <f t="shared" ref="AP449" si="943">G449/Y449</f>
        <v>4.1511363636363638</v>
      </c>
      <c r="AQ449" s="9">
        <f t="shared" ref="AQ449" si="944">H449/Z449</f>
        <v>2.8154482758620691</v>
      </c>
      <c r="AR449" s="9">
        <f t="shared" ref="AR449" si="945">I449/AA449</f>
        <v>3.0390804597701147</v>
      </c>
      <c r="AS449" s="9">
        <f t="shared" ref="AS449" si="946">J449/AB449</f>
        <v>2.7494252873563219</v>
      </c>
      <c r="AT449" s="9">
        <f t="shared" ref="AT449" si="947">K449/AC449</f>
        <v>2.7023529411764704</v>
      </c>
      <c r="AU449" s="9">
        <f t="shared" ref="AU449" si="948">L449/AD449</f>
        <v>4.0615384615384613</v>
      </c>
      <c r="AV449" s="9">
        <f t="shared" ref="AV449" si="949">M449/AE449</f>
        <v>1.2640519480519479</v>
      </c>
      <c r="AW449" s="91">
        <f>(SUM(AQ449:AV449)+SUM(AK449:AP449))/365.25</f>
        <v>9.0688782437461257E-2</v>
      </c>
    </row>
    <row r="450" spans="1:49" x14ac:dyDescent="0.25">
      <c r="A450" s="61">
        <v>2021</v>
      </c>
      <c r="B450" s="190">
        <v>383.3</v>
      </c>
      <c r="C450" s="190">
        <v>261.02499999999998</v>
      </c>
      <c r="D450" s="190">
        <v>233.6</v>
      </c>
      <c r="E450" s="190">
        <v>58.955999999999996</v>
      </c>
      <c r="F450" s="190">
        <v>222.5</v>
      </c>
      <c r="G450" s="190">
        <v>342.7</v>
      </c>
      <c r="H450" s="190">
        <v>324.60000000000002</v>
      </c>
      <c r="I450" s="190">
        <v>287.98699999999997</v>
      </c>
      <c r="J450" s="190">
        <v>217.1</v>
      </c>
      <c r="K450" s="190">
        <v>190.3</v>
      </c>
      <c r="L450" s="190">
        <v>290.89999999999998</v>
      </c>
      <c r="M450" s="190">
        <v>197.6</v>
      </c>
      <c r="N450" s="131">
        <f t="shared" si="925"/>
        <v>3240.953</v>
      </c>
      <c r="O450" s="115">
        <f t="shared" si="926"/>
        <v>3010.5680000000002</v>
      </c>
      <c r="P450" s="144"/>
      <c r="Q450" s="145"/>
      <c r="S450" s="61">
        <v>2021</v>
      </c>
      <c r="T450" s="190">
        <v>72</v>
      </c>
      <c r="U450" s="190">
        <v>74</v>
      </c>
      <c r="V450" s="190">
        <v>78</v>
      </c>
      <c r="W450" s="190">
        <v>83</v>
      </c>
      <c r="X450" s="190">
        <v>82</v>
      </c>
      <c r="Y450" s="190">
        <v>83</v>
      </c>
      <c r="Z450" s="190">
        <v>83</v>
      </c>
      <c r="AA450" s="190">
        <v>83</v>
      </c>
      <c r="AB450" s="190">
        <v>84</v>
      </c>
      <c r="AC450" s="190">
        <v>86</v>
      </c>
      <c r="AD450" s="190">
        <v>80</v>
      </c>
      <c r="AE450" s="190">
        <v>81</v>
      </c>
      <c r="AF450" s="94">
        <f>(SUM(Z451:AE451)+SUM(T450:Y450))/12</f>
        <v>79.833333333333329</v>
      </c>
      <c r="AG450" s="83">
        <f t="shared" si="938"/>
        <v>80.75</v>
      </c>
      <c r="AH450" s="54"/>
      <c r="AJ450" s="61">
        <v>2021</v>
      </c>
      <c r="AK450" s="9">
        <f>B450/T450</f>
        <v>5.3236111111111111</v>
      </c>
      <c r="AL450" s="9">
        <f t="shared" ref="AL450" si="950">C450/U450</f>
        <v>3.5273648648648646</v>
      </c>
      <c r="AM450" s="9">
        <f t="shared" ref="AM450" si="951">D450/V450</f>
        <v>2.9948717948717949</v>
      </c>
      <c r="AN450" s="9">
        <f t="shared" ref="AN450" si="952">E450/W450</f>
        <v>0.71031325301204817</v>
      </c>
      <c r="AO450" s="9">
        <f t="shared" ref="AO450" si="953">F450/X450</f>
        <v>2.7134146341463414</v>
      </c>
      <c r="AP450" s="9">
        <f t="shared" ref="AP450" si="954">G450/Y450</f>
        <v>4.1289156626506021</v>
      </c>
      <c r="AQ450" s="9">
        <f t="shared" ref="AQ450" si="955">H450/Z450</f>
        <v>3.910843373493976</v>
      </c>
      <c r="AR450" s="9">
        <f t="shared" ref="AR450" si="956">I450/AA450</f>
        <v>3.4697228915662648</v>
      </c>
      <c r="AS450" s="9">
        <f t="shared" ref="AS450" si="957">J450/AB450</f>
        <v>2.5845238095238097</v>
      </c>
      <c r="AT450" s="9">
        <f t="shared" ref="AT450" si="958">K450/AC450</f>
        <v>2.2127906976744187</v>
      </c>
      <c r="AU450" s="9">
        <f t="shared" ref="AU450" si="959">L450/AD450</f>
        <v>3.6362499999999995</v>
      </c>
      <c r="AV450" s="9">
        <f t="shared" ref="AV450" si="960">M450/AE450</f>
        <v>2.439506172839506</v>
      </c>
      <c r="AW450" s="91">
        <f t="shared" ref="AW450:AW452" si="961">(SUM(AQ450:AV450)+SUM(AK450:AP450))/365.25</f>
        <v>0.10308590900959544</v>
      </c>
    </row>
    <row r="451" spans="1:49" x14ac:dyDescent="0.25">
      <c r="A451" s="61">
        <v>2020</v>
      </c>
      <c r="B451" s="190">
        <v>185.31399999999999</v>
      </c>
      <c r="C451" s="190">
        <v>226.88200000000001</v>
      </c>
      <c r="D451" s="190">
        <v>210.9</v>
      </c>
      <c r="E451" s="190">
        <v>196.19399999999999</v>
      </c>
      <c r="F451" s="190">
        <v>230.5</v>
      </c>
      <c r="G451" s="190">
        <v>402.4</v>
      </c>
      <c r="H451" s="190">
        <v>189.4</v>
      </c>
      <c r="I451" s="190">
        <v>320.17200000000003</v>
      </c>
      <c r="J451" s="190">
        <v>298</v>
      </c>
      <c r="K451" s="190">
        <v>286.89999999999998</v>
      </c>
      <c r="L451" s="190">
        <v>327</v>
      </c>
      <c r="M451" s="190">
        <v>317.39999999999998</v>
      </c>
      <c r="N451" s="131">
        <f>SUM(B451:G451)+SUM(H452:M452)</f>
        <v>2841.49</v>
      </c>
      <c r="O451" s="115">
        <f t="shared" si="926"/>
        <v>3191.0620000000004</v>
      </c>
      <c r="P451" s="144"/>
      <c r="Q451" s="145"/>
      <c r="S451" s="61">
        <v>2020</v>
      </c>
      <c r="T451" s="190">
        <v>61</v>
      </c>
      <c r="U451" s="190">
        <v>61</v>
      </c>
      <c r="V451" s="190">
        <v>65</v>
      </c>
      <c r="W451" s="190">
        <v>74</v>
      </c>
      <c r="X451" s="190">
        <v>78</v>
      </c>
      <c r="Y451" s="190">
        <v>77</v>
      </c>
      <c r="Z451" s="190">
        <v>80</v>
      </c>
      <c r="AA451" s="190">
        <v>81</v>
      </c>
      <c r="AB451" s="190">
        <v>84</v>
      </c>
      <c r="AC451" s="190">
        <v>83</v>
      </c>
      <c r="AD451" s="190">
        <v>80</v>
      </c>
      <c r="AE451" s="190">
        <v>78</v>
      </c>
      <c r="AF451" s="94">
        <f>(SUM(Z452:AE452)+SUM(T451:Y451))/12</f>
        <v>69</v>
      </c>
      <c r="AG451" s="83">
        <f t="shared" si="938"/>
        <v>75.166666666666671</v>
      </c>
      <c r="AJ451" s="61">
        <v>2020</v>
      </c>
      <c r="AK451" s="9">
        <f>B451/T451</f>
        <v>3.037934426229508</v>
      </c>
      <c r="AL451" s="9">
        <f t="shared" ref="AL451:AP452" si="962">C451/U451</f>
        <v>3.719377049180328</v>
      </c>
      <c r="AM451" s="79">
        <f t="shared" si="962"/>
        <v>3.2446153846153849</v>
      </c>
      <c r="AN451" s="79">
        <f t="shared" si="962"/>
        <v>2.65127027027027</v>
      </c>
      <c r="AO451" s="79">
        <f t="shared" si="962"/>
        <v>2.9551282051282053</v>
      </c>
      <c r="AP451" s="79">
        <f t="shared" si="962"/>
        <v>5.2259740259740255</v>
      </c>
      <c r="AQ451" s="79">
        <f t="shared" ref="AQ451" si="963">H451/Z451</f>
        <v>2.3675000000000002</v>
      </c>
      <c r="AR451" s="79">
        <f t="shared" ref="AR451" si="964">I451/AA451</f>
        <v>3.9527407407407411</v>
      </c>
      <c r="AS451" s="79">
        <f t="shared" ref="AS451" si="965">J451/AB451</f>
        <v>3.5476190476190474</v>
      </c>
      <c r="AT451" s="79">
        <f t="shared" ref="AT451" si="966">K451/AC451</f>
        <v>3.4566265060240959</v>
      </c>
      <c r="AU451" s="79">
        <f t="shared" ref="AU451" si="967">L451/AD451</f>
        <v>4.0875000000000004</v>
      </c>
      <c r="AV451" s="79">
        <f t="shared" ref="AV451" si="968">M451/AE451</f>
        <v>4.069230769230769</v>
      </c>
      <c r="AW451" s="91">
        <f t="shared" si="961"/>
        <v>0.1158535699521215</v>
      </c>
    </row>
    <row r="452" spans="1:49" x14ac:dyDescent="0.25">
      <c r="A452" s="61">
        <v>2019</v>
      </c>
      <c r="B452" s="125">
        <v>176.3</v>
      </c>
      <c r="C452" s="125">
        <v>232.9</v>
      </c>
      <c r="D452" s="125">
        <v>268.5</v>
      </c>
      <c r="E452" s="125">
        <v>254.1</v>
      </c>
      <c r="F452" s="125">
        <v>265.5</v>
      </c>
      <c r="G452" s="125">
        <v>220.1</v>
      </c>
      <c r="H452" s="190">
        <v>250</v>
      </c>
      <c r="I452" s="190">
        <v>211.4</v>
      </c>
      <c r="J452" s="190">
        <v>254.4</v>
      </c>
      <c r="K452" s="190">
        <v>162.4</v>
      </c>
      <c r="L452" s="190">
        <v>196.8</v>
      </c>
      <c r="M452" s="190">
        <v>314.3</v>
      </c>
      <c r="N452" s="115"/>
      <c r="O452" s="115">
        <f>SUM(B452:M452)</f>
        <v>2806.7000000000007</v>
      </c>
      <c r="P452" s="144"/>
      <c r="Q452" s="145"/>
      <c r="R452" s="36"/>
      <c r="S452" s="61">
        <v>2019</v>
      </c>
      <c r="T452" s="34">
        <v>63</v>
      </c>
      <c r="U452" s="34">
        <v>64</v>
      </c>
      <c r="V452" s="34">
        <v>65</v>
      </c>
      <c r="W452" s="34">
        <v>69</v>
      </c>
      <c r="X452" s="34">
        <v>67</v>
      </c>
      <c r="Y452" s="34">
        <v>70</v>
      </c>
      <c r="Z452" s="190">
        <v>72</v>
      </c>
      <c r="AA452" s="190">
        <v>72</v>
      </c>
      <c r="AB452" s="190">
        <v>73</v>
      </c>
      <c r="AC452" s="190">
        <v>70</v>
      </c>
      <c r="AD452" s="190">
        <v>64</v>
      </c>
      <c r="AE452" s="190">
        <v>61</v>
      </c>
      <c r="AF452" s="106"/>
      <c r="AG452" s="83">
        <f t="shared" si="938"/>
        <v>67.5</v>
      </c>
      <c r="AJ452" s="61">
        <v>2019</v>
      </c>
      <c r="AK452" s="9">
        <f>B452/T452</f>
        <v>2.7984126984126987</v>
      </c>
      <c r="AL452" s="9">
        <f t="shared" si="962"/>
        <v>3.6390625000000001</v>
      </c>
      <c r="AM452" s="9">
        <f t="shared" si="962"/>
        <v>4.1307692307692312</v>
      </c>
      <c r="AN452" s="9">
        <f t="shared" si="962"/>
        <v>3.6826086956521737</v>
      </c>
      <c r="AO452" s="9">
        <f t="shared" si="962"/>
        <v>3.9626865671641789</v>
      </c>
      <c r="AP452" s="9">
        <f t="shared" si="962"/>
        <v>3.1442857142857141</v>
      </c>
      <c r="AQ452" s="9">
        <f t="shared" ref="AQ452:AV452" si="969">H452/Z452</f>
        <v>3.4722222222222223</v>
      </c>
      <c r="AR452" s="9">
        <f t="shared" si="969"/>
        <v>2.9361111111111113</v>
      </c>
      <c r="AS452" s="9">
        <f t="shared" si="969"/>
        <v>3.484931506849315</v>
      </c>
      <c r="AT452" s="9">
        <f t="shared" si="969"/>
        <v>2.3200000000000003</v>
      </c>
      <c r="AU452" s="9">
        <f t="shared" si="969"/>
        <v>3.0750000000000002</v>
      </c>
      <c r="AV452" s="9">
        <f t="shared" si="969"/>
        <v>5.1524590163934425</v>
      </c>
      <c r="AW452" s="91">
        <f t="shared" si="961"/>
        <v>0.11443819100030142</v>
      </c>
    </row>
    <row r="453" spans="1:49" x14ac:dyDescent="0.25">
      <c r="P453" s="144"/>
      <c r="Q453" s="145"/>
      <c r="AV453" s="3" t="s">
        <v>47</v>
      </c>
      <c r="AW453" s="306">
        <f>SUM(AW448:AW452)/5</f>
        <v>0.10682598683157755</v>
      </c>
    </row>
    <row r="454" spans="1:49" x14ac:dyDescent="0.25">
      <c r="P454" s="144"/>
      <c r="Q454" s="145"/>
    </row>
    <row r="455" spans="1:49" ht="60" x14ac:dyDescent="0.25">
      <c r="A455" s="160" t="s">
        <v>73</v>
      </c>
      <c r="B455" s="111" t="s">
        <v>0</v>
      </c>
      <c r="C455" s="111" t="s">
        <v>1</v>
      </c>
      <c r="D455" s="111" t="s">
        <v>2</v>
      </c>
      <c r="E455" s="111" t="s">
        <v>3</v>
      </c>
      <c r="F455" s="111" t="s">
        <v>4</v>
      </c>
      <c r="G455" s="111" t="s">
        <v>5</v>
      </c>
      <c r="H455" s="111" t="s">
        <v>6</v>
      </c>
      <c r="I455" s="111" t="s">
        <v>7</v>
      </c>
      <c r="J455" s="111" t="s">
        <v>8</v>
      </c>
      <c r="K455" s="111" t="s">
        <v>9</v>
      </c>
      <c r="L455" s="111" t="s">
        <v>10</v>
      </c>
      <c r="M455" s="111" t="s">
        <v>11</v>
      </c>
      <c r="N455" s="112" t="s">
        <v>78</v>
      </c>
      <c r="O455" s="112" t="s">
        <v>77</v>
      </c>
      <c r="P455" s="139" t="s">
        <v>162</v>
      </c>
      <c r="Q455" s="140" t="s">
        <v>72</v>
      </c>
      <c r="S455" s="160" t="s">
        <v>93</v>
      </c>
      <c r="T455" s="53" t="s">
        <v>0</v>
      </c>
      <c r="U455" s="53" t="s">
        <v>1</v>
      </c>
      <c r="V455" s="53" t="s">
        <v>2</v>
      </c>
      <c r="W455" s="53" t="s">
        <v>3</v>
      </c>
      <c r="X455" s="53" t="s">
        <v>4</v>
      </c>
      <c r="Y455" s="53" t="s">
        <v>5</v>
      </c>
      <c r="Z455" s="53" t="s">
        <v>6</v>
      </c>
      <c r="AA455" s="53" t="s">
        <v>7</v>
      </c>
      <c r="AB455" s="53" t="s">
        <v>8</v>
      </c>
      <c r="AC455" s="53" t="s">
        <v>9</v>
      </c>
      <c r="AD455" s="53" t="s">
        <v>10</v>
      </c>
      <c r="AE455" s="53" t="s">
        <v>11</v>
      </c>
      <c r="AF455" s="30" t="s">
        <v>164</v>
      </c>
      <c r="AG455" s="30" t="s">
        <v>167</v>
      </c>
      <c r="AH455" s="54"/>
      <c r="AJ455" s="160" t="s">
        <v>86</v>
      </c>
      <c r="AK455" s="53" t="s">
        <v>0</v>
      </c>
      <c r="AL455" s="53" t="s">
        <v>1</v>
      </c>
      <c r="AM455" s="53" t="s">
        <v>2</v>
      </c>
      <c r="AN455" s="53" t="s">
        <v>3</v>
      </c>
      <c r="AO455" s="53" t="s">
        <v>4</v>
      </c>
      <c r="AP455" s="53" t="s">
        <v>5</v>
      </c>
      <c r="AQ455" s="53" t="s">
        <v>6</v>
      </c>
      <c r="AR455" s="53" t="s">
        <v>7</v>
      </c>
      <c r="AS455" s="53" t="s">
        <v>8</v>
      </c>
      <c r="AT455" s="53" t="s">
        <v>9</v>
      </c>
      <c r="AU455" s="53" t="s">
        <v>10</v>
      </c>
      <c r="AV455" s="53" t="s">
        <v>11</v>
      </c>
      <c r="AW455" s="5" t="s">
        <v>49</v>
      </c>
    </row>
    <row r="456" spans="1:49" x14ac:dyDescent="0.25">
      <c r="A456" s="256">
        <v>2023</v>
      </c>
      <c r="B456" s="189">
        <v>635.9</v>
      </c>
      <c r="C456" s="189">
        <v>0</v>
      </c>
      <c r="D456" s="189">
        <v>-36.4</v>
      </c>
      <c r="E456" s="189">
        <v>0</v>
      </c>
      <c r="F456" s="189">
        <v>0</v>
      </c>
      <c r="G456" s="189">
        <v>0</v>
      </c>
      <c r="H456" s="189">
        <v>0</v>
      </c>
      <c r="I456" s="189">
        <v>0</v>
      </c>
      <c r="J456" s="189">
        <v>-25.3</v>
      </c>
      <c r="K456" s="189">
        <v>0</v>
      </c>
      <c r="L456" s="189">
        <v>0</v>
      </c>
      <c r="M456" s="189">
        <v>0</v>
      </c>
      <c r="N456" s="131">
        <f t="shared" ref="N456:N458" si="970">SUM(B456:G456)+SUM(H457:M457)</f>
        <v>18501.05</v>
      </c>
      <c r="O456" s="115">
        <f t="shared" ref="O456:O459" si="971">SUM(B456:M456)</f>
        <v>574.20000000000005</v>
      </c>
      <c r="P456" s="170">
        <f>SUM(N456:N460)</f>
        <v>95525.660999999993</v>
      </c>
      <c r="Q456" s="194"/>
      <c r="S456" s="77">
        <v>2023</v>
      </c>
      <c r="T456" s="189">
        <v>160</v>
      </c>
      <c r="U456" s="189">
        <v>0</v>
      </c>
      <c r="V456" s="189">
        <v>0</v>
      </c>
      <c r="W456" s="189">
        <v>0</v>
      </c>
      <c r="X456" s="189">
        <v>0</v>
      </c>
      <c r="Y456" s="189">
        <v>0</v>
      </c>
      <c r="Z456" s="189">
        <v>0</v>
      </c>
      <c r="AA456" s="189">
        <v>0</v>
      </c>
      <c r="AB456" s="189">
        <v>0</v>
      </c>
      <c r="AC456" s="189">
        <v>0</v>
      </c>
      <c r="AD456" s="189">
        <v>0</v>
      </c>
      <c r="AE456" s="189">
        <v>0</v>
      </c>
      <c r="AF456" s="96">
        <f>(SUM(Z457:AE457)+SUM(T456:Y456))/12</f>
        <v>96.083333333333329</v>
      </c>
      <c r="AG456" s="83">
        <f>SUM(T456:AE456)/12</f>
        <v>13.333333333333334</v>
      </c>
      <c r="AH456" s="54"/>
      <c r="AJ456" s="77">
        <v>2023</v>
      </c>
      <c r="AK456" s="98">
        <f t="shared" ref="AK456:AK461" si="972">B456/T456</f>
        <v>3.9743749999999998</v>
      </c>
      <c r="AL456" s="191">
        <v>0</v>
      </c>
      <c r="AM456" s="191">
        <v>0</v>
      </c>
      <c r="AN456" s="191">
        <v>0</v>
      </c>
      <c r="AO456" s="191">
        <v>0</v>
      </c>
      <c r="AP456" s="191">
        <v>0</v>
      </c>
      <c r="AQ456" s="191">
        <v>0</v>
      </c>
      <c r="AR456" s="191">
        <v>0</v>
      </c>
      <c r="AS456" s="191">
        <v>0</v>
      </c>
      <c r="AT456" s="191">
        <v>0</v>
      </c>
      <c r="AU456" s="191">
        <v>0</v>
      </c>
      <c r="AV456" s="191">
        <v>0</v>
      </c>
      <c r="AW456" s="90">
        <f>(SUM(AQ456:AV456)+SUM(AK456:AP456))/365.25</f>
        <v>1.0881245722108145E-2</v>
      </c>
    </row>
    <row r="457" spans="1:49" x14ac:dyDescent="0.25">
      <c r="A457" s="61">
        <v>2022</v>
      </c>
      <c r="B457" s="190">
        <v>519.29999999999995</v>
      </c>
      <c r="C457" s="190">
        <v>483.5</v>
      </c>
      <c r="D457" s="190">
        <v>433.1</v>
      </c>
      <c r="E457" s="190">
        <v>681.2</v>
      </c>
      <c r="F457" s="190">
        <v>1010.9</v>
      </c>
      <c r="G457" s="190">
        <v>2507.1</v>
      </c>
      <c r="H457" s="190">
        <v>5190.3419999999996</v>
      </c>
      <c r="I457" s="190">
        <v>4357.5</v>
      </c>
      <c r="J457" s="190">
        <v>3544.7830000000004</v>
      </c>
      <c r="K457" s="190">
        <v>3198.0250000000001</v>
      </c>
      <c r="L457" s="190">
        <v>917.8</v>
      </c>
      <c r="M457" s="190">
        <v>693.1</v>
      </c>
      <c r="N457" s="131">
        <f t="shared" si="970"/>
        <v>20838.099999999999</v>
      </c>
      <c r="O457" s="115">
        <f t="shared" si="971"/>
        <v>23536.649999999998</v>
      </c>
      <c r="P457" s="177"/>
      <c r="Q457" s="193"/>
      <c r="S457" s="61">
        <v>2022</v>
      </c>
      <c r="T457" s="190">
        <v>157</v>
      </c>
      <c r="U457" s="190">
        <v>157</v>
      </c>
      <c r="V457" s="190">
        <v>158</v>
      </c>
      <c r="W457" s="190">
        <v>162</v>
      </c>
      <c r="X457" s="190">
        <v>166</v>
      </c>
      <c r="Y457" s="190">
        <v>168</v>
      </c>
      <c r="Z457" s="190">
        <v>168</v>
      </c>
      <c r="AA457" s="190">
        <v>168</v>
      </c>
      <c r="AB457" s="190">
        <v>168</v>
      </c>
      <c r="AC457" s="190">
        <v>166</v>
      </c>
      <c r="AD457" s="190">
        <v>162</v>
      </c>
      <c r="AE457" s="190">
        <v>161</v>
      </c>
      <c r="AF457" s="96">
        <f>(SUM(Z458:AE458)+SUM(T457:Y457))/12</f>
        <v>161.16666666666666</v>
      </c>
      <c r="AG457" s="83">
        <f t="shared" ref="AG457:AG461" si="973">SUM(T457:AE457)/12</f>
        <v>163.41666666666666</v>
      </c>
      <c r="AH457" s="54"/>
      <c r="AJ457" s="61">
        <v>2022</v>
      </c>
      <c r="AK457" s="98">
        <f t="shared" si="972"/>
        <v>3.3076433121019106</v>
      </c>
      <c r="AL457" s="98">
        <f t="shared" ref="AL457" si="974">C457/U457</f>
        <v>3.0796178343949046</v>
      </c>
      <c r="AM457" s="98">
        <f t="shared" ref="AM457" si="975">D457/V457</f>
        <v>2.7411392405063291</v>
      </c>
      <c r="AN457" s="98">
        <f t="shared" ref="AN457" si="976">E457/W457</f>
        <v>4.2049382716049388</v>
      </c>
      <c r="AO457" s="98">
        <f t="shared" ref="AO457" si="977">F457/X457</f>
        <v>6.0897590361445779</v>
      </c>
      <c r="AP457" s="98">
        <f t="shared" ref="AP457" si="978">G457/Y457</f>
        <v>14.923214285714286</v>
      </c>
      <c r="AQ457" s="98">
        <f t="shared" ref="AQ457" si="979">H457/Z457</f>
        <v>30.894892857142857</v>
      </c>
      <c r="AR457" s="98">
        <f t="shared" ref="AR457" si="980">I457/AA457</f>
        <v>25.9375</v>
      </c>
      <c r="AS457" s="98">
        <f t="shared" ref="AS457" si="981">J457/AB457</f>
        <v>21.099898809523811</v>
      </c>
      <c r="AT457" s="98">
        <f t="shared" ref="AT457" si="982">K457/AC457</f>
        <v>19.265210843373495</v>
      </c>
      <c r="AU457" s="98">
        <f t="shared" ref="AU457" si="983">L457/AD457</f>
        <v>5.6654320987654314</v>
      </c>
      <c r="AV457" s="98">
        <f t="shared" ref="AV457" si="984">M457/AE457</f>
        <v>4.3049689440993788</v>
      </c>
      <c r="AW457" s="90">
        <f>(SUM(AQ457:AV457)+SUM(AK457:AP457))/365.25</f>
        <v>0.38744480638842416</v>
      </c>
    </row>
    <row r="458" spans="1:49" x14ac:dyDescent="0.25">
      <c r="A458" s="61">
        <v>2021</v>
      </c>
      <c r="B458" s="190">
        <v>498</v>
      </c>
      <c r="C458" s="190">
        <v>19</v>
      </c>
      <c r="D458" s="190">
        <v>449.3</v>
      </c>
      <c r="E458" s="190">
        <v>760.3</v>
      </c>
      <c r="F458" s="190">
        <v>1003.6</v>
      </c>
      <c r="G458" s="190">
        <v>2722.4</v>
      </c>
      <c r="H458" s="190">
        <v>3428.7</v>
      </c>
      <c r="I458" s="190">
        <v>3532.2</v>
      </c>
      <c r="J458" s="190">
        <v>4155.1000000000004</v>
      </c>
      <c r="K458" s="190">
        <v>2747.8</v>
      </c>
      <c r="L458" s="190">
        <v>792.6</v>
      </c>
      <c r="M458" s="190">
        <v>546.6</v>
      </c>
      <c r="N458" s="131">
        <f t="shared" si="970"/>
        <v>22585.9</v>
      </c>
      <c r="O458" s="115">
        <f t="shared" si="971"/>
        <v>20655.599999999995</v>
      </c>
      <c r="P458" s="177"/>
      <c r="Q458" s="178"/>
      <c r="S458" s="61">
        <v>2021</v>
      </c>
      <c r="T458" s="190">
        <v>143</v>
      </c>
      <c r="U458" s="190">
        <v>146</v>
      </c>
      <c r="V458" s="190">
        <v>149</v>
      </c>
      <c r="W458" s="190">
        <v>155</v>
      </c>
      <c r="X458" s="190">
        <v>158</v>
      </c>
      <c r="Y458" s="190">
        <v>159</v>
      </c>
      <c r="Z458" s="190">
        <v>163</v>
      </c>
      <c r="AA458" s="190">
        <v>162</v>
      </c>
      <c r="AB458" s="190">
        <v>162</v>
      </c>
      <c r="AC458" s="190">
        <v>163</v>
      </c>
      <c r="AD458" s="190">
        <v>159</v>
      </c>
      <c r="AE458" s="190">
        <v>157</v>
      </c>
      <c r="AF458" s="96">
        <f>(SUM(Z459:AE459)+SUM(T458:Y458))/12</f>
        <v>151.08333333333334</v>
      </c>
      <c r="AG458" s="83">
        <f t="shared" si="973"/>
        <v>156.33333333333334</v>
      </c>
      <c r="AH458" s="54"/>
      <c r="AJ458" s="61">
        <v>2021</v>
      </c>
      <c r="AK458" s="98">
        <f t="shared" si="972"/>
        <v>3.4825174825174825</v>
      </c>
      <c r="AL458" s="98">
        <f t="shared" ref="AL458" si="985">C458/U458</f>
        <v>0.13013698630136986</v>
      </c>
      <c r="AM458" s="98">
        <f t="shared" ref="AM458" si="986">D458/V458</f>
        <v>3.0154362416107383</v>
      </c>
      <c r="AN458" s="98">
        <f t="shared" ref="AN458" si="987">E458/W458</f>
        <v>4.9051612903225807</v>
      </c>
      <c r="AO458" s="98">
        <f t="shared" ref="AO458" si="988">F458/X458</f>
        <v>6.3518987341772153</v>
      </c>
      <c r="AP458" s="98">
        <f t="shared" ref="AP458" si="989">G458/Y458</f>
        <v>17.122012578616353</v>
      </c>
      <c r="AQ458" s="98">
        <f t="shared" ref="AQ458" si="990">H458/Z458</f>
        <v>21.034969325153373</v>
      </c>
      <c r="AR458" s="98">
        <f t="shared" ref="AR458" si="991">I458/AA458</f>
        <v>21.803703703703704</v>
      </c>
      <c r="AS458" s="98">
        <f t="shared" ref="AS458" si="992">J458/AB458</f>
        <v>25.648765432098767</v>
      </c>
      <c r="AT458" s="98">
        <f t="shared" ref="AT458" si="993">K458/AC458</f>
        <v>16.857668711656444</v>
      </c>
      <c r="AU458" s="98">
        <f t="shared" ref="AU458" si="994">L458/AD458</f>
        <v>4.9849056603773585</v>
      </c>
      <c r="AV458" s="98">
        <f t="shared" ref="AV458" si="995">M458/AE458</f>
        <v>3.4815286624203825</v>
      </c>
      <c r="AW458" s="90">
        <f t="shared" ref="AW458:AW462" si="996">(SUM(AQ458:AV458)+SUM(AK458:AP458))/365.25</f>
        <v>0.35268639235853738</v>
      </c>
    </row>
    <row r="459" spans="1:49" x14ac:dyDescent="0.25">
      <c r="A459" s="61">
        <v>2020</v>
      </c>
      <c r="B459" s="190">
        <v>402.5</v>
      </c>
      <c r="C459" s="190">
        <v>428.2</v>
      </c>
      <c r="D459" s="190">
        <v>413.1</v>
      </c>
      <c r="E459" s="190">
        <v>514.51099999999997</v>
      </c>
      <c r="F459" s="190">
        <v>913.4</v>
      </c>
      <c r="G459" s="190">
        <v>2597.6</v>
      </c>
      <c r="H459" s="190">
        <v>4589.8999999999996</v>
      </c>
      <c r="I459" s="190">
        <v>3577.8</v>
      </c>
      <c r="J459" s="190">
        <v>4013.4</v>
      </c>
      <c r="K459" s="190">
        <v>3348.6</v>
      </c>
      <c r="L459" s="190">
        <v>1302</v>
      </c>
      <c r="M459" s="190">
        <v>301.60000000000002</v>
      </c>
      <c r="N459" s="131">
        <f>SUM(B459:G459)+SUM(H460:M460)</f>
        <v>16586.610999999997</v>
      </c>
      <c r="O459" s="115">
        <f t="shared" si="971"/>
        <v>22402.610999999997</v>
      </c>
      <c r="P459" s="177"/>
      <c r="Q459" s="178"/>
      <c r="S459" s="61">
        <v>2020</v>
      </c>
      <c r="T459" s="190">
        <v>139</v>
      </c>
      <c r="U459" s="190">
        <v>135</v>
      </c>
      <c r="V459" s="190">
        <v>140</v>
      </c>
      <c r="W459" s="190">
        <v>145</v>
      </c>
      <c r="X459" s="190">
        <v>148</v>
      </c>
      <c r="Y459" s="190">
        <v>153</v>
      </c>
      <c r="Z459" s="190">
        <v>152</v>
      </c>
      <c r="AA459" s="190">
        <v>153</v>
      </c>
      <c r="AB459" s="190">
        <v>155</v>
      </c>
      <c r="AC459" s="190">
        <v>155</v>
      </c>
      <c r="AD459" s="190">
        <v>145</v>
      </c>
      <c r="AE459" s="190">
        <v>143</v>
      </c>
      <c r="AF459" s="96">
        <f>(SUM(Z460:AE460)+SUM(T459:Y459))/12</f>
        <v>143.08333333333334</v>
      </c>
      <c r="AG459" s="83">
        <f t="shared" si="973"/>
        <v>146.91666666666666</v>
      </c>
      <c r="AJ459" s="61">
        <v>2020</v>
      </c>
      <c r="AK459" s="98">
        <f t="shared" si="972"/>
        <v>2.8956834532374103</v>
      </c>
      <c r="AL459" s="98">
        <f t="shared" ref="AL459:AP460" si="997">C459/U459</f>
        <v>3.1718518518518519</v>
      </c>
      <c r="AM459" s="98">
        <f t="shared" si="997"/>
        <v>2.9507142857142861</v>
      </c>
      <c r="AN459" s="98">
        <f t="shared" si="997"/>
        <v>3.5483517241379308</v>
      </c>
      <c r="AO459" s="98">
        <f t="shared" si="997"/>
        <v>6.1716216216216218</v>
      </c>
      <c r="AP459" s="98">
        <f t="shared" si="997"/>
        <v>16.977777777777778</v>
      </c>
      <c r="AQ459" s="98">
        <f t="shared" ref="AQ459" si="998">H459/Z459</f>
        <v>30.196710526315787</v>
      </c>
      <c r="AR459" s="98">
        <f t="shared" ref="AR459" si="999">I459/AA459</f>
        <v>23.384313725490198</v>
      </c>
      <c r="AS459" s="98">
        <f t="shared" ref="AS459" si="1000">J459/AB459</f>
        <v>25.892903225806453</v>
      </c>
      <c r="AT459" s="98">
        <f t="shared" ref="AT459" si="1001">K459/AC459</f>
        <v>21.603870967741933</v>
      </c>
      <c r="AU459" s="98">
        <f t="shared" ref="AU459" si="1002">L459/AD459</f>
        <v>8.9793103448275868</v>
      </c>
      <c r="AV459" s="98">
        <f t="shared" ref="AV459" si="1003">M459/AE459</f>
        <v>2.1090909090909093</v>
      </c>
      <c r="AW459" s="90">
        <f t="shared" si="996"/>
        <v>0.4048793988052396</v>
      </c>
    </row>
    <row r="460" spans="1:49" x14ac:dyDescent="0.25">
      <c r="A460" s="61">
        <v>2019</v>
      </c>
      <c r="B460" s="125">
        <v>-251.7</v>
      </c>
      <c r="C460" s="125">
        <v>345.9</v>
      </c>
      <c r="D460" s="125">
        <v>340.1</v>
      </c>
      <c r="E460" s="125">
        <v>388.2</v>
      </c>
      <c r="F460" s="125">
        <v>788.1</v>
      </c>
      <c r="G460" s="125">
        <v>2374.6999999999998</v>
      </c>
      <c r="H460" s="190">
        <v>2425.8000000000002</v>
      </c>
      <c r="I460" s="190">
        <v>2432.1</v>
      </c>
      <c r="J460" s="190">
        <v>2683.2</v>
      </c>
      <c r="K460" s="190">
        <v>2682</v>
      </c>
      <c r="L460" s="190">
        <v>709.8</v>
      </c>
      <c r="M460" s="190">
        <v>384.4</v>
      </c>
      <c r="N460" s="131">
        <f>SUM(B460:G460)+SUM(H461:M461)</f>
        <v>17014</v>
      </c>
      <c r="O460" s="115">
        <f>SUM(B460:M460)</f>
        <v>15302.6</v>
      </c>
      <c r="P460" s="177"/>
      <c r="Q460" s="178"/>
      <c r="S460" s="61">
        <v>2019</v>
      </c>
      <c r="T460" s="35">
        <v>126</v>
      </c>
      <c r="U460" s="35">
        <v>125</v>
      </c>
      <c r="V460" s="35">
        <v>131</v>
      </c>
      <c r="W460" s="35">
        <v>136</v>
      </c>
      <c r="X460" s="35">
        <v>141</v>
      </c>
      <c r="Y460" s="35">
        <v>141</v>
      </c>
      <c r="Z460" s="190">
        <v>144</v>
      </c>
      <c r="AA460" s="190">
        <v>144</v>
      </c>
      <c r="AB460" s="190">
        <v>146</v>
      </c>
      <c r="AC460" s="190">
        <v>146</v>
      </c>
      <c r="AD460" s="190">
        <v>137</v>
      </c>
      <c r="AE460" s="190">
        <v>140</v>
      </c>
      <c r="AF460" s="96">
        <f>(SUM(Z461:AE461)+SUM(T460:Y460))/12</f>
        <v>133.25</v>
      </c>
      <c r="AG460" s="83">
        <f t="shared" si="973"/>
        <v>138.08333333333334</v>
      </c>
      <c r="AJ460" s="61">
        <v>2019</v>
      </c>
      <c r="AK460" s="98">
        <f t="shared" si="972"/>
        <v>-1.9976190476190476</v>
      </c>
      <c r="AL460" s="98">
        <f t="shared" si="997"/>
        <v>2.7671999999999999</v>
      </c>
      <c r="AM460" s="98">
        <f t="shared" si="997"/>
        <v>2.5961832061068706</v>
      </c>
      <c r="AN460" s="98">
        <f t="shared" si="997"/>
        <v>2.8544117647058824</v>
      </c>
      <c r="AO460" s="98">
        <f t="shared" si="997"/>
        <v>5.5893617021276594</v>
      </c>
      <c r="AP460" s="98">
        <f t="shared" si="997"/>
        <v>16.841843971631203</v>
      </c>
      <c r="AQ460" s="98">
        <f t="shared" ref="AQ460:AV461" si="1004">H460/Z460</f>
        <v>16.845833333333335</v>
      </c>
      <c r="AR460" s="98">
        <f t="shared" si="1004"/>
        <v>16.889583333333334</v>
      </c>
      <c r="AS460" s="98">
        <f t="shared" si="1004"/>
        <v>18.37808219178082</v>
      </c>
      <c r="AT460" s="98">
        <f t="shared" si="1004"/>
        <v>18.36986301369863</v>
      </c>
      <c r="AU460" s="98">
        <f t="shared" si="1004"/>
        <v>5.1810218978102185</v>
      </c>
      <c r="AV460" s="98">
        <f t="shared" si="1004"/>
        <v>2.7457142857142856</v>
      </c>
      <c r="AW460" s="90">
        <f t="shared" si="996"/>
        <v>0.29311835633846189</v>
      </c>
    </row>
    <row r="461" spans="1:49" x14ac:dyDescent="0.25">
      <c r="A461" s="61">
        <v>2018</v>
      </c>
      <c r="B461" s="116">
        <v>357.3</v>
      </c>
      <c r="C461" s="116">
        <v>326.2</v>
      </c>
      <c r="D461" s="116">
        <v>352.2</v>
      </c>
      <c r="E461" s="116">
        <v>363</v>
      </c>
      <c r="F461" s="116">
        <v>1349.6</v>
      </c>
      <c r="G461" s="116">
        <v>2805.5</v>
      </c>
      <c r="H461" s="116">
        <v>3458.7</v>
      </c>
      <c r="I461" s="116">
        <v>3377.5</v>
      </c>
      <c r="J461" s="116">
        <v>2435.3000000000002</v>
      </c>
      <c r="K461" s="116">
        <v>2747</v>
      </c>
      <c r="L461" s="116">
        <v>662.9</v>
      </c>
      <c r="M461" s="116">
        <v>347.3</v>
      </c>
      <c r="N461" s="158"/>
      <c r="O461" s="115">
        <f>SUM(B461:M461)</f>
        <v>18582.5</v>
      </c>
      <c r="S461" s="61">
        <v>2018</v>
      </c>
      <c r="T461" s="35">
        <v>128</v>
      </c>
      <c r="U461" s="35">
        <v>129</v>
      </c>
      <c r="V461" s="35">
        <v>129</v>
      </c>
      <c r="W461" s="35">
        <v>130</v>
      </c>
      <c r="X461" s="35">
        <v>131</v>
      </c>
      <c r="Y461" s="35">
        <v>131</v>
      </c>
      <c r="Z461" s="35">
        <v>132</v>
      </c>
      <c r="AA461" s="35">
        <v>135</v>
      </c>
      <c r="AB461" s="35">
        <v>134</v>
      </c>
      <c r="AC461" s="35">
        <v>132</v>
      </c>
      <c r="AD461" s="35">
        <v>132</v>
      </c>
      <c r="AE461" s="34">
        <v>134</v>
      </c>
      <c r="AF461" s="96">
        <f>(SUM(Z462:AE462)+SUM(T461:Y461))/7</f>
        <v>129.42857142857142</v>
      </c>
      <c r="AG461" s="83">
        <f t="shared" si="973"/>
        <v>131.41666666666666</v>
      </c>
      <c r="AJ461" s="61">
        <v>2018</v>
      </c>
      <c r="AK461" s="98">
        <f t="shared" si="972"/>
        <v>2.7914062500000001</v>
      </c>
      <c r="AL461" s="98">
        <f t="shared" ref="AL461" si="1005">C461/U461</f>
        <v>2.5286821705426354</v>
      </c>
      <c r="AM461" s="98">
        <f t="shared" ref="AM461" si="1006">D461/V461</f>
        <v>2.7302325581395346</v>
      </c>
      <c r="AN461" s="98">
        <f t="shared" ref="AN461" si="1007">E461/W461</f>
        <v>2.7923076923076922</v>
      </c>
      <c r="AO461" s="98">
        <f t="shared" ref="AO461" si="1008">F461/X461</f>
        <v>10.302290076335877</v>
      </c>
      <c r="AP461" s="98">
        <f t="shared" ref="AP461" si="1009">G461/Y461</f>
        <v>21.416030534351144</v>
      </c>
      <c r="AQ461" s="98">
        <f t="shared" si="1004"/>
        <v>26.202272727272724</v>
      </c>
      <c r="AR461" s="98">
        <f t="shared" si="1004"/>
        <v>25.018518518518519</v>
      </c>
      <c r="AS461" s="98">
        <f t="shared" si="1004"/>
        <v>18.173880597014925</v>
      </c>
      <c r="AT461" s="98">
        <f t="shared" si="1004"/>
        <v>20.810606060606062</v>
      </c>
      <c r="AU461" s="98">
        <f t="shared" si="1004"/>
        <v>5.0219696969696965</v>
      </c>
      <c r="AV461" s="98">
        <f t="shared" si="1004"/>
        <v>2.5917910447761194</v>
      </c>
      <c r="AW461" s="90">
        <f t="shared" si="996"/>
        <v>0.38433946044307987</v>
      </c>
    </row>
    <row r="462" spans="1:49" x14ac:dyDescent="0.25">
      <c r="A462" s="3">
        <v>2017</v>
      </c>
      <c r="M462" s="116">
        <v>129.19999999999999</v>
      </c>
      <c r="O462" s="115">
        <f>SUM(B462:M462)*12</f>
        <v>1550.3999999999999</v>
      </c>
      <c r="S462" s="3">
        <v>2017</v>
      </c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34">
        <v>128</v>
      </c>
      <c r="AG462" s="307">
        <f>SUM(T462:AE462)/1</f>
        <v>128</v>
      </c>
      <c r="AJ462" s="3">
        <v>2017</v>
      </c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98">
        <f>M462/AE462</f>
        <v>1.0093749999999999</v>
      </c>
      <c r="AW462" s="90">
        <f t="shared" si="996"/>
        <v>2.7635181382614643E-3</v>
      </c>
    </row>
    <row r="463" spans="1:49" x14ac:dyDescent="0.25">
      <c r="A463" s="3">
        <v>2016</v>
      </c>
      <c r="S463" s="3">
        <v>2016</v>
      </c>
      <c r="AJ463" s="3">
        <v>2016</v>
      </c>
    </row>
    <row r="464" spans="1:49" x14ac:dyDescent="0.25">
      <c r="AV464" s="3" t="s">
        <v>47</v>
      </c>
      <c r="AW464" s="90">
        <f>SUM(AW456:AW460)/5</f>
        <v>0.28980203992255421</v>
      </c>
    </row>
    <row r="466" spans="1:49" ht="60" x14ac:dyDescent="0.25">
      <c r="A466" s="165" t="s">
        <v>74</v>
      </c>
      <c r="B466" s="111" t="s">
        <v>0</v>
      </c>
      <c r="C466" s="111" t="s">
        <v>1</v>
      </c>
      <c r="D466" s="111" t="s">
        <v>2</v>
      </c>
      <c r="E466" s="111" t="s">
        <v>3</v>
      </c>
      <c r="F466" s="111" t="s">
        <v>4</v>
      </c>
      <c r="G466" s="111" t="s">
        <v>5</v>
      </c>
      <c r="H466" s="111" t="s">
        <v>6</v>
      </c>
      <c r="I466" s="111" t="s">
        <v>7</v>
      </c>
      <c r="J466" s="111" t="s">
        <v>8</v>
      </c>
      <c r="K466" s="111" t="s">
        <v>9</v>
      </c>
      <c r="L466" s="111" t="s">
        <v>10</v>
      </c>
      <c r="M466" s="111" t="s">
        <v>11</v>
      </c>
      <c r="N466" s="112" t="s">
        <v>78</v>
      </c>
      <c r="O466" s="112" t="s">
        <v>77</v>
      </c>
      <c r="P466" s="139" t="s">
        <v>162</v>
      </c>
      <c r="Q466" s="140" t="s">
        <v>72</v>
      </c>
      <c r="S466" s="165" t="s">
        <v>94</v>
      </c>
      <c r="T466" s="53" t="s">
        <v>0</v>
      </c>
      <c r="U466" s="53" t="s">
        <v>1</v>
      </c>
      <c r="V466" s="53" t="s">
        <v>2</v>
      </c>
      <c r="W466" s="53" t="s">
        <v>3</v>
      </c>
      <c r="X466" s="53" t="s">
        <v>4</v>
      </c>
      <c r="Y466" s="53" t="s">
        <v>5</v>
      </c>
      <c r="Z466" s="53" t="s">
        <v>6</v>
      </c>
      <c r="AA466" s="53" t="s">
        <v>7</v>
      </c>
      <c r="AB466" s="53" t="s">
        <v>8</v>
      </c>
      <c r="AC466" s="53" t="s">
        <v>9</v>
      </c>
      <c r="AD466" s="53" t="s">
        <v>10</v>
      </c>
      <c r="AE466" s="53" t="s">
        <v>11</v>
      </c>
      <c r="AF466" s="30" t="s">
        <v>164</v>
      </c>
      <c r="AG466" s="30" t="s">
        <v>167</v>
      </c>
      <c r="AH466" s="54"/>
      <c r="AJ466" s="165" t="s">
        <v>87</v>
      </c>
      <c r="AK466" s="53" t="s">
        <v>0</v>
      </c>
      <c r="AL466" s="53" t="s">
        <v>1</v>
      </c>
      <c r="AM466" s="53" t="s">
        <v>2</v>
      </c>
      <c r="AN466" s="53" t="s">
        <v>3</v>
      </c>
      <c r="AO466" s="53" t="s">
        <v>4</v>
      </c>
      <c r="AP466" s="53" t="s">
        <v>5</v>
      </c>
      <c r="AQ466" s="53" t="s">
        <v>6</v>
      </c>
      <c r="AR466" s="53" t="s">
        <v>7</v>
      </c>
      <c r="AS466" s="53" t="s">
        <v>8</v>
      </c>
      <c r="AT466" s="53" t="s">
        <v>9</v>
      </c>
      <c r="AU466" s="53" t="s">
        <v>10</v>
      </c>
      <c r="AV466" s="53" t="s">
        <v>11</v>
      </c>
      <c r="AW466" s="5" t="s">
        <v>49</v>
      </c>
    </row>
    <row r="467" spans="1:49" x14ac:dyDescent="0.25">
      <c r="A467" s="77">
        <v>2023</v>
      </c>
      <c r="B467" s="189">
        <v>2151.6999999999998</v>
      </c>
      <c r="C467" s="189">
        <v>2323.1</v>
      </c>
      <c r="D467" s="189">
        <v>1989.6</v>
      </c>
      <c r="E467" s="189">
        <v>2054.4</v>
      </c>
      <c r="F467" s="189">
        <v>3160.7</v>
      </c>
      <c r="G467" s="189">
        <v>4340.2</v>
      </c>
      <c r="H467" s="189">
        <v>4587.6000000000004</v>
      </c>
      <c r="I467" s="189">
        <v>3604.9</v>
      </c>
      <c r="J467" s="189">
        <v>4014.6</v>
      </c>
      <c r="K467" s="189">
        <v>3244.9969999999998</v>
      </c>
      <c r="L467" s="189">
        <v>2903.5</v>
      </c>
      <c r="M467" s="189">
        <v>2112.529</v>
      </c>
      <c r="N467" s="115">
        <f t="shared" ref="N467:N469" si="1010">SUM(B467:G467)+SUM(H468:M468)</f>
        <v>35464.271000000001</v>
      </c>
      <c r="O467" s="115">
        <f t="shared" ref="O467:O470" si="1011">SUM(B467:M467)</f>
        <v>36487.826000000008</v>
      </c>
      <c r="P467" s="139"/>
      <c r="Q467" s="140"/>
      <c r="S467" s="77">
        <v>2023</v>
      </c>
      <c r="T467" s="189">
        <v>478</v>
      </c>
      <c r="U467" s="189">
        <v>481</v>
      </c>
      <c r="V467" s="189">
        <v>480</v>
      </c>
      <c r="W467" s="189">
        <v>482</v>
      </c>
      <c r="X467" s="189">
        <v>483</v>
      </c>
      <c r="Y467" s="189">
        <v>483</v>
      </c>
      <c r="Z467" s="189">
        <v>484</v>
      </c>
      <c r="AA467" s="189">
        <v>486</v>
      </c>
      <c r="AB467" s="189">
        <v>485</v>
      </c>
      <c r="AC467" s="189">
        <v>484</v>
      </c>
      <c r="AD467" s="189">
        <v>482</v>
      </c>
      <c r="AE467" s="189">
        <v>483</v>
      </c>
      <c r="AF467" s="96">
        <f t="shared" ref="AF467:AF472" si="1012">(SUM(Z468:AE468)+SUM(T467:Y467))/12</f>
        <v>480.16666666666669</v>
      </c>
      <c r="AG467" s="83">
        <f>SUM(T467:AE467)/12</f>
        <v>482.58333333333331</v>
      </c>
      <c r="AH467" s="54"/>
      <c r="AJ467" s="77">
        <v>2023</v>
      </c>
      <c r="AK467" s="99">
        <f t="shared" ref="AK467:AK472" si="1013">B467/T467</f>
        <v>4.5014644351464428</v>
      </c>
      <c r="AL467" s="99">
        <f t="shared" ref="AL467" si="1014">C467/U467</f>
        <v>4.8297297297297295</v>
      </c>
      <c r="AM467" s="99">
        <f t="shared" ref="AM467" si="1015">D467/V467</f>
        <v>4.1449999999999996</v>
      </c>
      <c r="AN467" s="99">
        <f t="shared" ref="AN467" si="1016">E467/W467</f>
        <v>4.2622406639004149</v>
      </c>
      <c r="AO467" s="99">
        <f t="shared" ref="AO467" si="1017">F467/X467</f>
        <v>6.543892339544513</v>
      </c>
      <c r="AP467" s="99">
        <f t="shared" ref="AP467" si="1018">G467/Y467</f>
        <v>8.9859213250517591</v>
      </c>
      <c r="AQ467" s="99">
        <f t="shared" ref="AQ467" si="1019">H467/Z467</f>
        <v>9.4785123966942155</v>
      </c>
      <c r="AR467" s="99">
        <f t="shared" ref="AR467" si="1020">I467/AA467</f>
        <v>7.4174897119341567</v>
      </c>
      <c r="AS467" s="99">
        <f t="shared" ref="AS467" si="1021">J467/AB467</f>
        <v>8.277525773195876</v>
      </c>
      <c r="AT467" s="99">
        <f t="shared" ref="AT467" si="1022">K467/AC467</f>
        <v>6.7045392561983466</v>
      </c>
      <c r="AU467" s="99">
        <f t="shared" ref="AU467" si="1023">L467/AD467</f>
        <v>6.0238589211618256</v>
      </c>
      <c r="AV467" s="99">
        <f t="shared" ref="AV467" si="1024">M467/AE467</f>
        <v>4.3737660455486544</v>
      </c>
      <c r="AW467" s="90">
        <f>(SUM(AK467:AP467)+SUM(AQ467:AV467))/365.25</f>
        <v>0.20682803722958504</v>
      </c>
    </row>
    <row r="468" spans="1:49" x14ac:dyDescent="0.25">
      <c r="A468" s="61">
        <v>2022</v>
      </c>
      <c r="B468" s="190">
        <v>2118.9</v>
      </c>
      <c r="C468" s="190">
        <v>2016.3</v>
      </c>
      <c r="D468" s="190">
        <v>1848.3</v>
      </c>
      <c r="E468" s="190">
        <v>2401.6</v>
      </c>
      <c r="F468" s="190">
        <v>2112.8000000000002</v>
      </c>
      <c r="G468" s="190">
        <v>3245.4769999999999</v>
      </c>
      <c r="H468" s="190">
        <v>4363.7</v>
      </c>
      <c r="I468" s="190">
        <v>3473.4279999999999</v>
      </c>
      <c r="J468" s="190">
        <v>3826</v>
      </c>
      <c r="K468" s="190">
        <v>3454.643</v>
      </c>
      <c r="L468" s="190">
        <v>2058.6999999999998</v>
      </c>
      <c r="M468" s="190">
        <v>2268.1</v>
      </c>
      <c r="N468" s="115">
        <f t="shared" si="1010"/>
        <v>32750.871999999999</v>
      </c>
      <c r="O468" s="115">
        <f t="shared" si="1011"/>
        <v>33187.948000000004</v>
      </c>
      <c r="P468" s="139"/>
      <c r="Q468" s="140"/>
      <c r="S468" s="61">
        <v>2022</v>
      </c>
      <c r="T468" s="190">
        <v>478</v>
      </c>
      <c r="U468" s="190">
        <v>478</v>
      </c>
      <c r="V468" s="190">
        <v>479</v>
      </c>
      <c r="W468" s="190">
        <v>479</v>
      </c>
      <c r="X468" s="190">
        <v>479</v>
      </c>
      <c r="Y468" s="190">
        <v>479</v>
      </c>
      <c r="Z468" s="190">
        <v>478</v>
      </c>
      <c r="AA468" s="190">
        <v>481</v>
      </c>
      <c r="AB468" s="190">
        <v>480</v>
      </c>
      <c r="AC468" s="190">
        <v>480</v>
      </c>
      <c r="AD468" s="190">
        <v>478</v>
      </c>
      <c r="AE468" s="190">
        <v>478</v>
      </c>
      <c r="AF468" s="96">
        <f t="shared" si="1012"/>
        <v>478.33333333333331</v>
      </c>
      <c r="AG468" s="83">
        <f t="shared" ref="AG468:AG472" si="1025">SUM(T468:AE468)/12</f>
        <v>478.91666666666669</v>
      </c>
      <c r="AH468" s="54"/>
      <c r="AJ468" s="61">
        <v>2022</v>
      </c>
      <c r="AK468" s="99">
        <f t="shared" si="1013"/>
        <v>4.432845188284519</v>
      </c>
      <c r="AL468" s="99">
        <f t="shared" ref="AL468" si="1026">C468/U468</f>
        <v>4.2182008368200838</v>
      </c>
      <c r="AM468" s="99">
        <f t="shared" ref="AM468" si="1027">D468/V468</f>
        <v>3.8586638830897702</v>
      </c>
      <c r="AN468" s="99">
        <f t="shared" ref="AN468" si="1028">E468/W468</f>
        <v>5.0137787056367431</v>
      </c>
      <c r="AO468" s="99">
        <f t="shared" ref="AO468" si="1029">F468/X468</f>
        <v>4.4108559498956161</v>
      </c>
      <c r="AP468" s="99">
        <f t="shared" ref="AP468" si="1030">G468/Y468</f>
        <v>6.7755260960334027</v>
      </c>
      <c r="AQ468" s="99">
        <f t="shared" ref="AQ468" si="1031">H468/Z468</f>
        <v>9.1290794979079486</v>
      </c>
      <c r="AR468" s="99">
        <f t="shared" ref="AR468" si="1032">I468/AA468</f>
        <v>7.221264033264033</v>
      </c>
      <c r="AS468" s="99">
        <f t="shared" ref="AS468" si="1033">J468/AB468</f>
        <v>7.9708333333333332</v>
      </c>
      <c r="AT468" s="99">
        <f t="shared" ref="AT468" si="1034">K468/AC468</f>
        <v>7.1971729166666671</v>
      </c>
      <c r="AU468" s="99">
        <f t="shared" ref="AU468" si="1035">L468/AD468</f>
        <v>4.3069037656903761</v>
      </c>
      <c r="AV468" s="99">
        <f t="shared" ref="AV468" si="1036">M468/AE468</f>
        <v>4.7449790794979076</v>
      </c>
      <c r="AW468" s="90">
        <f>(SUM(AK468:AP468)+SUM(AQ468:AV468))/365.25</f>
        <v>0.18967858531449805</v>
      </c>
    </row>
    <row r="469" spans="1:49" x14ac:dyDescent="0.25">
      <c r="A469" s="61">
        <v>2021</v>
      </c>
      <c r="B469" s="190">
        <v>2474.6999999999998</v>
      </c>
      <c r="C469" s="190">
        <v>1978.9</v>
      </c>
      <c r="D469" s="190">
        <v>1916.4</v>
      </c>
      <c r="E469" s="190">
        <v>2460.6999999999998</v>
      </c>
      <c r="F469" s="190">
        <v>2066.1999999999998</v>
      </c>
      <c r="G469" s="190">
        <v>2714.7</v>
      </c>
      <c r="H469" s="190">
        <v>3812.6</v>
      </c>
      <c r="I469" s="190">
        <v>3696.5</v>
      </c>
      <c r="J469" s="190">
        <v>4360.5</v>
      </c>
      <c r="K469" s="190">
        <v>2761.2950000000001</v>
      </c>
      <c r="L469" s="190">
        <v>2062</v>
      </c>
      <c r="M469" s="190">
        <v>2314.6</v>
      </c>
      <c r="N469" s="115">
        <f t="shared" si="1010"/>
        <v>32077.524000000001</v>
      </c>
      <c r="O469" s="115">
        <f t="shared" si="1011"/>
        <v>32619.095000000001</v>
      </c>
      <c r="P469" s="139"/>
      <c r="Q469" s="140"/>
      <c r="S469" s="61">
        <v>2021</v>
      </c>
      <c r="T469" s="190">
        <v>475</v>
      </c>
      <c r="U469" s="190">
        <v>475</v>
      </c>
      <c r="V469" s="190">
        <v>476</v>
      </c>
      <c r="W469" s="190">
        <v>476</v>
      </c>
      <c r="X469" s="190">
        <v>477</v>
      </c>
      <c r="Y469" s="190">
        <v>476</v>
      </c>
      <c r="Z469" s="190">
        <v>477</v>
      </c>
      <c r="AA469" s="190">
        <v>477</v>
      </c>
      <c r="AB469" s="190">
        <v>478</v>
      </c>
      <c r="AC469" s="190">
        <v>478</v>
      </c>
      <c r="AD469" s="190">
        <v>479</v>
      </c>
      <c r="AE469" s="190">
        <v>479</v>
      </c>
      <c r="AF469" s="96">
        <f t="shared" si="1012"/>
        <v>475.91666666666669</v>
      </c>
      <c r="AG469" s="83">
        <f t="shared" si="1025"/>
        <v>476.91666666666669</v>
      </c>
      <c r="AH469" s="54"/>
      <c r="AJ469" s="61">
        <v>2021</v>
      </c>
      <c r="AK469" s="99">
        <f t="shared" si="1013"/>
        <v>5.2098947368421049</v>
      </c>
      <c r="AL469" s="99">
        <f t="shared" ref="AL469" si="1037">C469/U469</f>
        <v>4.1661052631578945</v>
      </c>
      <c r="AM469" s="99">
        <f t="shared" ref="AM469" si="1038">D469/V469</f>
        <v>4.0260504201680671</v>
      </c>
      <c r="AN469" s="99">
        <f t="shared" ref="AN469" si="1039">E469/W469</f>
        <v>5.1695378151260503</v>
      </c>
      <c r="AO469" s="99">
        <f t="shared" ref="AO469" si="1040">F469/X469</f>
        <v>4.3316561844863726</v>
      </c>
      <c r="AP469" s="99">
        <f t="shared" ref="AP469" si="1041">G469/Y469</f>
        <v>5.7031512605042014</v>
      </c>
      <c r="AQ469" s="99">
        <f t="shared" ref="AQ469" si="1042">H469/Z469</f>
        <v>7.9928721174004194</v>
      </c>
      <c r="AR469" s="99">
        <f t="shared" ref="AR469" si="1043">I469/AA469</f>
        <v>7.749475890985325</v>
      </c>
      <c r="AS469" s="99">
        <f t="shared" ref="AS469" si="1044">J469/AB469</f>
        <v>9.1223849372384933</v>
      </c>
      <c r="AT469" s="99">
        <f t="shared" ref="AT469" si="1045">K469/AC469</f>
        <v>5.776767782426778</v>
      </c>
      <c r="AU469" s="99">
        <f t="shared" ref="AU469" si="1046">L469/AD469</f>
        <v>4.304801670146138</v>
      </c>
      <c r="AV469" s="99">
        <f t="shared" ref="AV469" si="1047">M469/AE469</f>
        <v>4.8321503131524004</v>
      </c>
      <c r="AW469" s="90">
        <f t="shared" ref="AW469:AW473" si="1048">(SUM(AK469:AP469)+SUM(AQ469:AV469))/365.25</f>
        <v>0.18722751099694523</v>
      </c>
    </row>
    <row r="470" spans="1:49" x14ac:dyDescent="0.25">
      <c r="A470" s="61">
        <v>2020</v>
      </c>
      <c r="B470" s="190">
        <v>2091.3119999999999</v>
      </c>
      <c r="C470" s="190">
        <v>2250.616</v>
      </c>
      <c r="D470" s="190">
        <v>1853.8</v>
      </c>
      <c r="E470" s="190">
        <v>2581.7159999999999</v>
      </c>
      <c r="F470" s="190">
        <v>2227.5880000000002</v>
      </c>
      <c r="G470" s="190">
        <v>2777.1039999999998</v>
      </c>
      <c r="H470" s="190">
        <v>4052.8240000000001</v>
      </c>
      <c r="I470" s="190">
        <v>3409.82</v>
      </c>
      <c r="J470" s="190">
        <v>3305.18</v>
      </c>
      <c r="K470" s="190">
        <v>3515.9</v>
      </c>
      <c r="L470" s="190">
        <v>2172.6</v>
      </c>
      <c r="M470" s="190">
        <v>2009.6</v>
      </c>
      <c r="N470" s="115">
        <f>SUM(B470:G470)+SUM(H471:M471)</f>
        <v>30980.735999999997</v>
      </c>
      <c r="O470" s="115">
        <f t="shared" si="1011"/>
        <v>32248.059999999998</v>
      </c>
      <c r="P470" s="144"/>
      <c r="Q470" s="145"/>
      <c r="S470" s="61">
        <v>2020</v>
      </c>
      <c r="T470" s="190">
        <v>474</v>
      </c>
      <c r="U470" s="190">
        <v>473</v>
      </c>
      <c r="V470" s="190">
        <v>475</v>
      </c>
      <c r="W470" s="190">
        <v>475</v>
      </c>
      <c r="X470" s="190">
        <v>475</v>
      </c>
      <c r="Y470" s="190">
        <v>477</v>
      </c>
      <c r="Z470" s="190">
        <v>476</v>
      </c>
      <c r="AA470" s="190">
        <v>477</v>
      </c>
      <c r="AB470" s="190">
        <v>477</v>
      </c>
      <c r="AC470" s="190">
        <v>475</v>
      </c>
      <c r="AD470" s="190">
        <v>475</v>
      </c>
      <c r="AE470" s="190">
        <v>476</v>
      </c>
      <c r="AF470" s="96">
        <f t="shared" si="1012"/>
        <v>472.5</v>
      </c>
      <c r="AG470" s="83">
        <f t="shared" si="1025"/>
        <v>475.41666666666669</v>
      </c>
      <c r="AJ470" s="61">
        <v>2020</v>
      </c>
      <c r="AK470" s="99">
        <f t="shared" si="1013"/>
        <v>4.4120506329113924</v>
      </c>
      <c r="AL470" s="99">
        <f t="shared" ref="AL470:AP472" si="1049">C470/U470</f>
        <v>4.7581733615221991</v>
      </c>
      <c r="AM470" s="99">
        <f t="shared" si="1049"/>
        <v>3.9027368421052633</v>
      </c>
      <c r="AN470" s="99">
        <f t="shared" si="1049"/>
        <v>5.4351915789473679</v>
      </c>
      <c r="AO470" s="99">
        <f t="shared" si="1049"/>
        <v>4.6896589473684216</v>
      </c>
      <c r="AP470" s="99">
        <f t="shared" si="1049"/>
        <v>5.8220209643605862</v>
      </c>
      <c r="AQ470" s="99">
        <f t="shared" ref="AQ470" si="1050">H470/Z470</f>
        <v>8.5143361344537816</v>
      </c>
      <c r="AR470" s="99">
        <f t="shared" ref="AR470" si="1051">I470/AA470</f>
        <v>7.1484696016771494</v>
      </c>
      <c r="AS470" s="99">
        <f t="shared" ref="AS470" si="1052">J470/AB470</f>
        <v>6.9290985324947583</v>
      </c>
      <c r="AT470" s="99">
        <f t="shared" ref="AT470" si="1053">K470/AC470</f>
        <v>7.4018947368421051</v>
      </c>
      <c r="AU470" s="99">
        <f t="shared" ref="AU470" si="1054">L470/AD470</f>
        <v>4.5738947368421048</v>
      </c>
      <c r="AV470" s="99">
        <f t="shared" ref="AV470" si="1055">M470/AE470</f>
        <v>4.2218487394957984</v>
      </c>
      <c r="AW470" s="90">
        <f t="shared" si="1048"/>
        <v>0.18565195019581363</v>
      </c>
    </row>
    <row r="471" spans="1:49" x14ac:dyDescent="0.25">
      <c r="A471" s="61">
        <v>2019</v>
      </c>
      <c r="B471" s="125">
        <v>2186.1</v>
      </c>
      <c r="C471" s="125">
        <v>2203.6999999999998</v>
      </c>
      <c r="D471" s="125">
        <v>1950.2</v>
      </c>
      <c r="E471" s="125">
        <v>1862.9</v>
      </c>
      <c r="F471" s="125">
        <v>2037.1</v>
      </c>
      <c r="G471" s="125">
        <v>2699.6</v>
      </c>
      <c r="H471" s="190">
        <v>3058.4</v>
      </c>
      <c r="I471" s="190">
        <v>4335.5</v>
      </c>
      <c r="J471" s="190">
        <v>2822.6</v>
      </c>
      <c r="K471" s="190">
        <v>2654.5</v>
      </c>
      <c r="L471" s="190">
        <v>2368.1</v>
      </c>
      <c r="M471" s="190">
        <v>1959.5</v>
      </c>
      <c r="N471" s="115">
        <f t="shared" ref="N471:N472" si="1056">SUM(B471:G471)+SUM(H472:M472)</f>
        <v>31639.299999999996</v>
      </c>
      <c r="O471" s="115">
        <f>SUM(B471:M471)</f>
        <v>30138.199999999997</v>
      </c>
      <c r="P471" s="144"/>
      <c r="Q471" s="145"/>
      <c r="R471" s="36"/>
      <c r="S471" s="61">
        <v>2019</v>
      </c>
      <c r="T471" s="35">
        <v>470</v>
      </c>
      <c r="U471" s="35">
        <v>470</v>
      </c>
      <c r="V471" s="35">
        <v>470</v>
      </c>
      <c r="W471" s="35">
        <v>470</v>
      </c>
      <c r="X471" s="35">
        <v>469</v>
      </c>
      <c r="Y471" s="35">
        <v>468</v>
      </c>
      <c r="Z471" s="190">
        <v>469</v>
      </c>
      <c r="AA471" s="190">
        <v>470</v>
      </c>
      <c r="AB471" s="190">
        <v>472</v>
      </c>
      <c r="AC471" s="190">
        <v>470</v>
      </c>
      <c r="AD471" s="190">
        <v>471</v>
      </c>
      <c r="AE471" s="190">
        <v>469</v>
      </c>
      <c r="AF471" s="85">
        <f t="shared" si="1012"/>
        <v>469.5</v>
      </c>
      <c r="AG471" s="83">
        <f t="shared" si="1025"/>
        <v>469.83333333333331</v>
      </c>
      <c r="AJ471" s="61">
        <v>2019</v>
      </c>
      <c r="AK471" s="99">
        <f t="shared" si="1013"/>
        <v>4.6512765957446804</v>
      </c>
      <c r="AL471" s="99">
        <f t="shared" si="1049"/>
        <v>4.6887234042553185</v>
      </c>
      <c r="AM471" s="99">
        <f t="shared" si="1049"/>
        <v>4.1493617021276599</v>
      </c>
      <c r="AN471" s="99">
        <f t="shared" si="1049"/>
        <v>3.9636170212765958</v>
      </c>
      <c r="AO471" s="99">
        <f t="shared" si="1049"/>
        <v>4.3434968017057569</v>
      </c>
      <c r="AP471" s="99">
        <f t="shared" si="1049"/>
        <v>5.7683760683760683</v>
      </c>
      <c r="AQ471" s="99">
        <f t="shared" ref="AQ471:AV473" si="1057">H471/Z471</f>
        <v>6.5211087420042642</v>
      </c>
      <c r="AR471" s="99">
        <f t="shared" si="1057"/>
        <v>9.2244680851063823</v>
      </c>
      <c r="AS471" s="99">
        <f t="shared" si="1057"/>
        <v>5.9800847457627118</v>
      </c>
      <c r="AT471" s="99">
        <f t="shared" si="1057"/>
        <v>5.6478723404255318</v>
      </c>
      <c r="AU471" s="99">
        <f t="shared" si="1057"/>
        <v>5.0278131634819534</v>
      </c>
      <c r="AV471" s="99">
        <f t="shared" si="1057"/>
        <v>4.1780383795309168</v>
      </c>
      <c r="AW471" s="90">
        <f t="shared" si="1048"/>
        <v>0.17561734989677713</v>
      </c>
    </row>
    <row r="472" spans="1:49" x14ac:dyDescent="0.25">
      <c r="A472" s="61">
        <v>2018</v>
      </c>
      <c r="B472" s="116">
        <v>2452.1999999999998</v>
      </c>
      <c r="C472" s="116">
        <v>1861.6</v>
      </c>
      <c r="D472" s="116">
        <v>2094.9</v>
      </c>
      <c r="E472" s="116">
        <v>1906</v>
      </c>
      <c r="F472" s="116">
        <v>2746.2</v>
      </c>
      <c r="G472" s="116">
        <v>4428.5</v>
      </c>
      <c r="H472" s="116">
        <v>4457.2</v>
      </c>
      <c r="I472" s="116">
        <v>4115.1000000000004</v>
      </c>
      <c r="J472" s="116">
        <v>2984.8</v>
      </c>
      <c r="K472" s="116">
        <v>2935.6</v>
      </c>
      <c r="L472" s="116">
        <v>2336</v>
      </c>
      <c r="M472" s="116">
        <v>1871</v>
      </c>
      <c r="N472" s="115">
        <f t="shared" si="1056"/>
        <v>32323.527999999998</v>
      </c>
      <c r="O472" s="115">
        <f>SUM(B472:M472)</f>
        <v>34189.099999999991</v>
      </c>
      <c r="P472" s="144"/>
      <c r="Q472" s="145"/>
      <c r="S472" s="61">
        <v>2018</v>
      </c>
      <c r="T472" s="35">
        <v>466</v>
      </c>
      <c r="U472" s="35">
        <v>467</v>
      </c>
      <c r="V472" s="35">
        <v>467</v>
      </c>
      <c r="W472" s="35">
        <v>469</v>
      </c>
      <c r="X472" s="35">
        <v>469</v>
      </c>
      <c r="Y472" s="35">
        <v>469</v>
      </c>
      <c r="Z472" s="35">
        <v>469</v>
      </c>
      <c r="AA472" s="35">
        <v>469</v>
      </c>
      <c r="AB472" s="35">
        <v>469</v>
      </c>
      <c r="AC472" s="35">
        <v>470</v>
      </c>
      <c r="AD472" s="35">
        <v>470</v>
      </c>
      <c r="AE472" s="35">
        <v>470</v>
      </c>
      <c r="AF472" s="85">
        <f t="shared" si="1012"/>
        <v>465.08333333333331</v>
      </c>
      <c r="AG472" s="83">
        <f t="shared" si="1025"/>
        <v>468.66666666666669</v>
      </c>
      <c r="AJ472" s="61">
        <v>2018</v>
      </c>
      <c r="AK472" s="11">
        <f t="shared" si="1013"/>
        <v>5.2622317596566521</v>
      </c>
      <c r="AL472" s="11">
        <f t="shared" si="1049"/>
        <v>3.9862955032119913</v>
      </c>
      <c r="AM472" s="11">
        <f t="shared" si="1049"/>
        <v>4.4858672376873665</v>
      </c>
      <c r="AN472" s="11">
        <f t="shared" si="1049"/>
        <v>4.0639658848614069</v>
      </c>
      <c r="AO472" s="11">
        <f t="shared" si="1049"/>
        <v>5.8554371002132193</v>
      </c>
      <c r="AP472" s="11">
        <f t="shared" si="1049"/>
        <v>9.4424307036247335</v>
      </c>
      <c r="AQ472" s="11">
        <f t="shared" si="1057"/>
        <v>9.5036247334754798</v>
      </c>
      <c r="AR472" s="11">
        <f t="shared" si="1057"/>
        <v>8.7742004264392328</v>
      </c>
      <c r="AS472" s="11">
        <f t="shared" si="1057"/>
        <v>6.3641791044776124</v>
      </c>
      <c r="AT472" s="11">
        <f t="shared" si="1057"/>
        <v>6.2459574468085108</v>
      </c>
      <c r="AU472" s="11">
        <f t="shared" si="1057"/>
        <v>4.9702127659574469</v>
      </c>
      <c r="AV472" s="11">
        <f t="shared" si="1057"/>
        <v>3.9808510638297872</v>
      </c>
      <c r="AW472" s="90">
        <f t="shared" si="1048"/>
        <v>0.19968584183502655</v>
      </c>
    </row>
    <row r="473" spans="1:49" x14ac:dyDescent="0.25">
      <c r="A473" s="3">
        <v>2017</v>
      </c>
      <c r="G473" s="116">
        <v>3096.6840000000002</v>
      </c>
      <c r="H473" s="116">
        <v>3498.5360000000001</v>
      </c>
      <c r="I473" s="116">
        <v>3169.6759999999999</v>
      </c>
      <c r="J473" s="116">
        <v>3686.7159999999999</v>
      </c>
      <c r="K473" s="116">
        <v>2305.5880000000002</v>
      </c>
      <c r="L473" s="116">
        <v>2744.116</v>
      </c>
      <c r="M473" s="116">
        <v>1429.4960000000001</v>
      </c>
      <c r="N473" s="115"/>
      <c r="O473" s="328">
        <f>AVERAGE(G473:M473)*12</f>
        <v>34167.106285714282</v>
      </c>
      <c r="P473" s="144"/>
      <c r="Q473" s="145"/>
      <c r="S473" s="3">
        <v>2017</v>
      </c>
      <c r="T473" s="6"/>
      <c r="U473" s="6"/>
      <c r="V473" s="6"/>
      <c r="W473" s="6"/>
      <c r="X473" s="6">
        <v>477</v>
      </c>
      <c r="Y473" s="6">
        <v>463</v>
      </c>
      <c r="Z473" s="6">
        <v>457</v>
      </c>
      <c r="AA473" s="6">
        <v>464</v>
      </c>
      <c r="AB473" s="6">
        <v>462</v>
      </c>
      <c r="AC473" s="6">
        <v>461</v>
      </c>
      <c r="AD473" s="6">
        <v>464</v>
      </c>
      <c r="AE473" s="6">
        <v>466</v>
      </c>
      <c r="AG473" s="307">
        <f>SUM(T473:AE473)/8</f>
        <v>464.25</v>
      </c>
      <c r="AJ473" s="3">
        <v>2017</v>
      </c>
      <c r="AK473" s="11"/>
      <c r="AL473" s="11"/>
      <c r="AM473" s="11"/>
      <c r="AN473" s="11"/>
      <c r="AO473" s="11"/>
      <c r="AP473" s="11">
        <f>G473/Y473</f>
        <v>6.6883023758099354</v>
      </c>
      <c r="AQ473" s="11">
        <f t="shared" si="1057"/>
        <v>7.6554398249452955</v>
      </c>
      <c r="AR473" s="11">
        <f t="shared" si="1057"/>
        <v>6.8311982758620688</v>
      </c>
      <c r="AS473" s="11">
        <f t="shared" si="1057"/>
        <v>7.9799047619047618</v>
      </c>
      <c r="AT473" s="11">
        <f t="shared" si="1057"/>
        <v>5.0012754880694148</v>
      </c>
      <c r="AU473" s="11">
        <f t="shared" si="1057"/>
        <v>5.9140431034482761</v>
      </c>
      <c r="AV473" s="11">
        <f t="shared" si="1057"/>
        <v>3.067587982832618</v>
      </c>
      <c r="AW473" s="90">
        <f t="shared" si="1048"/>
        <v>0.11810472775598185</v>
      </c>
    </row>
    <row r="474" spans="1:49" x14ac:dyDescent="0.25">
      <c r="A474" s="3">
        <v>2016</v>
      </c>
      <c r="P474" s="144"/>
      <c r="Q474" s="145"/>
      <c r="S474" s="3">
        <v>2016</v>
      </c>
      <c r="AJ474" s="3">
        <v>2016</v>
      </c>
    </row>
    <row r="475" spans="1:49" x14ac:dyDescent="0.25">
      <c r="A475" s="3">
        <v>2015</v>
      </c>
      <c r="P475" s="144"/>
      <c r="Q475" s="145"/>
      <c r="S475" s="3">
        <v>2015</v>
      </c>
      <c r="AJ475" s="3">
        <v>2015</v>
      </c>
    </row>
    <row r="476" spans="1:49" x14ac:dyDescent="0.25">
      <c r="P476" s="144"/>
      <c r="Q476" s="145"/>
    </row>
    <row r="477" spans="1:49" x14ac:dyDescent="0.25">
      <c r="P477" s="144"/>
      <c r="Q477" s="145"/>
      <c r="AV477" s="3" t="s">
        <v>166</v>
      </c>
      <c r="AW477" s="72">
        <f>SUM(AW467:AW471)/5</f>
        <v>0.18900068672672382</v>
      </c>
    </row>
    <row r="478" spans="1:49" x14ac:dyDescent="0.25">
      <c r="P478" s="144"/>
      <c r="Q478" s="145"/>
      <c r="U478" s="6"/>
      <c r="AV478" s="3" t="s">
        <v>89</v>
      </c>
      <c r="AW478" s="72">
        <f>SUM(AW468:AW472)/5</f>
        <v>0.18757224764781213</v>
      </c>
    </row>
    <row r="479" spans="1:49" x14ac:dyDescent="0.25">
      <c r="P479" s="144"/>
      <c r="Q479" s="145"/>
    </row>
    <row r="480" spans="1:49" ht="60" x14ac:dyDescent="0.25">
      <c r="A480" s="165" t="s">
        <v>108</v>
      </c>
      <c r="B480" s="111" t="s">
        <v>0</v>
      </c>
      <c r="C480" s="111" t="s">
        <v>1</v>
      </c>
      <c r="D480" s="111" t="s">
        <v>2</v>
      </c>
      <c r="E480" s="111" t="s">
        <v>3</v>
      </c>
      <c r="F480" s="111" t="s">
        <v>4</v>
      </c>
      <c r="G480" s="111" t="s">
        <v>5</v>
      </c>
      <c r="H480" s="111" t="s">
        <v>6</v>
      </c>
      <c r="I480" s="111" t="s">
        <v>7</v>
      </c>
      <c r="J480" s="111" t="s">
        <v>8</v>
      </c>
      <c r="K480" s="111" t="s">
        <v>9</v>
      </c>
      <c r="L480" s="111" t="s">
        <v>10</v>
      </c>
      <c r="M480" s="111" t="s">
        <v>11</v>
      </c>
      <c r="N480" s="112" t="s">
        <v>78</v>
      </c>
      <c r="O480" s="112" t="s">
        <v>77</v>
      </c>
      <c r="P480" s="139" t="s">
        <v>162</v>
      </c>
      <c r="Q480" s="140" t="s">
        <v>72</v>
      </c>
      <c r="S480" s="165" t="s">
        <v>109</v>
      </c>
      <c r="T480" s="53" t="s">
        <v>0</v>
      </c>
      <c r="U480" s="53" t="s">
        <v>1</v>
      </c>
      <c r="V480" s="53" t="s">
        <v>2</v>
      </c>
      <c r="W480" s="53" t="s">
        <v>3</v>
      </c>
      <c r="X480" s="53" t="s">
        <v>4</v>
      </c>
      <c r="Y480" s="53" t="s">
        <v>5</v>
      </c>
      <c r="Z480" s="53" t="s">
        <v>6</v>
      </c>
      <c r="AA480" s="53" t="s">
        <v>7</v>
      </c>
      <c r="AB480" s="53" t="s">
        <v>8</v>
      </c>
      <c r="AC480" s="53" t="s">
        <v>9</v>
      </c>
      <c r="AD480" s="53" t="s">
        <v>10</v>
      </c>
      <c r="AE480" s="53" t="s">
        <v>11</v>
      </c>
      <c r="AF480" s="30" t="s">
        <v>164</v>
      </c>
      <c r="AG480" s="30" t="s">
        <v>167</v>
      </c>
      <c r="AH480" s="54"/>
      <c r="AJ480" s="165" t="s">
        <v>110</v>
      </c>
      <c r="AK480" s="53" t="s">
        <v>0</v>
      </c>
      <c r="AL480" s="53" t="s">
        <v>1</v>
      </c>
      <c r="AM480" s="53" t="s">
        <v>2</v>
      </c>
      <c r="AN480" s="53" t="s">
        <v>3</v>
      </c>
      <c r="AO480" s="53" t="s">
        <v>4</v>
      </c>
      <c r="AP480" s="53" t="s">
        <v>5</v>
      </c>
      <c r="AQ480" s="53" t="s">
        <v>6</v>
      </c>
      <c r="AR480" s="53" t="s">
        <v>7</v>
      </c>
      <c r="AS480" s="53" t="s">
        <v>8</v>
      </c>
      <c r="AT480" s="53" t="s">
        <v>9</v>
      </c>
      <c r="AU480" s="53" t="s">
        <v>10</v>
      </c>
      <c r="AV480" s="53" t="s">
        <v>11</v>
      </c>
      <c r="AW480" s="5" t="s">
        <v>49</v>
      </c>
    </row>
    <row r="481" spans="1:49" x14ac:dyDescent="0.25">
      <c r="A481" s="77">
        <v>2023</v>
      </c>
      <c r="B481" s="189">
        <v>223.7</v>
      </c>
      <c r="C481" s="189">
        <v>241.2</v>
      </c>
      <c r="D481" s="189">
        <v>197.3</v>
      </c>
      <c r="E481" s="189">
        <v>219.1</v>
      </c>
      <c r="F481" s="189">
        <v>287.89999999999998</v>
      </c>
      <c r="G481" s="189">
        <v>267.89999999999998</v>
      </c>
      <c r="H481" s="189">
        <v>339.4</v>
      </c>
      <c r="I481" s="189">
        <v>308.7</v>
      </c>
      <c r="J481" s="189">
        <v>269.8</v>
      </c>
      <c r="K481" s="189">
        <v>288.89999999999998</v>
      </c>
      <c r="L481" s="189">
        <v>258.10000000000002</v>
      </c>
      <c r="M481" s="189">
        <v>222.9</v>
      </c>
      <c r="N481" s="115">
        <f t="shared" ref="N481:N483" si="1058">SUM(B481:G481)+SUM(H482:M482)</f>
        <v>3046.2779999999998</v>
      </c>
      <c r="O481" s="115">
        <f t="shared" ref="O481:O484" si="1059">SUM(B481:M481)</f>
        <v>3124.9</v>
      </c>
      <c r="P481" s="139"/>
      <c r="Q481" s="140"/>
      <c r="S481" s="77">
        <v>2023</v>
      </c>
      <c r="T481" s="189">
        <v>66</v>
      </c>
      <c r="U481" s="189">
        <v>66</v>
      </c>
      <c r="V481" s="189">
        <v>66</v>
      </c>
      <c r="W481" s="189">
        <v>66</v>
      </c>
      <c r="X481" s="189">
        <v>66</v>
      </c>
      <c r="Y481" s="189">
        <v>66</v>
      </c>
      <c r="Z481" s="189">
        <v>66</v>
      </c>
      <c r="AA481" s="189">
        <v>67</v>
      </c>
      <c r="AB481" s="189">
        <v>68</v>
      </c>
      <c r="AC481" s="189">
        <v>68</v>
      </c>
      <c r="AD481" s="189">
        <v>68</v>
      </c>
      <c r="AE481" s="189">
        <v>68</v>
      </c>
      <c r="AF481" s="96">
        <f>(SUM(Z482:AE482)+SUM(T481:Y481))/12</f>
        <v>66.583333333333329</v>
      </c>
      <c r="AG481" s="83">
        <f>SUM(T481:AE481)/12</f>
        <v>66.75</v>
      </c>
      <c r="AH481" s="54"/>
      <c r="AJ481" s="77">
        <v>2023</v>
      </c>
      <c r="AK481" s="174">
        <f>B481/T481</f>
        <v>3.3893939393939392</v>
      </c>
      <c r="AL481" s="174">
        <f t="shared" ref="AL481:AV481" si="1060">C481/U481</f>
        <v>3.6545454545454543</v>
      </c>
      <c r="AM481" s="174">
        <f t="shared" si="1060"/>
        <v>2.9893939393939397</v>
      </c>
      <c r="AN481" s="174">
        <f t="shared" si="1060"/>
        <v>3.3196969696969698</v>
      </c>
      <c r="AO481" s="174">
        <f t="shared" si="1060"/>
        <v>4.3621212121212114</v>
      </c>
      <c r="AP481" s="174">
        <f t="shared" si="1060"/>
        <v>4.0590909090909086</v>
      </c>
      <c r="AQ481" s="174">
        <f t="shared" si="1060"/>
        <v>5.1424242424242417</v>
      </c>
      <c r="AR481" s="174">
        <f t="shared" si="1060"/>
        <v>4.607462686567164</v>
      </c>
      <c r="AS481" s="174">
        <f t="shared" si="1060"/>
        <v>3.9676470588235295</v>
      </c>
      <c r="AT481" s="174">
        <f t="shared" si="1060"/>
        <v>4.2485294117647054</v>
      </c>
      <c r="AU481" s="174">
        <f t="shared" si="1060"/>
        <v>3.7955882352941179</v>
      </c>
      <c r="AV481" s="174">
        <f t="shared" si="1060"/>
        <v>3.2779411764705881</v>
      </c>
      <c r="AW481" s="90">
        <f>(SUM(AK481:AP481)+SUM(AQ481:AV481))/365.25</f>
        <v>0.12816929564842372</v>
      </c>
    </row>
    <row r="482" spans="1:49" x14ac:dyDescent="0.25">
      <c r="A482" s="61">
        <v>2022</v>
      </c>
      <c r="B482" s="190">
        <v>226.8</v>
      </c>
      <c r="C482" s="190">
        <v>257</v>
      </c>
      <c r="D482" s="190">
        <v>229.2</v>
      </c>
      <c r="E482" s="190">
        <v>254.5</v>
      </c>
      <c r="F482" s="190">
        <v>183.9</v>
      </c>
      <c r="G482" s="190">
        <v>288.8</v>
      </c>
      <c r="H482" s="190">
        <v>280.39999999999998</v>
      </c>
      <c r="I482" s="190">
        <v>303.89999999999998</v>
      </c>
      <c r="J482" s="190">
        <v>290.60000000000002</v>
      </c>
      <c r="K482" s="190">
        <v>267.8</v>
      </c>
      <c r="L482" s="190">
        <v>246.1</v>
      </c>
      <c r="M482" s="190">
        <v>220.37799999999999</v>
      </c>
      <c r="N482" s="115">
        <f t="shared" si="1058"/>
        <v>2951.8</v>
      </c>
      <c r="O482" s="115">
        <f t="shared" si="1059"/>
        <v>3049.3780000000002</v>
      </c>
      <c r="P482" s="139"/>
      <c r="Q482" s="140"/>
      <c r="S482" s="61">
        <v>2022</v>
      </c>
      <c r="T482" s="190">
        <v>65</v>
      </c>
      <c r="U482" s="190">
        <v>65</v>
      </c>
      <c r="V482" s="190">
        <v>66</v>
      </c>
      <c r="W482" s="190">
        <v>67</v>
      </c>
      <c r="X482" s="190">
        <v>67</v>
      </c>
      <c r="Y482" s="190">
        <v>67</v>
      </c>
      <c r="Z482" s="190">
        <v>67</v>
      </c>
      <c r="AA482" s="190">
        <v>67</v>
      </c>
      <c r="AB482" s="190">
        <v>68</v>
      </c>
      <c r="AC482" s="190">
        <v>68</v>
      </c>
      <c r="AD482" s="190">
        <v>67</v>
      </c>
      <c r="AE482" s="190">
        <v>66</v>
      </c>
      <c r="AF482" s="96">
        <f>(SUM(Z483:AE483)+SUM(T482:Y482))/12</f>
        <v>64.833333333333329</v>
      </c>
      <c r="AG482" s="83">
        <f t="shared" ref="AG482:AG483" si="1061">SUM(T482:AE482)/12</f>
        <v>66.666666666666671</v>
      </c>
      <c r="AH482" s="54"/>
      <c r="AJ482" s="61">
        <v>2022</v>
      </c>
      <c r="AK482" s="174">
        <f>B482/T482</f>
        <v>3.4892307692307694</v>
      </c>
      <c r="AL482" s="174">
        <f t="shared" ref="AL482:AP483" si="1062">C482/U482</f>
        <v>3.953846153846154</v>
      </c>
      <c r="AM482" s="174">
        <f t="shared" si="1062"/>
        <v>3.4727272727272727</v>
      </c>
      <c r="AN482" s="174">
        <f t="shared" si="1062"/>
        <v>3.7985074626865671</v>
      </c>
      <c r="AO482" s="174">
        <f t="shared" si="1062"/>
        <v>2.7447761194029852</v>
      </c>
      <c r="AP482" s="174">
        <f t="shared" si="1062"/>
        <v>4.3104477611940304</v>
      </c>
      <c r="AQ482" s="174">
        <f t="shared" ref="AQ482" si="1063">H482/Z482</f>
        <v>4.1850746268656716</v>
      </c>
      <c r="AR482" s="174">
        <f t="shared" ref="AR482" si="1064">I482/AA482</f>
        <v>4.535820895522388</v>
      </c>
      <c r="AS482" s="174">
        <f t="shared" ref="AS482" si="1065">J482/AB482</f>
        <v>4.2735294117647058</v>
      </c>
      <c r="AT482" s="174">
        <f t="shared" ref="AT482" si="1066">K482/AC482</f>
        <v>3.9382352941176473</v>
      </c>
      <c r="AU482" s="174">
        <f t="shared" ref="AU482" si="1067">L482/AD482</f>
        <v>3.6731343283582087</v>
      </c>
      <c r="AV482" s="174">
        <f t="shared" ref="AV482" si="1068">M482/AE482</f>
        <v>3.3390606060606061</v>
      </c>
      <c r="AW482" s="90">
        <f>(SUM(AK482:AP482)+SUM(AQ482:AV482))/365.25</f>
        <v>0.1251591805661246</v>
      </c>
    </row>
    <row r="483" spans="1:49" x14ac:dyDescent="0.25">
      <c r="A483" s="61">
        <v>2021</v>
      </c>
      <c r="B483" s="190">
        <v>248.1</v>
      </c>
      <c r="C483" s="190">
        <v>204.1</v>
      </c>
      <c r="D483" s="190">
        <v>198.6</v>
      </c>
      <c r="E483" s="190">
        <v>252.4</v>
      </c>
      <c r="F483" s="190">
        <v>204.2</v>
      </c>
      <c r="G483" s="190">
        <v>221.4</v>
      </c>
      <c r="H483" s="190">
        <v>317.5</v>
      </c>
      <c r="I483" s="190">
        <v>255</v>
      </c>
      <c r="J483" s="190">
        <v>309.39999999999998</v>
      </c>
      <c r="K483" s="190">
        <v>206.6</v>
      </c>
      <c r="L483" s="190">
        <v>196</v>
      </c>
      <c r="M483" s="190">
        <v>227.1</v>
      </c>
      <c r="N483" s="115">
        <f t="shared" si="1058"/>
        <v>1328.8</v>
      </c>
      <c r="O483" s="115">
        <f t="shared" si="1059"/>
        <v>2840.3999999999996</v>
      </c>
      <c r="P483" s="139"/>
      <c r="Q483" s="140"/>
      <c r="S483" s="61">
        <v>2021</v>
      </c>
      <c r="T483" s="190">
        <v>63</v>
      </c>
      <c r="U483" s="190">
        <v>63</v>
      </c>
      <c r="V483" s="190">
        <v>63</v>
      </c>
      <c r="W483" s="190">
        <v>63</v>
      </c>
      <c r="X483" s="190">
        <v>64</v>
      </c>
      <c r="Y483" s="190">
        <v>64</v>
      </c>
      <c r="Z483" s="190">
        <v>64</v>
      </c>
      <c r="AA483" s="190">
        <v>63</v>
      </c>
      <c r="AB483" s="190">
        <v>63</v>
      </c>
      <c r="AC483" s="190">
        <v>63</v>
      </c>
      <c r="AD483" s="190">
        <v>64</v>
      </c>
      <c r="AE483" s="190">
        <v>64</v>
      </c>
      <c r="AF483" s="96">
        <f>(SUM(Z484:AE484)+SUM(T483:Y483))/12</f>
        <v>31.666666666666668</v>
      </c>
      <c r="AG483" s="83">
        <f t="shared" si="1061"/>
        <v>63.416666666666664</v>
      </c>
      <c r="AH483" s="54"/>
      <c r="AJ483" s="61">
        <v>2021</v>
      </c>
      <c r="AK483" s="174">
        <f>B483/T483</f>
        <v>3.9380952380952379</v>
      </c>
      <c r="AL483" s="174">
        <f t="shared" si="1062"/>
        <v>3.2396825396825397</v>
      </c>
      <c r="AM483" s="174">
        <f t="shared" si="1062"/>
        <v>3.1523809523809523</v>
      </c>
      <c r="AN483" s="174">
        <f t="shared" si="1062"/>
        <v>4.0063492063492063</v>
      </c>
      <c r="AO483" s="174">
        <f t="shared" si="1062"/>
        <v>3.1906249999999998</v>
      </c>
      <c r="AP483" s="174">
        <f t="shared" si="1062"/>
        <v>3.4593750000000001</v>
      </c>
      <c r="AQ483" s="174">
        <f t="shared" ref="AQ483:AV483" si="1069">H483/Z483</f>
        <v>4.9609375</v>
      </c>
      <c r="AR483" s="174">
        <f t="shared" si="1069"/>
        <v>4.0476190476190474</v>
      </c>
      <c r="AS483" s="174">
        <f t="shared" si="1069"/>
        <v>4.9111111111111105</v>
      </c>
      <c r="AT483" s="174">
        <f t="shared" si="1069"/>
        <v>3.2793650793650793</v>
      </c>
      <c r="AU483" s="174">
        <f t="shared" si="1069"/>
        <v>3.0625</v>
      </c>
      <c r="AV483" s="174">
        <f t="shared" si="1069"/>
        <v>3.5484374999999999</v>
      </c>
      <c r="AW483" s="90">
        <f>(SUM(AK483:AP483)+SUM(AQ483:AV483))/365.25</f>
        <v>0.1226460730310833</v>
      </c>
    </row>
    <row r="484" spans="1:49" x14ac:dyDescent="0.25">
      <c r="A484" s="61">
        <v>2020</v>
      </c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15">
        <f>SUM(B484:G484)+SUM(H485:M485)</f>
        <v>0</v>
      </c>
      <c r="O484" s="115">
        <f t="shared" si="1059"/>
        <v>0</v>
      </c>
      <c r="P484" s="144"/>
      <c r="Q484" s="145"/>
      <c r="S484" s="61">
        <v>2020</v>
      </c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96">
        <f>(SUM(Z485:AE485)+SUM(T484:Y484))/12</f>
        <v>0</v>
      </c>
      <c r="AJ484" s="61">
        <v>2020</v>
      </c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  <c r="AV484" s="99"/>
      <c r="AW484" s="90"/>
    </row>
    <row r="485" spans="1:49" x14ac:dyDescent="0.25">
      <c r="A485" s="61">
        <v>2019</v>
      </c>
      <c r="B485" s="116"/>
      <c r="C485" s="116"/>
      <c r="D485" s="116"/>
      <c r="E485" s="116"/>
      <c r="F485" s="116"/>
      <c r="G485" s="116"/>
      <c r="H485" s="109"/>
      <c r="I485" s="109"/>
      <c r="J485" s="109"/>
      <c r="K485" s="109"/>
      <c r="L485" s="109"/>
      <c r="M485" s="109"/>
      <c r="N485" s="115">
        <f t="shared" ref="N485" si="1070">SUM(B485:G485)+SUM(H486:M486)</f>
        <v>0</v>
      </c>
      <c r="O485" s="115">
        <f>SUM(B485:M485)</f>
        <v>0</v>
      </c>
      <c r="P485" s="144"/>
      <c r="Q485" s="145"/>
      <c r="R485" s="36"/>
      <c r="S485" s="61">
        <v>2019</v>
      </c>
      <c r="T485" s="35"/>
      <c r="U485" s="35"/>
      <c r="V485" s="35"/>
      <c r="W485" s="35"/>
      <c r="X485" s="35"/>
      <c r="Y485" s="35"/>
      <c r="Z485" s="109"/>
      <c r="AA485" s="109"/>
      <c r="AB485" s="109"/>
      <c r="AC485" s="109"/>
      <c r="AD485" s="109"/>
      <c r="AE485" s="109"/>
      <c r="AF485" s="85">
        <f>(SUM(Z486:AE486)+SUM(T485:Y485))/12</f>
        <v>0</v>
      </c>
      <c r="AJ485" s="61">
        <v>2019</v>
      </c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3" t="s">
        <v>192</v>
      </c>
      <c r="AW485" s="90">
        <f>SUM(AW481:AW483)/3</f>
        <v>0.12532484974854388</v>
      </c>
    </row>
    <row r="486" spans="1:49" x14ac:dyDescent="0.25">
      <c r="P486" s="144"/>
      <c r="Q486" s="145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</row>
    <row r="487" spans="1:49" x14ac:dyDescent="0.25">
      <c r="P487" s="144"/>
      <c r="Q487" s="145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</row>
    <row r="488" spans="1:49" ht="60" x14ac:dyDescent="0.25">
      <c r="A488" s="165" t="s">
        <v>111</v>
      </c>
      <c r="B488" s="111" t="s">
        <v>0</v>
      </c>
      <c r="C488" s="111" t="s">
        <v>1</v>
      </c>
      <c r="D488" s="111" t="s">
        <v>2</v>
      </c>
      <c r="E488" s="111" t="s">
        <v>3</v>
      </c>
      <c r="F488" s="111" t="s">
        <v>4</v>
      </c>
      <c r="G488" s="111" t="s">
        <v>5</v>
      </c>
      <c r="H488" s="111" t="s">
        <v>6</v>
      </c>
      <c r="I488" s="111" t="s">
        <v>7</v>
      </c>
      <c r="J488" s="111" t="s">
        <v>8</v>
      </c>
      <c r="K488" s="111" t="s">
        <v>9</v>
      </c>
      <c r="L488" s="111" t="s">
        <v>10</v>
      </c>
      <c r="M488" s="111" t="s">
        <v>11</v>
      </c>
      <c r="N488" s="112" t="s">
        <v>78</v>
      </c>
      <c r="O488" s="112" t="s">
        <v>77</v>
      </c>
      <c r="P488" s="139" t="s">
        <v>162</v>
      </c>
      <c r="Q488" s="140" t="s">
        <v>72</v>
      </c>
      <c r="S488" s="165" t="s">
        <v>112</v>
      </c>
      <c r="T488" s="53" t="s">
        <v>0</v>
      </c>
      <c r="U488" s="53" t="s">
        <v>1</v>
      </c>
      <c r="V488" s="53" t="s">
        <v>2</v>
      </c>
      <c r="W488" s="53" t="s">
        <v>3</v>
      </c>
      <c r="X488" s="53" t="s">
        <v>4</v>
      </c>
      <c r="Y488" s="53" t="s">
        <v>5</v>
      </c>
      <c r="Z488" s="53" t="s">
        <v>6</v>
      </c>
      <c r="AA488" s="53" t="s">
        <v>7</v>
      </c>
      <c r="AB488" s="53" t="s">
        <v>8</v>
      </c>
      <c r="AC488" s="53" t="s">
        <v>9</v>
      </c>
      <c r="AD488" s="53" t="s">
        <v>10</v>
      </c>
      <c r="AE488" s="53" t="s">
        <v>11</v>
      </c>
      <c r="AF488" s="30" t="s">
        <v>164</v>
      </c>
      <c r="AG488" s="30" t="s">
        <v>167</v>
      </c>
      <c r="AH488" s="54"/>
      <c r="AJ488" s="165" t="s">
        <v>113</v>
      </c>
      <c r="AK488" s="173" t="s">
        <v>0</v>
      </c>
      <c r="AL488" s="173" t="s">
        <v>1</v>
      </c>
      <c r="AM488" s="173" t="s">
        <v>2</v>
      </c>
      <c r="AN488" s="173" t="s">
        <v>3</v>
      </c>
      <c r="AO488" s="173" t="s">
        <v>4</v>
      </c>
      <c r="AP488" s="173" t="s">
        <v>5</v>
      </c>
      <c r="AQ488" s="173" t="s">
        <v>6</v>
      </c>
      <c r="AR488" s="173" t="s">
        <v>7</v>
      </c>
      <c r="AS488" s="173" t="s">
        <v>8</v>
      </c>
      <c r="AT488" s="173" t="s">
        <v>9</v>
      </c>
      <c r="AU488" s="173" t="s">
        <v>10</v>
      </c>
      <c r="AV488" s="173" t="s">
        <v>11</v>
      </c>
      <c r="AW488" s="5" t="s">
        <v>49</v>
      </c>
    </row>
    <row r="489" spans="1:49" x14ac:dyDescent="0.25">
      <c r="A489" s="77">
        <v>2023</v>
      </c>
      <c r="B489" s="189">
        <v>1351.2</v>
      </c>
      <c r="C489" s="189">
        <v>1073.5</v>
      </c>
      <c r="D489" s="189">
        <v>1246.4000000000001</v>
      </c>
      <c r="E489" s="189">
        <v>1972.4</v>
      </c>
      <c r="F489" s="189">
        <v>1912.9</v>
      </c>
      <c r="G489" s="189">
        <v>2495.4</v>
      </c>
      <c r="H489" s="189">
        <v>2193.8000000000002</v>
      </c>
      <c r="I489" s="189">
        <v>1954.075</v>
      </c>
      <c r="J489" s="189">
        <v>2362.9</v>
      </c>
      <c r="K489" s="189">
        <v>1810.1</v>
      </c>
      <c r="L489" s="189">
        <v>1873.1</v>
      </c>
      <c r="M489" s="189">
        <v>2093.614</v>
      </c>
      <c r="N489" s="115">
        <f t="shared" ref="N489:N491" si="1071">SUM(B489:G489)+SUM(H490:M490)</f>
        <v>17449.28</v>
      </c>
      <c r="O489" s="115">
        <f t="shared" ref="O489:O492" si="1072">SUM(B489:M489)</f>
        <v>22339.388999999999</v>
      </c>
      <c r="P489" s="139"/>
      <c r="Q489" s="140"/>
      <c r="S489" s="77">
        <v>2023</v>
      </c>
      <c r="T489" s="189">
        <v>363</v>
      </c>
      <c r="U489" s="189">
        <v>575</v>
      </c>
      <c r="V489" s="189">
        <v>577</v>
      </c>
      <c r="W489" s="189">
        <v>573</v>
      </c>
      <c r="X489" s="189">
        <v>574</v>
      </c>
      <c r="Y489" s="189">
        <v>574</v>
      </c>
      <c r="Z489" s="189">
        <v>574</v>
      </c>
      <c r="AA489" s="189">
        <v>572</v>
      </c>
      <c r="AB489" s="189">
        <v>573</v>
      </c>
      <c r="AC489" s="189">
        <v>570</v>
      </c>
      <c r="AD489" s="189">
        <v>566</v>
      </c>
      <c r="AE489" s="189">
        <v>564</v>
      </c>
      <c r="AF489" s="96">
        <f>(SUM(Z490:AE490)+SUM(T489:Y489))/12</f>
        <v>450.08333333333331</v>
      </c>
      <c r="AG489" s="38">
        <f>SUM(T489:AE489)/12</f>
        <v>554.58333333333337</v>
      </c>
      <c r="AH489" s="54"/>
      <c r="AJ489" s="77">
        <v>2023</v>
      </c>
      <c r="AK489" s="174">
        <f>B489/T489</f>
        <v>3.7223140495867768</v>
      </c>
      <c r="AL489" s="174">
        <f t="shared" ref="AL489:AV489" si="1073">C489/U489</f>
        <v>1.8669565217391304</v>
      </c>
      <c r="AM489" s="174">
        <f t="shared" si="1073"/>
        <v>2.1601386481802427</v>
      </c>
      <c r="AN489" s="174">
        <f t="shared" si="1073"/>
        <v>3.4422338568935431</v>
      </c>
      <c r="AO489" s="174">
        <f t="shared" si="1073"/>
        <v>3.3325783972125436</v>
      </c>
      <c r="AP489" s="174">
        <f t="shared" si="1073"/>
        <v>4.347386759581882</v>
      </c>
      <c r="AQ489" s="174">
        <f t="shared" si="1073"/>
        <v>3.8219512195121954</v>
      </c>
      <c r="AR489" s="174">
        <f t="shared" si="1073"/>
        <v>3.4162150349650351</v>
      </c>
      <c r="AS489" s="174">
        <f t="shared" si="1073"/>
        <v>4.1237347294938917</v>
      </c>
      <c r="AT489" s="174">
        <f t="shared" si="1073"/>
        <v>3.1756140350877193</v>
      </c>
      <c r="AU489" s="174">
        <f t="shared" si="1073"/>
        <v>3.3093639575971729</v>
      </c>
      <c r="AV489" s="174">
        <f t="shared" si="1073"/>
        <v>3.7120815602836879</v>
      </c>
      <c r="AW489" s="90">
        <f t="shared" ref="AW489:AW490" si="1074">(SUM(AK489:AP489)+SUM(AQ489:AV489))/365.25</f>
        <v>0.11069286453150942</v>
      </c>
    </row>
    <row r="490" spans="1:49" x14ac:dyDescent="0.25">
      <c r="A490" s="61">
        <v>2022</v>
      </c>
      <c r="B490" s="190">
        <v>1098.71</v>
      </c>
      <c r="C490" s="190">
        <v>1135.2</v>
      </c>
      <c r="D490" s="190">
        <v>1096.0999999999999</v>
      </c>
      <c r="E490" s="190">
        <v>1254.585</v>
      </c>
      <c r="F490" s="190">
        <v>1147.8</v>
      </c>
      <c r="G490" s="190">
        <v>1361.748</v>
      </c>
      <c r="H490" s="190">
        <v>1388.7</v>
      </c>
      <c r="I490" s="190">
        <v>1296</v>
      </c>
      <c r="J490" s="190">
        <v>1245.5</v>
      </c>
      <c r="K490" s="190">
        <v>1252.992</v>
      </c>
      <c r="L490" s="190">
        <v>1103.3920000000001</v>
      </c>
      <c r="M490" s="190">
        <v>1110.896</v>
      </c>
      <c r="N490" s="115">
        <f t="shared" si="1071"/>
        <v>14644.092000000001</v>
      </c>
      <c r="O490" s="115">
        <f t="shared" si="1072"/>
        <v>14491.623000000001</v>
      </c>
      <c r="P490" s="113"/>
      <c r="Q490" s="114"/>
      <c r="S490" s="61">
        <v>2022</v>
      </c>
      <c r="T490" s="190">
        <v>357</v>
      </c>
      <c r="U490" s="190">
        <v>360</v>
      </c>
      <c r="V490" s="190">
        <v>361</v>
      </c>
      <c r="W490" s="190">
        <v>363</v>
      </c>
      <c r="X490" s="190">
        <v>363</v>
      </c>
      <c r="Y490" s="190">
        <v>364</v>
      </c>
      <c r="Z490" s="190">
        <v>361</v>
      </c>
      <c r="AA490" s="190">
        <v>363</v>
      </c>
      <c r="AB490" s="190">
        <v>362</v>
      </c>
      <c r="AC490" s="190">
        <v>362</v>
      </c>
      <c r="AD490" s="190">
        <v>359</v>
      </c>
      <c r="AE490" s="190">
        <v>358</v>
      </c>
      <c r="AF490" s="96">
        <f>(SUM(Z491:AE491)+SUM(T490:Y490))/12</f>
        <v>359.41666666666669</v>
      </c>
      <c r="AG490" s="38">
        <f t="shared" ref="AG490:AG491" si="1075">SUM(T490:AE490)/12</f>
        <v>361.08333333333331</v>
      </c>
      <c r="AH490" s="54"/>
      <c r="AJ490" s="61">
        <v>2022</v>
      </c>
      <c r="AK490" s="174">
        <f>B490/T490</f>
        <v>3.0776190476190477</v>
      </c>
      <c r="AL490" s="174">
        <f t="shared" ref="AL490:AP491" si="1076">C490/U490</f>
        <v>3.1533333333333333</v>
      </c>
      <c r="AM490" s="174">
        <f t="shared" si="1076"/>
        <v>3.0362880886426589</v>
      </c>
      <c r="AN490" s="174">
        <f t="shared" si="1076"/>
        <v>3.4561570247933884</v>
      </c>
      <c r="AO490" s="174">
        <f t="shared" si="1076"/>
        <v>3.1619834710743802</v>
      </c>
      <c r="AP490" s="174">
        <f t="shared" si="1076"/>
        <v>3.7410659340659342</v>
      </c>
      <c r="AQ490" s="174">
        <f t="shared" ref="AQ490" si="1077">H490/Z490</f>
        <v>3.8468144044321333</v>
      </c>
      <c r="AR490" s="174">
        <f t="shared" ref="AR490" si="1078">I490/AA490</f>
        <v>3.5702479338842976</v>
      </c>
      <c r="AS490" s="174">
        <f t="shared" ref="AS490" si="1079">J490/AB490</f>
        <v>3.4406077348066297</v>
      </c>
      <c r="AT490" s="174">
        <f t="shared" ref="AT490" si="1080">K490/AC490</f>
        <v>3.461303867403315</v>
      </c>
      <c r="AU490" s="174">
        <f t="shared" ref="AU490" si="1081">L490/AD490</f>
        <v>3.0735153203342618</v>
      </c>
      <c r="AV490" s="174">
        <f t="shared" ref="AV490" si="1082">M490/AE490</f>
        <v>3.1030614525139661</v>
      </c>
      <c r="AW490" s="90">
        <f t="shared" si="1074"/>
        <v>0.10984804274579971</v>
      </c>
    </row>
    <row r="491" spans="1:49" x14ac:dyDescent="0.25">
      <c r="A491" s="61">
        <v>2021</v>
      </c>
      <c r="B491" s="190">
        <v>1166.8420000000001</v>
      </c>
      <c r="C491" s="190">
        <v>1023.792</v>
      </c>
      <c r="D491" s="190">
        <v>1212.9879999999998</v>
      </c>
      <c r="E491" s="190">
        <v>1301.692</v>
      </c>
      <c r="F491" s="190">
        <v>1148.3920000000001</v>
      </c>
      <c r="G491" s="190">
        <v>1400.979758280107</v>
      </c>
      <c r="H491" s="190">
        <v>1336.2919999999999</v>
      </c>
      <c r="I491" s="190">
        <v>1136.0639999999999</v>
      </c>
      <c r="J491" s="190">
        <v>1315.3879999999999</v>
      </c>
      <c r="K491" s="190">
        <v>1450.8920000000001</v>
      </c>
      <c r="L491" s="190">
        <v>1100.069</v>
      </c>
      <c r="M491" s="190">
        <v>1211.2440000000001</v>
      </c>
      <c r="N491" s="115">
        <f t="shared" si="1071"/>
        <v>7254.6857582801076</v>
      </c>
      <c r="O491" s="115">
        <f t="shared" si="1072"/>
        <v>14804.634758280108</v>
      </c>
      <c r="P491" s="113"/>
      <c r="Q491" s="114"/>
      <c r="S491" s="61">
        <v>2021</v>
      </c>
      <c r="T491" s="190">
        <v>359</v>
      </c>
      <c r="U491" s="190">
        <v>356</v>
      </c>
      <c r="V491" s="190">
        <v>357</v>
      </c>
      <c r="W491" s="190">
        <v>361</v>
      </c>
      <c r="X491" s="190">
        <v>360</v>
      </c>
      <c r="Y491" s="190">
        <v>360</v>
      </c>
      <c r="Z491" s="190">
        <v>359</v>
      </c>
      <c r="AA491" s="190">
        <v>359</v>
      </c>
      <c r="AB491" s="190">
        <v>360</v>
      </c>
      <c r="AC491" s="190">
        <v>355</v>
      </c>
      <c r="AD491" s="190">
        <v>356</v>
      </c>
      <c r="AE491" s="190">
        <v>356</v>
      </c>
      <c r="AF491" s="96">
        <f>(SUM(Z492:AE492)+SUM(T491:Y491))/12</f>
        <v>179.41666666666666</v>
      </c>
      <c r="AG491" s="38">
        <f t="shared" si="1075"/>
        <v>358.16666666666669</v>
      </c>
      <c r="AH491" s="54"/>
      <c r="AJ491" s="61">
        <v>2021</v>
      </c>
      <c r="AK491" s="174">
        <f>B491/T491</f>
        <v>3.2502562674094708</v>
      </c>
      <c r="AL491" s="174">
        <f t="shared" si="1076"/>
        <v>2.8758202247191011</v>
      </c>
      <c r="AM491" s="174">
        <f t="shared" si="1076"/>
        <v>3.3977254901960778</v>
      </c>
      <c r="AN491" s="174">
        <f t="shared" si="1076"/>
        <v>3.6057950138504156</v>
      </c>
      <c r="AO491" s="174">
        <f t="shared" si="1076"/>
        <v>3.189977777777778</v>
      </c>
      <c r="AP491" s="174">
        <f t="shared" si="1076"/>
        <v>3.8916104396669642</v>
      </c>
      <c r="AQ491" s="174">
        <f t="shared" ref="AQ491:AV491" si="1083">H491/Z491</f>
        <v>3.7222618384401112</v>
      </c>
      <c r="AR491" s="174">
        <f t="shared" si="1083"/>
        <v>3.1645236768802225</v>
      </c>
      <c r="AS491" s="174">
        <f t="shared" si="1083"/>
        <v>3.6538555555555554</v>
      </c>
      <c r="AT491" s="174">
        <f t="shared" si="1083"/>
        <v>4.0870197183098593</v>
      </c>
      <c r="AU491" s="174">
        <f t="shared" si="1083"/>
        <v>3.0900814606741571</v>
      </c>
      <c r="AV491" s="174">
        <f t="shared" si="1083"/>
        <v>3.4023707865168542</v>
      </c>
      <c r="AW491" s="90">
        <f>(SUM(AK491:AP491)+SUM(AQ491:AV491))/365.25</f>
        <v>0.11315892744694474</v>
      </c>
    </row>
    <row r="492" spans="1:49" x14ac:dyDescent="0.25">
      <c r="A492" s="61">
        <v>2020</v>
      </c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15">
        <f>SUM(B492:G492)+SUM(H493:M493)</f>
        <v>0</v>
      </c>
      <c r="O492" s="115">
        <f t="shared" si="1072"/>
        <v>0</v>
      </c>
      <c r="S492" s="61">
        <v>2020</v>
      </c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96">
        <f>(SUM(Z493:AE493)+SUM(T492:Y492))/12</f>
        <v>0</v>
      </c>
      <c r="AJ492" s="61">
        <v>2020</v>
      </c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  <c r="AV492" s="99"/>
      <c r="AW492" s="90"/>
    </row>
    <row r="493" spans="1:49" x14ac:dyDescent="0.25">
      <c r="A493" s="61">
        <v>2019</v>
      </c>
      <c r="B493" s="116"/>
      <c r="C493" s="116"/>
      <c r="D493" s="116"/>
      <c r="E493" s="116"/>
      <c r="F493" s="116"/>
      <c r="G493" s="116"/>
      <c r="H493" s="109"/>
      <c r="I493" s="109"/>
      <c r="J493" s="109"/>
      <c r="K493" s="109"/>
      <c r="L493" s="109"/>
      <c r="M493" s="109"/>
      <c r="N493" s="115">
        <f t="shared" ref="N493" si="1084">SUM(B493:G493)+SUM(H494:M494)</f>
        <v>0</v>
      </c>
      <c r="O493" s="115">
        <f>SUM(B493:M493)</f>
        <v>0</v>
      </c>
      <c r="R493" s="36"/>
      <c r="S493" s="61">
        <v>2019</v>
      </c>
      <c r="T493" s="35"/>
      <c r="U493" s="35"/>
      <c r="V493" s="35"/>
      <c r="W493" s="35"/>
      <c r="X493" s="35"/>
      <c r="Y493" s="35"/>
      <c r="Z493" s="109"/>
      <c r="AA493" s="109"/>
      <c r="AB493" s="109"/>
      <c r="AC493" s="109"/>
      <c r="AD493" s="109"/>
      <c r="AE493" s="109"/>
      <c r="AF493" s="85">
        <f>(SUM(Z494:AE494)+SUM(T493:Y493))/12</f>
        <v>0</v>
      </c>
      <c r="AJ493" s="61">
        <v>2019</v>
      </c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  <c r="AV493" s="3" t="s">
        <v>192</v>
      </c>
      <c r="AW493" s="90">
        <f>SUM(AW489:AW491)/3</f>
        <v>0.11123327824141795</v>
      </c>
    </row>
    <row r="494" spans="1:49" x14ac:dyDescent="0.25"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</row>
    <row r="495" spans="1:49" x14ac:dyDescent="0.25"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</row>
    <row r="496" spans="1:49" ht="60" x14ac:dyDescent="0.25">
      <c r="A496" s="165" t="s">
        <v>114</v>
      </c>
      <c r="B496" s="111" t="s">
        <v>0</v>
      </c>
      <c r="C496" s="111" t="s">
        <v>1</v>
      </c>
      <c r="D496" s="111" t="s">
        <v>2</v>
      </c>
      <c r="E496" s="111" t="s">
        <v>3</v>
      </c>
      <c r="F496" s="111" t="s">
        <v>4</v>
      </c>
      <c r="G496" s="111" t="s">
        <v>5</v>
      </c>
      <c r="H496" s="111" t="s">
        <v>6</v>
      </c>
      <c r="I496" s="111" t="s">
        <v>7</v>
      </c>
      <c r="J496" s="111" t="s">
        <v>8</v>
      </c>
      <c r="K496" s="111" t="s">
        <v>9</v>
      </c>
      <c r="L496" s="111" t="s">
        <v>10</v>
      </c>
      <c r="M496" s="111" t="s">
        <v>11</v>
      </c>
      <c r="N496" s="112" t="s">
        <v>78</v>
      </c>
      <c r="O496" s="112" t="s">
        <v>77</v>
      </c>
      <c r="P496" s="139" t="s">
        <v>162</v>
      </c>
      <c r="Q496" s="140" t="s">
        <v>72</v>
      </c>
      <c r="S496" s="165" t="s">
        <v>115</v>
      </c>
      <c r="T496" s="53" t="s">
        <v>0</v>
      </c>
      <c r="U496" s="53" t="s">
        <v>1</v>
      </c>
      <c r="V496" s="53" t="s">
        <v>2</v>
      </c>
      <c r="W496" s="53" t="s">
        <v>3</v>
      </c>
      <c r="X496" s="53" t="s">
        <v>4</v>
      </c>
      <c r="Y496" s="53" t="s">
        <v>5</v>
      </c>
      <c r="Z496" s="53" t="s">
        <v>6</v>
      </c>
      <c r="AA496" s="53" t="s">
        <v>7</v>
      </c>
      <c r="AB496" s="53" t="s">
        <v>8</v>
      </c>
      <c r="AC496" s="53" t="s">
        <v>9</v>
      </c>
      <c r="AD496" s="53" t="s">
        <v>10</v>
      </c>
      <c r="AE496" s="53" t="s">
        <v>11</v>
      </c>
      <c r="AF496" s="30" t="s">
        <v>164</v>
      </c>
      <c r="AG496" s="30" t="s">
        <v>167</v>
      </c>
      <c r="AH496" s="54"/>
      <c r="AJ496" s="165" t="s">
        <v>116</v>
      </c>
      <c r="AK496" s="173" t="s">
        <v>0</v>
      </c>
      <c r="AL496" s="173" t="s">
        <v>1</v>
      </c>
      <c r="AM496" s="173" t="s">
        <v>2</v>
      </c>
      <c r="AN496" s="173" t="s">
        <v>3</v>
      </c>
      <c r="AO496" s="173" t="s">
        <v>4</v>
      </c>
      <c r="AP496" s="173" t="s">
        <v>5</v>
      </c>
      <c r="AQ496" s="173" t="s">
        <v>6</v>
      </c>
      <c r="AR496" s="173" t="s">
        <v>7</v>
      </c>
      <c r="AS496" s="173" t="s">
        <v>8</v>
      </c>
      <c r="AT496" s="173" t="s">
        <v>9</v>
      </c>
      <c r="AU496" s="173" t="s">
        <v>10</v>
      </c>
      <c r="AV496" s="173" t="s">
        <v>11</v>
      </c>
      <c r="AW496" s="5" t="s">
        <v>49</v>
      </c>
    </row>
    <row r="497" spans="1:49" x14ac:dyDescent="0.25">
      <c r="A497" s="77">
        <v>2023</v>
      </c>
      <c r="B497" s="189">
        <v>17105.825000000001</v>
      </c>
      <c r="C497" s="189">
        <v>11531.249</v>
      </c>
      <c r="D497" s="189">
        <v>12462.467999999999</v>
      </c>
      <c r="E497" s="189">
        <v>15164.732</v>
      </c>
      <c r="F497" s="189">
        <v>15257.621999999999</v>
      </c>
      <c r="G497" s="189">
        <v>24315.769</v>
      </c>
      <c r="H497" s="189">
        <v>36078.171000000002</v>
      </c>
      <c r="I497" s="189">
        <v>28061.885999999999</v>
      </c>
      <c r="J497" s="189">
        <v>25615.254000000001</v>
      </c>
      <c r="K497" s="189">
        <v>20724.455999999998</v>
      </c>
      <c r="L497" s="189">
        <v>17220.132999999998</v>
      </c>
      <c r="M497" s="189">
        <v>16409.382999999998</v>
      </c>
      <c r="N497" s="115">
        <f t="shared" ref="N497:N499" si="1085">SUM(B497:G497)+SUM(H498:M498)</f>
        <v>260863.12500000003</v>
      </c>
      <c r="O497" s="115">
        <f t="shared" ref="O497:O500" si="1086">SUM(B497:M497)</f>
        <v>239946.94800000003</v>
      </c>
      <c r="P497" s="139"/>
      <c r="Q497" s="140"/>
      <c r="S497" s="77">
        <v>2023</v>
      </c>
      <c r="T497" s="189">
        <v>5603</v>
      </c>
      <c r="U497" s="189">
        <v>5597</v>
      </c>
      <c r="V497" s="189">
        <v>5608</v>
      </c>
      <c r="W497" s="189">
        <v>5639</v>
      </c>
      <c r="X497" s="189">
        <v>5656</v>
      </c>
      <c r="Y497" s="189">
        <v>5666</v>
      </c>
      <c r="Z497" s="189">
        <v>5673</v>
      </c>
      <c r="AA497" s="189">
        <v>5675</v>
      </c>
      <c r="AB497" s="189">
        <v>5671</v>
      </c>
      <c r="AC497" s="189">
        <v>5677</v>
      </c>
      <c r="AD497" s="189">
        <v>5670</v>
      </c>
      <c r="AE497" s="189">
        <v>5657</v>
      </c>
      <c r="AF497" s="96">
        <f>(SUM(Z498:AE498)+SUM(T497:Y497))/12</f>
        <v>5625</v>
      </c>
      <c r="AG497" s="38">
        <f>SUM(T497:AE497)/12</f>
        <v>5649.333333333333</v>
      </c>
      <c r="AH497" s="54"/>
      <c r="AJ497" s="77">
        <v>2023</v>
      </c>
      <c r="AK497" s="174">
        <f>B497/T497</f>
        <v>3.0529760842405858</v>
      </c>
      <c r="AL497" s="174">
        <f t="shared" ref="AL497:AV497" si="1087">C497/U497</f>
        <v>2.0602553153475074</v>
      </c>
      <c r="AM497" s="174">
        <f t="shared" si="1087"/>
        <v>2.2222660485021395</v>
      </c>
      <c r="AN497" s="174">
        <f t="shared" si="1087"/>
        <v>2.6892590884908674</v>
      </c>
      <c r="AO497" s="174">
        <f t="shared" si="1087"/>
        <v>2.6975993635077793</v>
      </c>
      <c r="AP497" s="174">
        <f t="shared" si="1087"/>
        <v>4.2915229438757505</v>
      </c>
      <c r="AQ497" s="174">
        <f t="shared" si="1087"/>
        <v>6.3596282390269705</v>
      </c>
      <c r="AR497" s="174">
        <f t="shared" si="1087"/>
        <v>4.9448257268722466</v>
      </c>
      <c r="AS497" s="174">
        <f t="shared" si="1087"/>
        <v>4.5168848527596541</v>
      </c>
      <c r="AT497" s="174">
        <f t="shared" si="1087"/>
        <v>3.6505999647701248</v>
      </c>
      <c r="AU497" s="174">
        <f t="shared" si="1087"/>
        <v>3.0370604938271599</v>
      </c>
      <c r="AV497" s="174">
        <f t="shared" si="1087"/>
        <v>2.9007217606505211</v>
      </c>
      <c r="AW497" s="90">
        <f t="shared" ref="AW497:AW498" si="1088">(SUM(AK497:AP497)+SUM(AQ497:AV497))/365.25</f>
        <v>0.1161494863295587</v>
      </c>
    </row>
    <row r="498" spans="1:49" x14ac:dyDescent="0.25">
      <c r="A498" s="61">
        <v>2022</v>
      </c>
      <c r="B498" s="190">
        <v>14581.483000000002</v>
      </c>
      <c r="C498" s="190">
        <v>11685.535</v>
      </c>
      <c r="D498" s="190">
        <v>12876.87252776577</v>
      </c>
      <c r="E498" s="190">
        <v>14928.915000000001</v>
      </c>
      <c r="F498" s="190">
        <v>13715.172</v>
      </c>
      <c r="G498" s="190">
        <v>21158.432000000001</v>
      </c>
      <c r="H498" s="190">
        <v>33810.664000000004</v>
      </c>
      <c r="I498" s="190">
        <v>39394.29</v>
      </c>
      <c r="J498" s="190">
        <v>28419.190000000002</v>
      </c>
      <c r="K498" s="190">
        <v>28564.05</v>
      </c>
      <c r="L498" s="190">
        <v>19918.065999999999</v>
      </c>
      <c r="M498" s="190">
        <v>14919.2</v>
      </c>
      <c r="N498" s="115">
        <f t="shared" si="1085"/>
        <v>234481.28752776579</v>
      </c>
      <c r="O498" s="115">
        <f t="shared" si="1086"/>
        <v>253971.86952776578</v>
      </c>
      <c r="P498" s="113"/>
      <c r="Q498" s="114"/>
      <c r="S498" s="61">
        <v>2022</v>
      </c>
      <c r="T498" s="190">
        <v>5531</v>
      </c>
      <c r="U498" s="190">
        <v>5531</v>
      </c>
      <c r="V498" s="190">
        <v>5551</v>
      </c>
      <c r="W498" s="190">
        <v>5579</v>
      </c>
      <c r="X498" s="190">
        <v>5589</v>
      </c>
      <c r="Y498" s="190">
        <v>5597</v>
      </c>
      <c r="Z498" s="190">
        <v>5614</v>
      </c>
      <c r="AA498" s="190">
        <v>5625</v>
      </c>
      <c r="AB498" s="190">
        <v>5631</v>
      </c>
      <c r="AC498" s="190">
        <v>5637</v>
      </c>
      <c r="AD498" s="190">
        <v>5613</v>
      </c>
      <c r="AE498" s="190">
        <v>5611</v>
      </c>
      <c r="AF498" s="96">
        <f>(SUM(Z499:AE499)+SUM(T498:Y498))/12</f>
        <v>5541.666666666667</v>
      </c>
      <c r="AG498" s="38">
        <f t="shared" ref="AG498:AG499" si="1089">SUM(T498:AE498)/12</f>
        <v>5592.416666666667</v>
      </c>
      <c r="AH498" s="54"/>
      <c r="AJ498" s="61">
        <v>2022</v>
      </c>
      <c r="AK498" s="174">
        <f>B498/T498</f>
        <v>2.6363194720665346</v>
      </c>
      <c r="AL498" s="174">
        <f t="shared" ref="AL498:AP499" si="1090">C498/U498</f>
        <v>2.1127345868739829</v>
      </c>
      <c r="AM498" s="174">
        <f t="shared" si="1090"/>
        <v>2.3197392411756028</v>
      </c>
      <c r="AN498" s="174">
        <f t="shared" si="1090"/>
        <v>2.6759123498834918</v>
      </c>
      <c r="AO498" s="174">
        <f t="shared" si="1090"/>
        <v>2.4539581320450887</v>
      </c>
      <c r="AP498" s="174">
        <f t="shared" si="1090"/>
        <v>3.7803165981775955</v>
      </c>
      <c r="AQ498" s="174">
        <f t="shared" ref="AQ498" si="1091">H498/Z498</f>
        <v>6.0225621660135387</v>
      </c>
      <c r="AR498" s="174">
        <f t="shared" ref="AR498" si="1092">I498/AA498</f>
        <v>7.0034293333333331</v>
      </c>
      <c r="AS498" s="174">
        <f t="shared" ref="AS498" si="1093">J498/AB498</f>
        <v>5.0469170662404554</v>
      </c>
      <c r="AT498" s="174">
        <f t="shared" ref="AT498" si="1094">K498/AC498</f>
        <v>5.0672432144757851</v>
      </c>
      <c r="AU498" s="174">
        <f t="shared" ref="AU498" si="1095">L498/AD498</f>
        <v>3.5485597719579545</v>
      </c>
      <c r="AV498" s="174">
        <f t="shared" ref="AV498" si="1096">M498/AE498</f>
        <v>2.6589199786134379</v>
      </c>
      <c r="AW498" s="90">
        <f t="shared" si="1088"/>
        <v>0.12409750009817057</v>
      </c>
    </row>
    <row r="499" spans="1:49" x14ac:dyDescent="0.25">
      <c r="A499" s="61">
        <v>2021</v>
      </c>
      <c r="B499" s="190">
        <v>15713.599000000002</v>
      </c>
      <c r="C499" s="190">
        <v>12751.253999999999</v>
      </c>
      <c r="D499" s="190">
        <v>14259.522000000001</v>
      </c>
      <c r="E499" s="190">
        <v>15245.376999999999</v>
      </c>
      <c r="F499" s="190">
        <v>16481.439000000002</v>
      </c>
      <c r="G499" s="190">
        <v>20878.630227312748</v>
      </c>
      <c r="H499" s="190">
        <v>27217.045999999995</v>
      </c>
      <c r="I499" s="190">
        <v>30962.258999999998</v>
      </c>
      <c r="J499" s="190">
        <v>29479.821999999996</v>
      </c>
      <c r="K499" s="190">
        <v>25090.225000000002</v>
      </c>
      <c r="L499" s="190">
        <v>16270.545999999998</v>
      </c>
      <c r="M499" s="190">
        <v>16514.98</v>
      </c>
      <c r="N499" s="115">
        <f t="shared" si="1085"/>
        <v>95329.821227312757</v>
      </c>
      <c r="O499" s="115">
        <f t="shared" si="1086"/>
        <v>240864.69922731275</v>
      </c>
      <c r="P499" s="113"/>
      <c r="Q499" s="114"/>
      <c r="S499" s="61">
        <v>2021</v>
      </c>
      <c r="T499" s="190">
        <v>5441</v>
      </c>
      <c r="U499" s="190">
        <v>5438</v>
      </c>
      <c r="V499" s="190">
        <v>5462</v>
      </c>
      <c r="W499" s="190">
        <v>5475</v>
      </c>
      <c r="X499" s="190">
        <v>5501</v>
      </c>
      <c r="Y499" s="190">
        <v>5525</v>
      </c>
      <c r="Z499" s="190">
        <v>5520</v>
      </c>
      <c r="AA499" s="190">
        <v>5520</v>
      </c>
      <c r="AB499" s="190">
        <v>5526</v>
      </c>
      <c r="AC499" s="190">
        <v>5515</v>
      </c>
      <c r="AD499" s="190">
        <v>5518</v>
      </c>
      <c r="AE499" s="190">
        <v>5523</v>
      </c>
      <c r="AF499" s="96">
        <f>(SUM(Z500:AE500)+SUM(T499:Y499))/12</f>
        <v>2736.8333333333335</v>
      </c>
      <c r="AG499" s="38">
        <f t="shared" si="1089"/>
        <v>5497</v>
      </c>
      <c r="AH499" s="54"/>
      <c r="AJ499" s="61">
        <v>2021</v>
      </c>
      <c r="AK499" s="174">
        <f>B499/T499</f>
        <v>2.8879983458922998</v>
      </c>
      <c r="AL499" s="174">
        <f t="shared" si="1090"/>
        <v>2.3448425891872011</v>
      </c>
      <c r="AM499" s="174">
        <f t="shared" si="1090"/>
        <v>2.6106777737092641</v>
      </c>
      <c r="AN499" s="174">
        <f t="shared" si="1090"/>
        <v>2.7845437442922374</v>
      </c>
      <c r="AO499" s="174">
        <f t="shared" si="1090"/>
        <v>2.9960805308125797</v>
      </c>
      <c r="AP499" s="174">
        <f t="shared" si="1090"/>
        <v>3.7789375977036648</v>
      </c>
      <c r="AQ499" s="174">
        <f t="shared" ref="AQ499:AV499" si="1097">H499/Z499</f>
        <v>4.9306242753623177</v>
      </c>
      <c r="AR499" s="174">
        <f t="shared" si="1097"/>
        <v>5.6091048913043471</v>
      </c>
      <c r="AS499" s="174">
        <f t="shared" si="1097"/>
        <v>5.3347488237423084</v>
      </c>
      <c r="AT499" s="174">
        <f t="shared" si="1097"/>
        <v>4.5494514959202181</v>
      </c>
      <c r="AU499" s="174">
        <f t="shared" si="1097"/>
        <v>2.9486310257339614</v>
      </c>
      <c r="AV499" s="174">
        <f t="shared" si="1097"/>
        <v>2.990219083831251</v>
      </c>
      <c r="AW499" s="90">
        <f>(SUM(AK499:AP499)+SUM(AQ499:AV499))/365.25</f>
        <v>0.11982439473645899</v>
      </c>
    </row>
    <row r="500" spans="1:49" x14ac:dyDescent="0.25">
      <c r="A500" s="61">
        <v>2020</v>
      </c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15">
        <f>SUM(B500:G500)+SUM(H501:M501)</f>
        <v>0</v>
      </c>
      <c r="O500" s="115">
        <f t="shared" si="1086"/>
        <v>0</v>
      </c>
      <c r="S500" s="61">
        <v>2020</v>
      </c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96">
        <f>(SUM(Z501:AE501)+SUM(T500:Y500))/12</f>
        <v>0</v>
      </c>
      <c r="AJ500" s="61">
        <v>2020</v>
      </c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0"/>
    </row>
    <row r="501" spans="1:49" x14ac:dyDescent="0.25">
      <c r="A501" s="61">
        <v>2019</v>
      </c>
      <c r="B501" s="116"/>
      <c r="C501" s="116"/>
      <c r="D501" s="116"/>
      <c r="E501" s="116"/>
      <c r="F501" s="116"/>
      <c r="G501" s="116"/>
      <c r="H501" s="109"/>
      <c r="I501" s="109"/>
      <c r="J501" s="109"/>
      <c r="K501" s="109"/>
      <c r="L501" s="109"/>
      <c r="M501" s="109"/>
      <c r="N501" s="115">
        <f t="shared" ref="N501" si="1098">SUM(B501:G501)+SUM(H502:M502)</f>
        <v>0</v>
      </c>
      <c r="O501" s="115">
        <f>SUM(B501:M501)</f>
        <v>0</v>
      </c>
      <c r="R501" s="36"/>
      <c r="S501" s="61">
        <v>2019</v>
      </c>
      <c r="T501" s="35"/>
      <c r="U501" s="35"/>
      <c r="V501" s="35"/>
      <c r="W501" s="35"/>
      <c r="X501" s="35"/>
      <c r="Y501" s="35"/>
      <c r="Z501" s="109"/>
      <c r="AA501" s="109"/>
      <c r="AB501" s="109"/>
      <c r="AC501" s="109"/>
      <c r="AD501" s="109"/>
      <c r="AE501" s="109"/>
      <c r="AF501" s="85">
        <f>(SUM(Z502:AE502)+SUM(T501:Y501))/12</f>
        <v>0</v>
      </c>
      <c r="AJ501" s="61">
        <v>2019</v>
      </c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3" t="s">
        <v>192</v>
      </c>
      <c r="AW501" s="90">
        <f>SUM(AW497:AW499)/3</f>
        <v>0.12002379372139609</v>
      </c>
    </row>
    <row r="504" spans="1:49" ht="60" x14ac:dyDescent="0.25">
      <c r="A504" s="165" t="s">
        <v>134</v>
      </c>
      <c r="B504" s="111" t="s">
        <v>0</v>
      </c>
      <c r="C504" s="111" t="s">
        <v>1</v>
      </c>
      <c r="D504" s="111" t="s">
        <v>2</v>
      </c>
      <c r="E504" s="111" t="s">
        <v>3</v>
      </c>
      <c r="F504" s="111" t="s">
        <v>4</v>
      </c>
      <c r="G504" s="111" t="s">
        <v>5</v>
      </c>
      <c r="H504" s="111" t="s">
        <v>6</v>
      </c>
      <c r="I504" s="111" t="s">
        <v>7</v>
      </c>
      <c r="J504" s="111" t="s">
        <v>8</v>
      </c>
      <c r="K504" s="111" t="s">
        <v>9</v>
      </c>
      <c r="L504" s="111" t="s">
        <v>10</v>
      </c>
      <c r="M504" s="111" t="s">
        <v>11</v>
      </c>
      <c r="N504" s="112" t="s">
        <v>78</v>
      </c>
      <c r="O504" s="112" t="s">
        <v>77</v>
      </c>
      <c r="P504" s="139" t="s">
        <v>162</v>
      </c>
      <c r="Q504" s="140" t="s">
        <v>72</v>
      </c>
      <c r="S504" s="165" t="s">
        <v>145</v>
      </c>
      <c r="T504" s="53" t="s">
        <v>0</v>
      </c>
      <c r="U504" s="53" t="s">
        <v>1</v>
      </c>
      <c r="V504" s="53" t="s">
        <v>2</v>
      </c>
      <c r="W504" s="53" t="s">
        <v>3</v>
      </c>
      <c r="X504" s="53" t="s">
        <v>4</v>
      </c>
      <c r="Y504" s="53" t="s">
        <v>5</v>
      </c>
      <c r="Z504" s="53" t="s">
        <v>6</v>
      </c>
      <c r="AA504" s="53" t="s">
        <v>7</v>
      </c>
      <c r="AB504" s="53" t="s">
        <v>8</v>
      </c>
      <c r="AC504" s="53" t="s">
        <v>9</v>
      </c>
      <c r="AD504" s="53" t="s">
        <v>10</v>
      </c>
      <c r="AE504" s="53" t="s">
        <v>11</v>
      </c>
      <c r="AF504" s="30" t="s">
        <v>164</v>
      </c>
      <c r="AG504" s="30" t="s">
        <v>167</v>
      </c>
      <c r="AH504" s="54"/>
      <c r="AJ504" s="165" t="s">
        <v>154</v>
      </c>
      <c r="AK504" s="173" t="s">
        <v>0</v>
      </c>
      <c r="AL504" s="173" t="s">
        <v>1</v>
      </c>
      <c r="AM504" s="173" t="s">
        <v>2</v>
      </c>
      <c r="AN504" s="173" t="s">
        <v>3</v>
      </c>
      <c r="AO504" s="173" t="s">
        <v>4</v>
      </c>
      <c r="AP504" s="173" t="s">
        <v>5</v>
      </c>
      <c r="AQ504" s="173" t="s">
        <v>6</v>
      </c>
      <c r="AR504" s="173" t="s">
        <v>7</v>
      </c>
      <c r="AS504" s="173" t="s">
        <v>8</v>
      </c>
      <c r="AT504" s="173" t="s">
        <v>9</v>
      </c>
      <c r="AU504" s="173" t="s">
        <v>10</v>
      </c>
      <c r="AV504" s="173" t="s">
        <v>11</v>
      </c>
      <c r="AW504" s="5" t="s">
        <v>49</v>
      </c>
    </row>
    <row r="505" spans="1:49" x14ac:dyDescent="0.25">
      <c r="A505" s="77">
        <v>2023</v>
      </c>
      <c r="B505" s="189">
        <v>2122.1</v>
      </c>
      <c r="C505" s="189">
        <v>1840.874</v>
      </c>
      <c r="D505" s="189">
        <v>1735.5</v>
      </c>
      <c r="E505" s="189">
        <v>1986.4</v>
      </c>
      <c r="F505" s="189">
        <v>2128.6</v>
      </c>
      <c r="G505" s="189">
        <v>2277.4</v>
      </c>
      <c r="H505" s="189">
        <v>2533.1</v>
      </c>
      <c r="I505" s="189">
        <v>2154.1999999999998</v>
      </c>
      <c r="J505" s="189">
        <v>2421.5250000000001</v>
      </c>
      <c r="K505" s="189">
        <v>1935.193</v>
      </c>
      <c r="L505" s="189">
        <v>2103.3000000000002</v>
      </c>
      <c r="M505" s="189">
        <v>1957.328</v>
      </c>
      <c r="N505" s="115">
        <f t="shared" ref="N505:N507" si="1099">SUM(B505:G505)+SUM(H506:M506)</f>
        <v>24541.225999999999</v>
      </c>
      <c r="O505" s="115">
        <f t="shared" ref="O505:O508" si="1100">SUM(B505:M505)</f>
        <v>25195.52</v>
      </c>
      <c r="P505" s="139"/>
      <c r="Q505" s="140"/>
      <c r="S505" s="77">
        <v>2023</v>
      </c>
      <c r="T505" s="189">
        <v>650</v>
      </c>
      <c r="U505" s="189">
        <v>649</v>
      </c>
      <c r="V505" s="189">
        <v>652</v>
      </c>
      <c r="W505" s="189">
        <v>653</v>
      </c>
      <c r="X505" s="189">
        <v>658</v>
      </c>
      <c r="Y505" s="189">
        <v>658</v>
      </c>
      <c r="Z505" s="189">
        <v>656</v>
      </c>
      <c r="AA505" s="189">
        <v>652</v>
      </c>
      <c r="AB505" s="189">
        <v>654</v>
      </c>
      <c r="AC505" s="189">
        <v>658</v>
      </c>
      <c r="AD505" s="189">
        <v>657</v>
      </c>
      <c r="AE505" s="189">
        <v>656</v>
      </c>
      <c r="AF505" s="96">
        <f>(SUM(Z506:AE506)+SUM(T505:Y505))/12</f>
        <v>651.25</v>
      </c>
      <c r="AG505" s="83">
        <f>SUM(T505:AE505)/12</f>
        <v>654.41666666666663</v>
      </c>
      <c r="AH505" s="54"/>
      <c r="AJ505" s="77">
        <v>2023</v>
      </c>
      <c r="AK505" s="174">
        <f>B505/T505</f>
        <v>3.2647692307692306</v>
      </c>
      <c r="AL505" s="174">
        <f t="shared" ref="AL505:AV505" si="1101">C505/U505</f>
        <v>2.8364776579352853</v>
      </c>
      <c r="AM505" s="174">
        <f t="shared" si="1101"/>
        <v>2.66180981595092</v>
      </c>
      <c r="AN505" s="174">
        <f t="shared" si="1101"/>
        <v>3.0419601837672281</v>
      </c>
      <c r="AO505" s="174">
        <f t="shared" si="1101"/>
        <v>3.2349544072948326</v>
      </c>
      <c r="AP505" s="174">
        <f t="shared" si="1101"/>
        <v>3.4610942249240124</v>
      </c>
      <c r="AQ505" s="174">
        <f t="shared" si="1101"/>
        <v>3.8614329268292682</v>
      </c>
      <c r="AR505" s="174">
        <f t="shared" si="1101"/>
        <v>3.3039877300613494</v>
      </c>
      <c r="AS505" s="174">
        <f t="shared" si="1101"/>
        <v>3.7026376146788991</v>
      </c>
      <c r="AT505" s="174">
        <f t="shared" si="1101"/>
        <v>2.9410227963525837</v>
      </c>
      <c r="AU505" s="174">
        <f t="shared" si="1101"/>
        <v>3.2013698630136989</v>
      </c>
      <c r="AV505" s="174">
        <f t="shared" si="1101"/>
        <v>2.983731707317073</v>
      </c>
      <c r="AW505" s="90">
        <f>(SUM(AK505:AP505)+SUM(AQ505:AV505))/365.25</f>
        <v>0.10539424547267456</v>
      </c>
    </row>
    <row r="506" spans="1:49" x14ac:dyDescent="0.25">
      <c r="A506" s="61">
        <v>2022</v>
      </c>
      <c r="B506" s="189">
        <v>2194.54</v>
      </c>
      <c r="C506" s="189">
        <v>1786.7419999999997</v>
      </c>
      <c r="D506" s="189">
        <v>2183.6169999999997</v>
      </c>
      <c r="E506" s="189">
        <v>1758.7959999999998</v>
      </c>
      <c r="F506" s="189">
        <v>1761.9159999999999</v>
      </c>
      <c r="G506" s="189">
        <v>2075.1099999999997</v>
      </c>
      <c r="H506" s="189">
        <v>2381.192</v>
      </c>
      <c r="I506" s="189">
        <v>2270.4139999999998</v>
      </c>
      <c r="J506" s="189">
        <v>2272.8090000000002</v>
      </c>
      <c r="K506" s="189">
        <v>1953.537</v>
      </c>
      <c r="L506" s="189">
        <v>1724.6</v>
      </c>
      <c r="M506" s="189">
        <v>1847.8</v>
      </c>
      <c r="N506" s="115">
        <f t="shared" si="1099"/>
        <v>11760.720999999998</v>
      </c>
      <c r="O506" s="115">
        <f t="shared" si="1100"/>
        <v>24211.072999999997</v>
      </c>
      <c r="P506" s="113"/>
      <c r="Q506" s="114"/>
      <c r="S506" s="61">
        <v>2022</v>
      </c>
      <c r="T506" s="189">
        <v>644</v>
      </c>
      <c r="U506" s="189">
        <v>644</v>
      </c>
      <c r="V506" s="189">
        <v>645</v>
      </c>
      <c r="W506" s="189">
        <v>646</v>
      </c>
      <c r="X506" s="189">
        <v>646</v>
      </c>
      <c r="Y506" s="189">
        <v>646</v>
      </c>
      <c r="Z506" s="189">
        <v>647</v>
      </c>
      <c r="AA506" s="189">
        <v>648</v>
      </c>
      <c r="AB506" s="189">
        <v>648</v>
      </c>
      <c r="AC506" s="189">
        <v>651</v>
      </c>
      <c r="AD506" s="189">
        <v>652</v>
      </c>
      <c r="AE506" s="189">
        <v>649</v>
      </c>
      <c r="AF506" s="96">
        <f>(SUM(Z507:AE507)+SUM(T506:Y506))/12</f>
        <v>376.58333333333331</v>
      </c>
      <c r="AG506" s="83">
        <f t="shared" ref="AG506" si="1102">SUM(T506:AE506)/12</f>
        <v>647.16666666666663</v>
      </c>
      <c r="AH506" s="54"/>
      <c r="AJ506" s="61">
        <v>2022</v>
      </c>
      <c r="AK506" s="174">
        <f>B506/T506</f>
        <v>3.4076708074534161</v>
      </c>
      <c r="AL506" s="174">
        <f t="shared" ref="AL506" si="1103">C506/U506</f>
        <v>2.7744440993788815</v>
      </c>
      <c r="AM506" s="174">
        <f t="shared" ref="AM506" si="1104">D506/V506</f>
        <v>3.3854527131782941</v>
      </c>
      <c r="AN506" s="174">
        <f t="shared" ref="AN506" si="1105">E506/W506</f>
        <v>2.7225944272445819</v>
      </c>
      <c r="AO506" s="174">
        <f t="shared" ref="AO506" si="1106">F506/X506</f>
        <v>2.7274241486068109</v>
      </c>
      <c r="AP506" s="174">
        <f t="shared" ref="AP506" si="1107">G506/Y506</f>
        <v>3.212244582043343</v>
      </c>
      <c r="AQ506" s="174">
        <f t="shared" ref="AQ506" si="1108">H506/Z506</f>
        <v>3.6803585780525503</v>
      </c>
      <c r="AR506" s="174">
        <f t="shared" ref="AR506" si="1109">I506/AA506</f>
        <v>3.5037253086419748</v>
      </c>
      <c r="AS506" s="174">
        <f t="shared" ref="AS506" si="1110">J506/AB506</f>
        <v>3.5074212962962967</v>
      </c>
      <c r="AT506" s="174">
        <f t="shared" ref="AT506" si="1111">K506/AC506</f>
        <v>3.0008248847926269</v>
      </c>
      <c r="AU506" s="174">
        <f t="shared" ref="AU506" si="1112">L506/AD506</f>
        <v>2.6450920245398772</v>
      </c>
      <c r="AV506" s="174">
        <f t="shared" ref="AV506" si="1113">M506/AE506</f>
        <v>2.8471494607087826</v>
      </c>
      <c r="AW506" s="90">
        <f>(SUM(AK506:AP506)+SUM(AQ506:AV506))/365.25</f>
        <v>0.10243505087183419</v>
      </c>
    </row>
    <row r="507" spans="1:49" x14ac:dyDescent="0.25">
      <c r="A507" s="61">
        <v>2021</v>
      </c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15">
        <f t="shared" si="1099"/>
        <v>0</v>
      </c>
      <c r="O507" s="115">
        <f t="shared" si="1100"/>
        <v>0</v>
      </c>
      <c r="P507" s="113"/>
      <c r="Q507" s="114"/>
      <c r="S507" s="61">
        <v>2021</v>
      </c>
      <c r="T507" s="190">
        <v>0</v>
      </c>
      <c r="U507" s="190">
        <v>0</v>
      </c>
      <c r="V507" s="190">
        <v>0</v>
      </c>
      <c r="W507" s="190">
        <v>0</v>
      </c>
      <c r="X507" s="190">
        <v>0</v>
      </c>
      <c r="Y507" s="190">
        <v>0</v>
      </c>
      <c r="Z507" s="190">
        <v>0</v>
      </c>
      <c r="AA507" s="190">
        <v>0</v>
      </c>
      <c r="AB507" s="190">
        <v>0</v>
      </c>
      <c r="AC507" s="190">
        <v>0</v>
      </c>
      <c r="AD507" s="190">
        <v>0</v>
      </c>
      <c r="AE507" s="190">
        <v>648</v>
      </c>
      <c r="AF507" s="96">
        <f>(SUM(Z508:AE508)+SUM(T507:Y507))/12</f>
        <v>0</v>
      </c>
      <c r="AG507" s="307">
        <f>SUM(T507:AE507)/1</f>
        <v>648</v>
      </c>
      <c r="AH507" s="54"/>
      <c r="AJ507" s="61">
        <v>2021</v>
      </c>
      <c r="AK507" s="174"/>
      <c r="AL507" s="174"/>
      <c r="AM507" s="174"/>
      <c r="AN507" s="174"/>
      <c r="AO507" s="174"/>
      <c r="AP507" s="174"/>
      <c r="AQ507" s="174"/>
      <c r="AR507" s="174"/>
      <c r="AS507" s="174"/>
      <c r="AT507" s="174"/>
      <c r="AU507" s="174"/>
      <c r="AV507" s="199"/>
      <c r="AW507" s="200"/>
    </row>
    <row r="508" spans="1:49" x14ac:dyDescent="0.25">
      <c r="A508" s="61">
        <v>2020</v>
      </c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15">
        <f>SUM(B508:G508)+SUM(H509:M509)</f>
        <v>0</v>
      </c>
      <c r="O508" s="115">
        <f t="shared" si="1100"/>
        <v>0</v>
      </c>
      <c r="S508" s="61">
        <v>2020</v>
      </c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96">
        <f>(SUM(Z509:AE509)+SUM(T508:Y508))/12</f>
        <v>0</v>
      </c>
      <c r="AJ508" s="61">
        <v>2020</v>
      </c>
      <c r="AK508" s="99"/>
      <c r="AL508" s="99"/>
      <c r="AM508" s="99"/>
      <c r="AN508" s="99"/>
      <c r="AO508" s="99"/>
      <c r="AP508" s="99"/>
      <c r="AQ508" s="99"/>
      <c r="AR508" s="99"/>
      <c r="AS508" s="99"/>
      <c r="AT508" s="99"/>
      <c r="AU508" s="99"/>
      <c r="AV508" s="3"/>
      <c r="AW508" s="90"/>
    </row>
    <row r="509" spans="1:49" x14ac:dyDescent="0.25">
      <c r="A509" s="61">
        <v>2019</v>
      </c>
      <c r="B509" s="116"/>
      <c r="C509" s="116"/>
      <c r="D509" s="116"/>
      <c r="E509" s="116"/>
      <c r="F509" s="116"/>
      <c r="G509" s="116"/>
      <c r="H509" s="109"/>
      <c r="I509" s="109"/>
      <c r="J509" s="109"/>
      <c r="K509" s="109"/>
      <c r="L509" s="109"/>
      <c r="M509" s="109"/>
      <c r="N509" s="115">
        <f t="shared" ref="N509" si="1114">SUM(B509:G509)+SUM(H510:M510)</f>
        <v>0</v>
      </c>
      <c r="O509" s="115">
        <f>SUM(B509:M509)</f>
        <v>0</v>
      </c>
      <c r="R509" s="36"/>
      <c r="S509" s="61">
        <v>2019</v>
      </c>
      <c r="T509" s="35"/>
      <c r="U509" s="35"/>
      <c r="V509" s="35"/>
      <c r="W509" s="35"/>
      <c r="X509" s="35"/>
      <c r="Y509" s="35"/>
      <c r="Z509" s="109"/>
      <c r="AA509" s="109"/>
      <c r="AB509" s="109"/>
      <c r="AC509" s="109"/>
      <c r="AD509" s="109"/>
      <c r="AE509" s="109"/>
      <c r="AF509" s="85">
        <f>(SUM(Z510:AE510)+SUM(T509:Y509))/12</f>
        <v>0</v>
      </c>
      <c r="AJ509" s="61">
        <v>2019</v>
      </c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90"/>
    </row>
    <row r="512" spans="1:49" ht="60" x14ac:dyDescent="0.25">
      <c r="A512" s="165" t="s">
        <v>135</v>
      </c>
      <c r="B512" s="111" t="s">
        <v>0</v>
      </c>
      <c r="C512" s="111" t="s">
        <v>1</v>
      </c>
      <c r="D512" s="111" t="s">
        <v>2</v>
      </c>
      <c r="E512" s="111" t="s">
        <v>3</v>
      </c>
      <c r="F512" s="111" t="s">
        <v>4</v>
      </c>
      <c r="G512" s="111" t="s">
        <v>5</v>
      </c>
      <c r="H512" s="111" t="s">
        <v>6</v>
      </c>
      <c r="I512" s="111" t="s">
        <v>7</v>
      </c>
      <c r="J512" s="111" t="s">
        <v>8</v>
      </c>
      <c r="K512" s="111" t="s">
        <v>9</v>
      </c>
      <c r="L512" s="111" t="s">
        <v>10</v>
      </c>
      <c r="M512" s="111" t="s">
        <v>11</v>
      </c>
      <c r="N512" s="112" t="s">
        <v>78</v>
      </c>
      <c r="O512" s="112" t="s">
        <v>77</v>
      </c>
      <c r="P512" s="139" t="s">
        <v>162</v>
      </c>
      <c r="Q512" s="140" t="s">
        <v>72</v>
      </c>
      <c r="S512" s="165" t="s">
        <v>146</v>
      </c>
      <c r="T512" s="53" t="s">
        <v>0</v>
      </c>
      <c r="U512" s="53" t="s">
        <v>1</v>
      </c>
      <c r="V512" s="53" t="s">
        <v>2</v>
      </c>
      <c r="W512" s="53" t="s">
        <v>3</v>
      </c>
      <c r="X512" s="53" t="s">
        <v>4</v>
      </c>
      <c r="Y512" s="53" t="s">
        <v>5</v>
      </c>
      <c r="Z512" s="53" t="s">
        <v>6</v>
      </c>
      <c r="AA512" s="53" t="s">
        <v>7</v>
      </c>
      <c r="AB512" s="53" t="s">
        <v>8</v>
      </c>
      <c r="AC512" s="53" t="s">
        <v>9</v>
      </c>
      <c r="AD512" s="53" t="s">
        <v>10</v>
      </c>
      <c r="AE512" s="53" t="s">
        <v>11</v>
      </c>
      <c r="AF512" s="30" t="s">
        <v>164</v>
      </c>
      <c r="AG512" s="30" t="s">
        <v>167</v>
      </c>
      <c r="AH512" s="54"/>
      <c r="AJ512" s="165" t="s">
        <v>155</v>
      </c>
      <c r="AK512" s="173" t="s">
        <v>0</v>
      </c>
      <c r="AL512" s="173" t="s">
        <v>1</v>
      </c>
      <c r="AM512" s="173" t="s">
        <v>2</v>
      </c>
      <c r="AN512" s="173" t="s">
        <v>3</v>
      </c>
      <c r="AO512" s="173" t="s">
        <v>4</v>
      </c>
      <c r="AP512" s="173" t="s">
        <v>5</v>
      </c>
      <c r="AQ512" s="173" t="s">
        <v>6</v>
      </c>
      <c r="AR512" s="173" t="s">
        <v>7</v>
      </c>
      <c r="AS512" s="173" t="s">
        <v>8</v>
      </c>
      <c r="AT512" s="173" t="s">
        <v>9</v>
      </c>
      <c r="AU512" s="173" t="s">
        <v>10</v>
      </c>
      <c r="AV512" s="173" t="s">
        <v>11</v>
      </c>
      <c r="AW512" s="5" t="s">
        <v>49</v>
      </c>
    </row>
    <row r="513" spans="1:49" x14ac:dyDescent="0.25">
      <c r="A513" s="77">
        <v>2023</v>
      </c>
      <c r="B513" s="189">
        <v>834.13199999999995</v>
      </c>
      <c r="C513" s="189">
        <v>1230.577</v>
      </c>
      <c r="D513" s="189">
        <v>546.08500000000004</v>
      </c>
      <c r="E513" s="189">
        <v>570.45799999999997</v>
      </c>
      <c r="F513" s="189">
        <v>1108.133</v>
      </c>
      <c r="G513" s="189">
        <v>1031.7540000000001</v>
      </c>
      <c r="H513" s="189">
        <v>1225.826</v>
      </c>
      <c r="I513" s="189">
        <v>996.79300000000001</v>
      </c>
      <c r="J513" s="189">
        <v>888.93099999999993</v>
      </c>
      <c r="K513" s="189">
        <v>936.21</v>
      </c>
      <c r="L513" s="189">
        <v>978.072</v>
      </c>
      <c r="M513" s="189">
        <v>870.15300000000002</v>
      </c>
      <c r="N513" s="115">
        <f t="shared" ref="N513:N515" si="1115">SUM(B513:G513)+SUM(H514:M514)</f>
        <v>11962.960773711762</v>
      </c>
      <c r="O513" s="115">
        <f t="shared" ref="O513:O516" si="1116">SUM(B513:M513)</f>
        <v>11217.124000000002</v>
      </c>
      <c r="P513" s="139"/>
      <c r="Q513" s="140"/>
      <c r="S513" s="77">
        <v>2023</v>
      </c>
      <c r="T513" s="189">
        <v>293</v>
      </c>
      <c r="U513" s="189">
        <v>293</v>
      </c>
      <c r="V513" s="189">
        <v>292</v>
      </c>
      <c r="W513" s="189">
        <v>292</v>
      </c>
      <c r="X513" s="189">
        <v>295</v>
      </c>
      <c r="Y513" s="189">
        <v>295</v>
      </c>
      <c r="Z513" s="189">
        <v>295</v>
      </c>
      <c r="AA513" s="189">
        <v>295</v>
      </c>
      <c r="AB513" s="189">
        <v>295</v>
      </c>
      <c r="AC513" s="189">
        <v>294</v>
      </c>
      <c r="AD513" s="189">
        <v>294</v>
      </c>
      <c r="AE513" s="189">
        <v>293</v>
      </c>
      <c r="AF513" s="96">
        <f>(SUM(Z514:AE514)+SUM(T513:Y513))/12</f>
        <v>294.83333333333331</v>
      </c>
      <c r="AG513" s="83">
        <f>SUM(T513:AE513)/12</f>
        <v>293.83333333333331</v>
      </c>
      <c r="AH513" s="54"/>
      <c r="AJ513" s="77">
        <v>2023</v>
      </c>
      <c r="AK513" s="174">
        <f>B513/T513</f>
        <v>2.846866894197952</v>
      </c>
      <c r="AL513" s="174">
        <f t="shared" ref="AL513:AL514" si="1117">C513/U513</f>
        <v>4.199921501706485</v>
      </c>
      <c r="AM513" s="174">
        <f t="shared" ref="AM513:AM514" si="1118">D513/V513</f>
        <v>1.8701541095890413</v>
      </c>
      <c r="AN513" s="174">
        <f t="shared" ref="AN513" si="1119">E513/W513</f>
        <v>1.9536232876712327</v>
      </c>
      <c r="AO513" s="174">
        <f t="shared" ref="AO513" si="1120">F513/X513</f>
        <v>3.7563830508474578</v>
      </c>
      <c r="AP513" s="174">
        <f t="shared" ref="AP513" si="1121">G513/Y513</f>
        <v>3.4974711864406784</v>
      </c>
      <c r="AQ513" s="174">
        <f t="shared" ref="AQ513" si="1122">H513/Z513</f>
        <v>4.1553423728813561</v>
      </c>
      <c r="AR513" s="174">
        <f t="shared" ref="AR513" si="1123">I513/AA513</f>
        <v>3.3789593220338983</v>
      </c>
      <c r="AS513" s="174">
        <f t="shared" ref="AS513" si="1124">J513/AB513</f>
        <v>3.0133254237288134</v>
      </c>
      <c r="AT513" s="174">
        <f t="shared" ref="AT513" si="1125">K513/AC513</f>
        <v>3.184387755102041</v>
      </c>
      <c r="AU513" s="174">
        <f t="shared" ref="AU513" si="1126">L513/AD513</f>
        <v>3.3267755102040817</v>
      </c>
      <c r="AV513" s="174">
        <f t="shared" ref="AV513" si="1127">M513/AE513</f>
        <v>2.9698054607508535</v>
      </c>
      <c r="AW513" s="90">
        <f>(SUM(AK513:AP513)+SUM(AQ513:AV513))/365.25</f>
        <v>0.10445726454525364</v>
      </c>
    </row>
    <row r="514" spans="1:49" x14ac:dyDescent="0.25">
      <c r="A514" s="61">
        <v>2022</v>
      </c>
      <c r="B514" s="190">
        <v>0</v>
      </c>
      <c r="C514" s="190">
        <v>0</v>
      </c>
      <c r="D514" s="189">
        <v>952.47</v>
      </c>
      <c r="E514" s="189">
        <v>840.78899999999999</v>
      </c>
      <c r="F514" s="189">
        <v>815.17100000000005</v>
      </c>
      <c r="G514" s="189">
        <v>1054.8920000000001</v>
      </c>
      <c r="H514" s="189">
        <v>1268.8877737117612</v>
      </c>
      <c r="I514" s="189">
        <v>1095.875</v>
      </c>
      <c r="J514" s="189">
        <v>1241.1579999999999</v>
      </c>
      <c r="K514" s="189">
        <v>1058.6189999999999</v>
      </c>
      <c r="L514" s="189">
        <v>1039.348</v>
      </c>
      <c r="M514" s="189">
        <v>937.93399999999997</v>
      </c>
      <c r="N514" s="115">
        <f t="shared" si="1115"/>
        <v>3663.3220000000001</v>
      </c>
      <c r="O514" s="115">
        <f t="shared" si="1116"/>
        <v>10305.143773711761</v>
      </c>
      <c r="P514" s="113"/>
      <c r="Q514" s="114"/>
      <c r="S514" s="61">
        <v>2022</v>
      </c>
      <c r="T514" s="190">
        <v>0</v>
      </c>
      <c r="U514" s="190">
        <v>294</v>
      </c>
      <c r="V514" s="190">
        <v>295</v>
      </c>
      <c r="W514" s="190">
        <v>296</v>
      </c>
      <c r="X514" s="190">
        <v>298</v>
      </c>
      <c r="Y514" s="190">
        <v>299</v>
      </c>
      <c r="Z514" s="190">
        <v>299</v>
      </c>
      <c r="AA514" s="190">
        <v>296</v>
      </c>
      <c r="AB514" s="190">
        <v>297</v>
      </c>
      <c r="AC514" s="190">
        <v>297</v>
      </c>
      <c r="AD514" s="190">
        <v>295</v>
      </c>
      <c r="AE514" s="190">
        <v>294</v>
      </c>
      <c r="AF514" s="96">
        <f>(SUM(Z515:AE515)+SUM(T514:Y514))/12</f>
        <v>123.5</v>
      </c>
      <c r="AG514" s="83">
        <f t="shared" ref="AG514:AG516" si="1128">SUM(T514:AE514)/12</f>
        <v>271.66666666666669</v>
      </c>
      <c r="AH514" s="54"/>
      <c r="AJ514" s="61">
        <v>2022</v>
      </c>
      <c r="AK514" s="174">
        <v>0</v>
      </c>
      <c r="AL514" s="174">
        <f t="shared" si="1117"/>
        <v>0</v>
      </c>
      <c r="AM514" s="174">
        <f t="shared" si="1118"/>
        <v>3.2287118644067796</v>
      </c>
      <c r="AN514" s="174">
        <f t="shared" ref="AN514" si="1129">E514/W514</f>
        <v>2.8405033783783784</v>
      </c>
      <c r="AO514" s="174">
        <f t="shared" ref="AO514" si="1130">F514/X514</f>
        <v>2.7354731543624164</v>
      </c>
      <c r="AP514" s="174">
        <f t="shared" ref="AP514" si="1131">G514/Y514</f>
        <v>3.528066889632107</v>
      </c>
      <c r="AQ514" s="174">
        <f t="shared" ref="AQ514" si="1132">H514/Z514</f>
        <v>4.2437718184339834</v>
      </c>
      <c r="AR514" s="174">
        <f t="shared" ref="AR514" si="1133">I514/AA514</f>
        <v>3.7022804054054053</v>
      </c>
      <c r="AS514" s="174">
        <f t="shared" ref="AS514" si="1134">J514/AB514</f>
        <v>4.1789831649831646</v>
      </c>
      <c r="AT514" s="174">
        <f t="shared" ref="AT514" si="1135">K514/AC514</f>
        <v>3.564373737373737</v>
      </c>
      <c r="AU514" s="174">
        <f t="shared" ref="AU514" si="1136">L514/AD514</f>
        <v>3.5232135593220337</v>
      </c>
      <c r="AV514" s="174">
        <f t="shared" ref="AV514" si="1137">M514/AE514</f>
        <v>3.190251700680272</v>
      </c>
      <c r="AW514" s="90">
        <f>(SUM(AK514:AP514)+SUM(AQ514:AV514))/365.25</f>
        <v>9.5100971041692753E-2</v>
      </c>
    </row>
    <row r="515" spans="1:49" x14ac:dyDescent="0.25">
      <c r="A515" s="61">
        <v>2021</v>
      </c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15">
        <f t="shared" si="1115"/>
        <v>0</v>
      </c>
      <c r="O515" s="115">
        <f t="shared" si="1116"/>
        <v>0</v>
      </c>
      <c r="P515" s="113"/>
      <c r="Q515" s="114"/>
      <c r="S515" s="61">
        <v>2021</v>
      </c>
      <c r="T515" s="190">
        <v>0</v>
      </c>
      <c r="U515" s="190">
        <v>0</v>
      </c>
      <c r="V515" s="190">
        <v>0</v>
      </c>
      <c r="W515" s="190">
        <v>0</v>
      </c>
      <c r="X515" s="190">
        <v>0</v>
      </c>
      <c r="Y515" s="190">
        <v>0</v>
      </c>
      <c r="Z515" s="190">
        <v>0</v>
      </c>
      <c r="AA515" s="190">
        <v>0</v>
      </c>
      <c r="AB515" s="190">
        <v>0</v>
      </c>
      <c r="AC515" s="190">
        <v>0</v>
      </c>
      <c r="AD515" s="190">
        <v>0</v>
      </c>
      <c r="AE515" s="190">
        <v>0</v>
      </c>
      <c r="AF515" s="96">
        <f>(SUM(Z516:AE516)+SUM(T515:Y515))/12</f>
        <v>0</v>
      </c>
      <c r="AG515" s="83">
        <f t="shared" si="1128"/>
        <v>0</v>
      </c>
      <c r="AH515" s="54"/>
      <c r="AJ515" s="61">
        <v>2021</v>
      </c>
      <c r="AK515" s="174"/>
      <c r="AL515" s="174"/>
      <c r="AM515" s="174"/>
      <c r="AN515" s="174"/>
      <c r="AO515" s="174"/>
      <c r="AP515" s="174"/>
      <c r="AQ515" s="174"/>
      <c r="AR515" s="174"/>
      <c r="AS515" s="174"/>
      <c r="AT515" s="174"/>
      <c r="AU515" s="174"/>
      <c r="AV515" s="174"/>
      <c r="AW515" s="90"/>
    </row>
    <row r="516" spans="1:49" x14ac:dyDescent="0.25">
      <c r="A516" s="61">
        <v>2020</v>
      </c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15">
        <f>SUM(B516:G516)+SUM(H517:M517)</f>
        <v>0</v>
      </c>
      <c r="O516" s="115">
        <f t="shared" si="1116"/>
        <v>0</v>
      </c>
      <c r="S516" s="61">
        <v>2020</v>
      </c>
      <c r="T516" s="190">
        <v>0</v>
      </c>
      <c r="U516" s="190">
        <v>0</v>
      </c>
      <c r="V516" s="190">
        <v>0</v>
      </c>
      <c r="W516" s="190">
        <v>0</v>
      </c>
      <c r="X516" s="190">
        <v>0</v>
      </c>
      <c r="Y516" s="190">
        <v>0</v>
      </c>
      <c r="Z516" s="190">
        <v>0</v>
      </c>
      <c r="AA516" s="190">
        <v>0</v>
      </c>
      <c r="AB516" s="190">
        <v>0</v>
      </c>
      <c r="AC516" s="190">
        <v>0</v>
      </c>
      <c r="AD516" s="190">
        <v>0</v>
      </c>
      <c r="AE516" s="190">
        <v>0</v>
      </c>
      <c r="AF516" s="96">
        <f>(SUM(Z517:AE517)+SUM(T516:Y516))/12</f>
        <v>0</v>
      </c>
      <c r="AG516" s="83">
        <f t="shared" si="1128"/>
        <v>0</v>
      </c>
      <c r="AJ516" s="61">
        <v>2020</v>
      </c>
      <c r="AK516" s="99"/>
      <c r="AL516" s="99"/>
      <c r="AM516" s="99"/>
      <c r="AN516" s="99"/>
      <c r="AO516" s="99"/>
      <c r="AP516" s="99"/>
      <c r="AQ516" s="99"/>
      <c r="AR516" s="99"/>
      <c r="AS516" s="99"/>
      <c r="AT516" s="99"/>
      <c r="AU516" s="99"/>
      <c r="AV516" s="3"/>
      <c r="AW516" s="90"/>
    </row>
    <row r="517" spans="1:49" x14ac:dyDescent="0.25">
      <c r="A517" s="61">
        <v>2019</v>
      </c>
      <c r="B517" s="116"/>
      <c r="C517" s="116"/>
      <c r="D517" s="116"/>
      <c r="E517" s="116"/>
      <c r="F517" s="116"/>
      <c r="G517" s="116"/>
      <c r="H517" s="109"/>
      <c r="I517" s="109"/>
      <c r="J517" s="109"/>
      <c r="K517" s="109"/>
      <c r="L517" s="109"/>
      <c r="M517" s="109"/>
      <c r="N517" s="115">
        <f t="shared" ref="N517" si="1138">SUM(B517:G517)+SUM(H518:M518)</f>
        <v>0</v>
      </c>
      <c r="O517" s="115">
        <f>SUM(B517:M517)</f>
        <v>0</v>
      </c>
      <c r="R517" s="36"/>
      <c r="S517" s="61">
        <v>2019</v>
      </c>
      <c r="T517" s="35">
        <v>0</v>
      </c>
      <c r="U517" s="35">
        <v>0</v>
      </c>
      <c r="V517" s="35">
        <v>0</v>
      </c>
      <c r="W517" s="35">
        <v>0</v>
      </c>
      <c r="X517" s="35">
        <v>0</v>
      </c>
      <c r="Y517" s="35">
        <v>0</v>
      </c>
      <c r="Z517" s="35">
        <v>0</v>
      </c>
      <c r="AA517" s="35">
        <v>0</v>
      </c>
      <c r="AB517" s="35">
        <v>0</v>
      </c>
      <c r="AC517" s="35">
        <v>0</v>
      </c>
      <c r="AD517" s="35">
        <v>0</v>
      </c>
      <c r="AE517" s="35">
        <v>0</v>
      </c>
      <c r="AF517" s="85">
        <f>(SUM(Z518:AE518)+SUM(T517:Y517))/12</f>
        <v>0</v>
      </c>
      <c r="AJ517" s="61">
        <v>2019</v>
      </c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90"/>
    </row>
    <row r="520" spans="1:49" ht="60" x14ac:dyDescent="0.25">
      <c r="A520" s="165" t="s">
        <v>136</v>
      </c>
      <c r="B520" s="111" t="s">
        <v>0</v>
      </c>
      <c r="C520" s="111" t="s">
        <v>1</v>
      </c>
      <c r="D520" s="111" t="s">
        <v>2</v>
      </c>
      <c r="E520" s="111" t="s">
        <v>3</v>
      </c>
      <c r="F520" s="111" t="s">
        <v>4</v>
      </c>
      <c r="G520" s="111" t="s">
        <v>5</v>
      </c>
      <c r="H520" s="111" t="s">
        <v>6</v>
      </c>
      <c r="I520" s="111" t="s">
        <v>7</v>
      </c>
      <c r="J520" s="111" t="s">
        <v>8</v>
      </c>
      <c r="K520" s="111" t="s">
        <v>9</v>
      </c>
      <c r="L520" s="111" t="s">
        <v>10</v>
      </c>
      <c r="M520" s="111" t="s">
        <v>11</v>
      </c>
      <c r="N520" s="112" t="s">
        <v>78</v>
      </c>
      <c r="O520" s="112" t="s">
        <v>77</v>
      </c>
      <c r="P520" s="139" t="s">
        <v>162</v>
      </c>
      <c r="Q520" s="140" t="s">
        <v>72</v>
      </c>
      <c r="S520" s="165" t="s">
        <v>147</v>
      </c>
      <c r="T520" s="53" t="s">
        <v>0</v>
      </c>
      <c r="U520" s="53" t="s">
        <v>1</v>
      </c>
      <c r="V520" s="53" t="s">
        <v>2</v>
      </c>
      <c r="W520" s="53" t="s">
        <v>3</v>
      </c>
      <c r="X520" s="53" t="s">
        <v>4</v>
      </c>
      <c r="Y520" s="53" t="s">
        <v>5</v>
      </c>
      <c r="Z520" s="53" t="s">
        <v>6</v>
      </c>
      <c r="AA520" s="53" t="s">
        <v>7</v>
      </c>
      <c r="AB520" s="53" t="s">
        <v>8</v>
      </c>
      <c r="AC520" s="53" t="s">
        <v>9</v>
      </c>
      <c r="AD520" s="53" t="s">
        <v>10</v>
      </c>
      <c r="AE520" s="53" t="s">
        <v>11</v>
      </c>
      <c r="AF520" s="30" t="s">
        <v>164</v>
      </c>
      <c r="AG520" s="30" t="s">
        <v>167</v>
      </c>
      <c r="AH520" s="54"/>
      <c r="AJ520" s="165" t="s">
        <v>156</v>
      </c>
      <c r="AK520" s="173" t="s">
        <v>0</v>
      </c>
      <c r="AL520" s="173" t="s">
        <v>1</v>
      </c>
      <c r="AM520" s="173" t="s">
        <v>2</v>
      </c>
      <c r="AN520" s="173" t="s">
        <v>3</v>
      </c>
      <c r="AO520" s="173" t="s">
        <v>4</v>
      </c>
      <c r="AP520" s="173" t="s">
        <v>5</v>
      </c>
      <c r="AQ520" s="173" t="s">
        <v>6</v>
      </c>
      <c r="AR520" s="173" t="s">
        <v>7</v>
      </c>
      <c r="AS520" s="173" t="s">
        <v>8</v>
      </c>
      <c r="AT520" s="173" t="s">
        <v>9</v>
      </c>
      <c r="AU520" s="173" t="s">
        <v>10</v>
      </c>
      <c r="AV520" s="173" t="s">
        <v>11</v>
      </c>
      <c r="AW520" s="5" t="s">
        <v>49</v>
      </c>
    </row>
    <row r="521" spans="1:49" x14ac:dyDescent="0.25">
      <c r="A521" s="77">
        <v>2023</v>
      </c>
      <c r="B521" s="189">
        <v>-128.30000000000001</v>
      </c>
      <c r="C521" s="189">
        <v>607.1</v>
      </c>
      <c r="D521" s="189">
        <v>955.3</v>
      </c>
      <c r="E521" s="189">
        <v>628.20000000000005</v>
      </c>
      <c r="F521" s="189">
        <v>0.1</v>
      </c>
      <c r="G521" s="189">
        <v>709.1</v>
      </c>
      <c r="H521" s="189">
        <v>794.3</v>
      </c>
      <c r="I521" s="189">
        <v>787.8</v>
      </c>
      <c r="J521" s="189">
        <v>726.9</v>
      </c>
      <c r="K521" s="189">
        <v>525.1</v>
      </c>
      <c r="L521" s="189">
        <v>588.5</v>
      </c>
      <c r="M521" s="189">
        <v>544.6</v>
      </c>
      <c r="N521" s="115">
        <f t="shared" ref="N521:N523" si="1139">SUM(B521:G521)+SUM(H522:M522)</f>
        <v>4154</v>
      </c>
      <c r="O521" s="115">
        <f t="shared" ref="O521:O524" si="1140">SUM(B521:M521)</f>
        <v>6738.7000000000007</v>
      </c>
      <c r="P521" s="139"/>
      <c r="Q521" s="140"/>
      <c r="S521" s="77">
        <v>2023</v>
      </c>
      <c r="T521" s="189">
        <v>169</v>
      </c>
      <c r="U521" s="189">
        <v>170</v>
      </c>
      <c r="V521" s="189">
        <v>170</v>
      </c>
      <c r="W521" s="189">
        <v>169</v>
      </c>
      <c r="X521" s="189">
        <v>168</v>
      </c>
      <c r="Y521" s="189">
        <v>181</v>
      </c>
      <c r="Z521" s="189">
        <v>187</v>
      </c>
      <c r="AA521" s="189">
        <v>189</v>
      </c>
      <c r="AB521" s="189">
        <v>194</v>
      </c>
      <c r="AC521" s="189">
        <v>193</v>
      </c>
      <c r="AD521" s="189">
        <v>195</v>
      </c>
      <c r="AE521" s="189">
        <v>195</v>
      </c>
      <c r="AF521" s="96">
        <f>(SUM(Z522:AE522)+SUM(T521:Y521))/12</f>
        <v>114.16666666666667</v>
      </c>
      <c r="AG521" s="83">
        <f>SUM(T521:AE521)/12</f>
        <v>181.66666666666666</v>
      </c>
      <c r="AH521" s="54"/>
      <c r="AJ521" s="77">
        <v>2023</v>
      </c>
      <c r="AK521" s="174">
        <f>B521/T521</f>
        <v>-0.75917159763313613</v>
      </c>
      <c r="AL521" s="174">
        <f t="shared" ref="AL521:AV521" si="1141">C521/U521</f>
        <v>3.5711764705882354</v>
      </c>
      <c r="AM521" s="174">
        <f t="shared" si="1141"/>
        <v>5.6194117647058821</v>
      </c>
      <c r="AN521" s="174">
        <f t="shared" si="1141"/>
        <v>3.7171597633136098</v>
      </c>
      <c r="AO521" s="174">
        <f t="shared" si="1141"/>
        <v>5.9523809523809529E-4</v>
      </c>
      <c r="AP521" s="174">
        <f t="shared" si="1141"/>
        <v>3.9176795580110499</v>
      </c>
      <c r="AQ521" s="174">
        <f t="shared" si="1141"/>
        <v>4.2475935828877001</v>
      </c>
      <c r="AR521" s="174">
        <f t="shared" si="1141"/>
        <v>4.1682539682539677</v>
      </c>
      <c r="AS521" s="174">
        <f t="shared" si="1141"/>
        <v>3.7469072164948454</v>
      </c>
      <c r="AT521" s="174">
        <f t="shared" si="1141"/>
        <v>2.7207253886010365</v>
      </c>
      <c r="AU521" s="174">
        <f t="shared" si="1141"/>
        <v>3.0179487179487179</v>
      </c>
      <c r="AV521" s="174">
        <f t="shared" si="1141"/>
        <v>2.792820512820513</v>
      </c>
      <c r="AW521" s="90">
        <f>(SUM(AK521:AP521)+SUM(AQ521:AV521))/365.25</f>
        <v>0.10064640816998674</v>
      </c>
    </row>
    <row r="522" spans="1:49" x14ac:dyDescent="0.25">
      <c r="A522" s="61">
        <v>2022</v>
      </c>
      <c r="B522" s="190">
        <v>0</v>
      </c>
      <c r="C522" s="190">
        <v>0</v>
      </c>
      <c r="D522" s="190">
        <v>0</v>
      </c>
      <c r="E522" s="190">
        <v>0</v>
      </c>
      <c r="F522" s="190">
        <v>0</v>
      </c>
      <c r="G522" s="190">
        <v>0</v>
      </c>
      <c r="H522" s="97">
        <v>0</v>
      </c>
      <c r="I522" s="97">
        <v>0</v>
      </c>
      <c r="J522" s="97">
        <v>0</v>
      </c>
      <c r="K522" s="97"/>
      <c r="L522" s="97">
        <v>0</v>
      </c>
      <c r="M522" s="189">
        <v>1382.5</v>
      </c>
      <c r="N522" s="115">
        <f t="shared" si="1139"/>
        <v>0</v>
      </c>
      <c r="O522" s="328">
        <f>SUM(B522:M522)*12</f>
        <v>16590</v>
      </c>
      <c r="P522" s="113"/>
      <c r="Q522" s="114"/>
      <c r="S522" s="61">
        <v>2022</v>
      </c>
      <c r="T522" s="190">
        <v>0</v>
      </c>
      <c r="U522" s="190">
        <v>0</v>
      </c>
      <c r="V522" s="190">
        <v>0</v>
      </c>
      <c r="W522" s="190">
        <v>0</v>
      </c>
      <c r="X522" s="190">
        <v>0</v>
      </c>
      <c r="Y522" s="190">
        <v>0</v>
      </c>
      <c r="Z522" s="190">
        <v>0</v>
      </c>
      <c r="AA522" s="190">
        <v>0</v>
      </c>
      <c r="AB522" s="190">
        <v>0</v>
      </c>
      <c r="AC522" s="190">
        <v>0</v>
      </c>
      <c r="AD522" s="190">
        <v>171</v>
      </c>
      <c r="AE522" s="190">
        <v>172</v>
      </c>
      <c r="AF522" s="96">
        <f>(SUM(Z523:AE523)+SUM(T522:Y522))/12</f>
        <v>0</v>
      </c>
      <c r="AG522" s="307">
        <f>SUM(T522:AE522)/2</f>
        <v>171.5</v>
      </c>
      <c r="AH522" s="54"/>
      <c r="AJ522" s="61">
        <v>2022</v>
      </c>
      <c r="AK522" s="174">
        <v>0</v>
      </c>
      <c r="AL522" s="174">
        <v>0</v>
      </c>
      <c r="AM522" s="174">
        <v>0</v>
      </c>
      <c r="AN522" s="174">
        <v>0</v>
      </c>
      <c r="AO522" s="174">
        <v>0</v>
      </c>
      <c r="AP522" s="174">
        <v>0</v>
      </c>
      <c r="AQ522" s="174">
        <v>0</v>
      </c>
      <c r="AR522" s="174">
        <v>0</v>
      </c>
      <c r="AS522" s="174">
        <v>0</v>
      </c>
      <c r="AT522" s="174">
        <v>0</v>
      </c>
      <c r="AU522" s="174">
        <f t="shared" ref="AU522" si="1142">L522/AD522</f>
        <v>0</v>
      </c>
      <c r="AV522" s="174">
        <f t="shared" ref="AV522" si="1143">M522/AE522</f>
        <v>8.0377906976744189</v>
      </c>
      <c r="AW522" s="90">
        <f>(SUM(AK522:AP522)+SUM(AQ522:AV522))/365.25</f>
        <v>2.2006271588430989E-2</v>
      </c>
    </row>
    <row r="523" spans="1:49" x14ac:dyDescent="0.25">
      <c r="A523" s="61">
        <v>2021</v>
      </c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15">
        <f t="shared" si="1139"/>
        <v>0</v>
      </c>
      <c r="O523" s="115">
        <f t="shared" si="1140"/>
        <v>0</v>
      </c>
      <c r="P523" s="113"/>
      <c r="Q523" s="114"/>
      <c r="S523" s="61">
        <v>2021</v>
      </c>
      <c r="T523" s="190">
        <v>0</v>
      </c>
      <c r="U523" s="190">
        <v>0</v>
      </c>
      <c r="V523" s="190">
        <v>0</v>
      </c>
      <c r="W523" s="190">
        <v>0</v>
      </c>
      <c r="X523" s="190">
        <v>0</v>
      </c>
      <c r="Y523" s="190">
        <v>0</v>
      </c>
      <c r="Z523" s="190">
        <v>0</v>
      </c>
      <c r="AA523" s="190">
        <v>0</v>
      </c>
      <c r="AB523" s="190">
        <v>0</v>
      </c>
      <c r="AC523" s="190">
        <v>0</v>
      </c>
      <c r="AD523" s="190">
        <v>0</v>
      </c>
      <c r="AE523" s="190">
        <v>0</v>
      </c>
      <c r="AF523" s="96">
        <f>(SUM(Z524:AE524)+SUM(T523:Y523))/12</f>
        <v>0</v>
      </c>
      <c r="AG523" s="83">
        <f t="shared" ref="AG523:AG524" si="1144">SUM(T523:AE523)/12</f>
        <v>0</v>
      </c>
      <c r="AH523" s="54"/>
      <c r="AJ523" s="61">
        <v>2021</v>
      </c>
      <c r="AK523" s="174"/>
      <c r="AL523" s="174"/>
      <c r="AM523" s="174"/>
      <c r="AN523" s="174"/>
      <c r="AO523" s="174"/>
      <c r="AP523" s="174"/>
      <c r="AQ523" s="174"/>
      <c r="AR523" s="174"/>
      <c r="AS523" s="174"/>
      <c r="AT523" s="174"/>
      <c r="AU523" s="174"/>
      <c r="AV523" s="174"/>
      <c r="AW523" s="90"/>
    </row>
    <row r="524" spans="1:49" x14ac:dyDescent="0.25">
      <c r="A524" s="61">
        <v>2020</v>
      </c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15">
        <f>SUM(B524:G524)+SUM(H525:M525)</f>
        <v>0</v>
      </c>
      <c r="O524" s="115">
        <f t="shared" si="1140"/>
        <v>0</v>
      </c>
      <c r="S524" s="61">
        <v>2020</v>
      </c>
      <c r="T524" s="190">
        <v>0</v>
      </c>
      <c r="U524" s="190">
        <v>0</v>
      </c>
      <c r="V524" s="190">
        <v>0</v>
      </c>
      <c r="W524" s="190">
        <v>0</v>
      </c>
      <c r="X524" s="190">
        <v>0</v>
      </c>
      <c r="Y524" s="190">
        <v>0</v>
      </c>
      <c r="Z524" s="190">
        <v>0</v>
      </c>
      <c r="AA524" s="190">
        <v>0</v>
      </c>
      <c r="AB524" s="190">
        <v>0</v>
      </c>
      <c r="AC524" s="190">
        <v>0</v>
      </c>
      <c r="AD524" s="190">
        <v>0</v>
      </c>
      <c r="AE524" s="190">
        <v>0</v>
      </c>
      <c r="AF524" s="96">
        <f>(SUM(Z525:AE525)+SUM(T524:Y524))/12</f>
        <v>0</v>
      </c>
      <c r="AG524" s="83">
        <f t="shared" si="1144"/>
        <v>0</v>
      </c>
      <c r="AJ524" s="61">
        <v>2020</v>
      </c>
      <c r="AK524" s="99"/>
      <c r="AL524" s="99"/>
      <c r="AM524" s="99"/>
      <c r="AN524" s="99"/>
      <c r="AO524" s="99"/>
      <c r="AP524" s="99"/>
      <c r="AQ524" s="99"/>
      <c r="AR524" s="99"/>
      <c r="AS524" s="99"/>
      <c r="AT524" s="99"/>
      <c r="AU524" s="99"/>
      <c r="AV524" s="3"/>
      <c r="AW524" s="90"/>
    </row>
    <row r="525" spans="1:49" x14ac:dyDescent="0.25">
      <c r="A525" s="61">
        <v>2019</v>
      </c>
      <c r="B525" s="116"/>
      <c r="C525" s="116"/>
      <c r="D525" s="116"/>
      <c r="E525" s="116"/>
      <c r="F525" s="116"/>
      <c r="G525" s="116"/>
      <c r="H525" s="109"/>
      <c r="I525" s="109"/>
      <c r="J525" s="109"/>
      <c r="K525" s="109"/>
      <c r="L525" s="109"/>
      <c r="M525" s="109"/>
      <c r="N525" s="115">
        <f t="shared" ref="N525" si="1145">SUM(B525:G525)+SUM(H526:M526)</f>
        <v>0</v>
      </c>
      <c r="O525" s="115">
        <f>SUM(B525:M525)</f>
        <v>0</v>
      </c>
      <c r="R525" s="36"/>
      <c r="S525" s="61">
        <v>2019</v>
      </c>
      <c r="T525" s="35">
        <v>0</v>
      </c>
      <c r="U525" s="35">
        <v>0</v>
      </c>
      <c r="V525" s="35">
        <v>0</v>
      </c>
      <c r="W525" s="35">
        <v>0</v>
      </c>
      <c r="X525" s="35">
        <v>0</v>
      </c>
      <c r="Y525" s="35">
        <v>0</v>
      </c>
      <c r="Z525" s="35">
        <v>0</v>
      </c>
      <c r="AA525" s="35">
        <v>0</v>
      </c>
      <c r="AB525" s="35">
        <v>0</v>
      </c>
      <c r="AC525" s="35">
        <v>0</v>
      </c>
      <c r="AD525" s="35">
        <v>0</v>
      </c>
      <c r="AE525" s="35">
        <v>0</v>
      </c>
      <c r="AF525" s="85">
        <f>(SUM(Z526:AE526)+SUM(T525:Y525))/12</f>
        <v>0</v>
      </c>
      <c r="AJ525" s="61">
        <v>2019</v>
      </c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90"/>
    </row>
    <row r="528" spans="1:49" ht="60" x14ac:dyDescent="0.25">
      <c r="A528" s="165" t="s">
        <v>137</v>
      </c>
      <c r="B528" s="111" t="s">
        <v>0</v>
      </c>
      <c r="C528" s="111" t="s">
        <v>1</v>
      </c>
      <c r="D528" s="111" t="s">
        <v>2</v>
      </c>
      <c r="E528" s="111" t="s">
        <v>3</v>
      </c>
      <c r="F528" s="111" t="s">
        <v>4</v>
      </c>
      <c r="G528" s="111" t="s">
        <v>5</v>
      </c>
      <c r="H528" s="111" t="s">
        <v>6</v>
      </c>
      <c r="I528" s="111" t="s">
        <v>7</v>
      </c>
      <c r="J528" s="111" t="s">
        <v>8</v>
      </c>
      <c r="K528" s="111" t="s">
        <v>9</v>
      </c>
      <c r="L528" s="111" t="s">
        <v>10</v>
      </c>
      <c r="M528" s="111" t="s">
        <v>11</v>
      </c>
      <c r="N528" s="112" t="s">
        <v>78</v>
      </c>
      <c r="O528" s="112" t="s">
        <v>77</v>
      </c>
      <c r="P528" s="139" t="s">
        <v>162</v>
      </c>
      <c r="Q528" s="140" t="s">
        <v>72</v>
      </c>
      <c r="S528" s="165" t="s">
        <v>148</v>
      </c>
      <c r="T528" s="53" t="s">
        <v>0</v>
      </c>
      <c r="U528" s="53" t="s">
        <v>1</v>
      </c>
      <c r="V528" s="53" t="s">
        <v>2</v>
      </c>
      <c r="W528" s="53" t="s">
        <v>3</v>
      </c>
      <c r="X528" s="53" t="s">
        <v>4</v>
      </c>
      <c r="Y528" s="53" t="s">
        <v>5</v>
      </c>
      <c r="Z528" s="53" t="s">
        <v>6</v>
      </c>
      <c r="AA528" s="53" t="s">
        <v>7</v>
      </c>
      <c r="AB528" s="53" t="s">
        <v>8</v>
      </c>
      <c r="AC528" s="53" t="s">
        <v>9</v>
      </c>
      <c r="AD528" s="53" t="s">
        <v>10</v>
      </c>
      <c r="AE528" s="53" t="s">
        <v>11</v>
      </c>
      <c r="AF528" s="30" t="s">
        <v>164</v>
      </c>
      <c r="AG528" s="30" t="s">
        <v>167</v>
      </c>
      <c r="AH528" s="54"/>
      <c r="AJ528" s="165" t="s">
        <v>157</v>
      </c>
      <c r="AK528" s="173" t="s">
        <v>0</v>
      </c>
      <c r="AL528" s="173" t="s">
        <v>1</v>
      </c>
      <c r="AM528" s="173" t="s">
        <v>2</v>
      </c>
      <c r="AN528" s="173" t="s">
        <v>3</v>
      </c>
      <c r="AO528" s="173" t="s">
        <v>4</v>
      </c>
      <c r="AP528" s="173" t="s">
        <v>5</v>
      </c>
      <c r="AQ528" s="173" t="s">
        <v>6</v>
      </c>
      <c r="AR528" s="173" t="s">
        <v>7</v>
      </c>
      <c r="AS528" s="173" t="s">
        <v>8</v>
      </c>
      <c r="AT528" s="173" t="s">
        <v>9</v>
      </c>
      <c r="AU528" s="173" t="s">
        <v>10</v>
      </c>
      <c r="AV528" s="173" t="s">
        <v>11</v>
      </c>
      <c r="AW528" s="5" t="s">
        <v>49</v>
      </c>
    </row>
    <row r="529" spans="1:49" x14ac:dyDescent="0.25">
      <c r="A529" s="77">
        <v>2023</v>
      </c>
      <c r="B529" s="111">
        <v>0</v>
      </c>
      <c r="C529" s="111">
        <v>0</v>
      </c>
      <c r="D529" s="189">
        <v>982.5</v>
      </c>
      <c r="E529" s="189">
        <v>2144.4</v>
      </c>
      <c r="F529" s="189">
        <v>-3.5</v>
      </c>
      <c r="G529" s="189">
        <v>559.79999999999995</v>
      </c>
      <c r="H529" s="189">
        <v>1013.6</v>
      </c>
      <c r="I529" s="189">
        <v>1219.2</v>
      </c>
      <c r="J529" s="189">
        <v>789.2</v>
      </c>
      <c r="K529" s="189">
        <v>1404.3</v>
      </c>
      <c r="L529" s="189">
        <v>333.9</v>
      </c>
      <c r="M529" s="189">
        <v>981.21600000000001</v>
      </c>
      <c r="N529" s="115">
        <f t="shared" ref="N529:N531" si="1146">SUM(B529:G529)+SUM(H530:M530)</f>
        <v>3683.2</v>
      </c>
      <c r="O529" s="328">
        <f>AVERAGE(D529:M529)*12</f>
        <v>11309.539199999999</v>
      </c>
      <c r="P529" s="139"/>
      <c r="Q529" s="140"/>
      <c r="S529" s="77">
        <v>2023</v>
      </c>
      <c r="T529" s="53">
        <v>0</v>
      </c>
      <c r="U529" s="189">
        <v>320</v>
      </c>
      <c r="V529" s="189">
        <v>321</v>
      </c>
      <c r="W529" s="189">
        <v>318</v>
      </c>
      <c r="X529" s="189">
        <v>319</v>
      </c>
      <c r="Y529" s="189">
        <v>319</v>
      </c>
      <c r="Z529" s="189">
        <v>319</v>
      </c>
      <c r="AA529" s="189">
        <v>320</v>
      </c>
      <c r="AB529" s="189">
        <v>319</v>
      </c>
      <c r="AC529" s="189">
        <v>320</v>
      </c>
      <c r="AD529" s="189">
        <v>319</v>
      </c>
      <c r="AE529" s="189">
        <v>317</v>
      </c>
      <c r="AF529" s="96">
        <f>(SUM(Z530:AE530)+SUM(T529:Y529))/12</f>
        <v>133.08333333333334</v>
      </c>
      <c r="AG529" s="83">
        <f>SUM(T529:AE529)/12</f>
        <v>292.58333333333331</v>
      </c>
      <c r="AH529" s="54"/>
      <c r="AJ529" s="77">
        <v>2023</v>
      </c>
      <c r="AK529" s="174">
        <v>0</v>
      </c>
      <c r="AL529" s="174">
        <f t="shared" ref="AL529:AV529" si="1147">C529/U529</f>
        <v>0</v>
      </c>
      <c r="AM529" s="174">
        <f t="shared" si="1147"/>
        <v>3.0607476635514019</v>
      </c>
      <c r="AN529" s="174">
        <f t="shared" si="1147"/>
        <v>6.7433962264150944</v>
      </c>
      <c r="AO529" s="174">
        <f t="shared" si="1147"/>
        <v>-1.0971786833855799E-2</v>
      </c>
      <c r="AP529" s="174">
        <f t="shared" si="1147"/>
        <v>1.7548589341692789</v>
      </c>
      <c r="AQ529" s="174">
        <f t="shared" si="1147"/>
        <v>3.1774294670846395</v>
      </c>
      <c r="AR529" s="174">
        <f t="shared" si="1147"/>
        <v>3.81</v>
      </c>
      <c r="AS529" s="174">
        <f t="shared" si="1147"/>
        <v>2.4739811912225709</v>
      </c>
      <c r="AT529" s="174">
        <f t="shared" si="1147"/>
        <v>4.3884375000000002</v>
      </c>
      <c r="AU529" s="174">
        <f t="shared" si="1147"/>
        <v>1.0467084639498432</v>
      </c>
      <c r="AV529" s="174">
        <f t="shared" si="1147"/>
        <v>3.0953186119873819</v>
      </c>
      <c r="AW529" s="90">
        <f>(SUM(AK529:AP529)+SUM(AQ529:AV529))/365.25</f>
        <v>8.0875855637361688E-2</v>
      </c>
    </row>
    <row r="530" spans="1:49" x14ac:dyDescent="0.25">
      <c r="A530" s="61">
        <v>2022</v>
      </c>
      <c r="B530" s="109"/>
      <c r="C530" s="109"/>
      <c r="D530" s="109"/>
      <c r="E530" s="109"/>
      <c r="F530" s="109"/>
      <c r="G530" s="109"/>
      <c r="H530" s="111"/>
      <c r="I530" s="111"/>
      <c r="J530" s="111"/>
      <c r="K530" s="111"/>
      <c r="L530" s="111"/>
      <c r="M530" s="111"/>
      <c r="N530" s="115">
        <f t="shared" si="1146"/>
        <v>0</v>
      </c>
      <c r="O530" s="115">
        <f t="shared" ref="O530:O532" si="1148">SUM(B530:M530)</f>
        <v>0</v>
      </c>
      <c r="P530" s="113"/>
      <c r="Q530" s="114"/>
      <c r="S530" s="61">
        <v>2022</v>
      </c>
      <c r="T530" s="190">
        <v>0</v>
      </c>
      <c r="U530" s="190">
        <v>0</v>
      </c>
      <c r="V530" s="190">
        <v>0</v>
      </c>
      <c r="W530" s="190">
        <v>0</v>
      </c>
      <c r="X530" s="190">
        <v>0</v>
      </c>
      <c r="Y530" s="190">
        <v>0</v>
      </c>
      <c r="Z530" s="190">
        <v>0</v>
      </c>
      <c r="AA530" s="190">
        <v>0</v>
      </c>
      <c r="AB530" s="190">
        <v>0</v>
      </c>
      <c r="AC530" s="190">
        <v>0</v>
      </c>
      <c r="AD530" s="190">
        <v>0</v>
      </c>
      <c r="AE530" s="190">
        <v>0</v>
      </c>
      <c r="AF530" s="96">
        <f>(SUM(Z531:AE531)+SUM(T530:Y530))/12</f>
        <v>0</v>
      </c>
      <c r="AG530" s="83">
        <f t="shared" ref="AG530:AG533" si="1149">SUM(T530:AE530)/12</f>
        <v>0</v>
      </c>
      <c r="AH530" s="54"/>
      <c r="AJ530" s="61">
        <v>2022</v>
      </c>
      <c r="AK530" s="174"/>
      <c r="AL530" s="174"/>
      <c r="AM530" s="174"/>
      <c r="AN530" s="174"/>
      <c r="AO530" s="174"/>
      <c r="AP530" s="174"/>
      <c r="AQ530" s="174"/>
      <c r="AR530" s="174"/>
      <c r="AS530" s="174"/>
      <c r="AT530" s="174"/>
      <c r="AU530" s="174"/>
      <c r="AV530" s="174"/>
      <c r="AW530" s="90"/>
    </row>
    <row r="531" spans="1:49" x14ac:dyDescent="0.25">
      <c r="A531" s="61">
        <v>2021</v>
      </c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15">
        <f t="shared" si="1146"/>
        <v>0</v>
      </c>
      <c r="O531" s="115">
        <f t="shared" si="1148"/>
        <v>0</v>
      </c>
      <c r="P531" s="113"/>
      <c r="Q531" s="114"/>
      <c r="S531" s="61">
        <v>2021</v>
      </c>
      <c r="T531" s="190">
        <v>0</v>
      </c>
      <c r="U531" s="190">
        <v>0</v>
      </c>
      <c r="V531" s="190">
        <v>0</v>
      </c>
      <c r="W531" s="190">
        <v>0</v>
      </c>
      <c r="X531" s="190">
        <v>0</v>
      </c>
      <c r="Y531" s="190">
        <v>0</v>
      </c>
      <c r="Z531" s="190">
        <v>0</v>
      </c>
      <c r="AA531" s="190">
        <v>0</v>
      </c>
      <c r="AB531" s="190">
        <v>0</v>
      </c>
      <c r="AC531" s="190">
        <v>0</v>
      </c>
      <c r="AD531" s="190">
        <v>0</v>
      </c>
      <c r="AE531" s="190">
        <v>0</v>
      </c>
      <c r="AF531" s="96">
        <f>(SUM(Z532:AE532)+SUM(T531:Y531))/12</f>
        <v>0</v>
      </c>
      <c r="AG531" s="83">
        <f t="shared" si="1149"/>
        <v>0</v>
      </c>
      <c r="AH531" s="54"/>
      <c r="AJ531" s="61">
        <v>2021</v>
      </c>
      <c r="AK531" s="174"/>
      <c r="AL531" s="174"/>
      <c r="AM531" s="174"/>
      <c r="AN531" s="174"/>
      <c r="AO531" s="174"/>
      <c r="AP531" s="174"/>
      <c r="AQ531" s="174"/>
      <c r="AR531" s="174"/>
      <c r="AS531" s="174"/>
      <c r="AT531" s="174"/>
      <c r="AU531" s="174"/>
      <c r="AV531" s="174"/>
      <c r="AW531" s="90"/>
    </row>
    <row r="532" spans="1:49" x14ac:dyDescent="0.25">
      <c r="A532" s="61">
        <v>2020</v>
      </c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15">
        <f>SUM(B532:G532)+SUM(H533:M533)</f>
        <v>0</v>
      </c>
      <c r="O532" s="115">
        <f t="shared" si="1148"/>
        <v>0</v>
      </c>
      <c r="S532" s="61">
        <v>2020</v>
      </c>
      <c r="T532" s="190">
        <v>0</v>
      </c>
      <c r="U532" s="190">
        <v>0</v>
      </c>
      <c r="V532" s="190">
        <v>0</v>
      </c>
      <c r="W532" s="190">
        <v>0</v>
      </c>
      <c r="X532" s="190">
        <v>0</v>
      </c>
      <c r="Y532" s="190">
        <v>0</v>
      </c>
      <c r="Z532" s="190">
        <v>0</v>
      </c>
      <c r="AA532" s="190">
        <v>0</v>
      </c>
      <c r="AB532" s="190">
        <v>0</v>
      </c>
      <c r="AC532" s="190">
        <v>0</v>
      </c>
      <c r="AD532" s="190">
        <v>0</v>
      </c>
      <c r="AE532" s="190">
        <v>0</v>
      </c>
      <c r="AF532" s="96">
        <f>(SUM(Z533:AE533)+SUM(T532:Y532))/12</f>
        <v>0</v>
      </c>
      <c r="AG532" s="83">
        <f t="shared" si="1149"/>
        <v>0</v>
      </c>
      <c r="AJ532" s="61">
        <v>2020</v>
      </c>
      <c r="AK532" s="99"/>
      <c r="AL532" s="99"/>
      <c r="AM532" s="99"/>
      <c r="AN532" s="99"/>
      <c r="AO532" s="99"/>
      <c r="AP532" s="99"/>
      <c r="AQ532" s="99"/>
      <c r="AR532" s="99"/>
      <c r="AS532" s="99"/>
      <c r="AT532" s="99"/>
      <c r="AU532" s="99"/>
      <c r="AV532" s="99"/>
      <c r="AW532" s="90"/>
    </row>
    <row r="533" spans="1:49" x14ac:dyDescent="0.25">
      <c r="A533" s="61">
        <v>2019</v>
      </c>
      <c r="B533" s="116"/>
      <c r="C533" s="116"/>
      <c r="D533" s="116"/>
      <c r="E533" s="116"/>
      <c r="F533" s="116"/>
      <c r="G533" s="116"/>
      <c r="H533" s="109"/>
      <c r="I533" s="109"/>
      <c r="J533" s="109"/>
      <c r="K533" s="109"/>
      <c r="L533" s="109"/>
      <c r="M533" s="109"/>
      <c r="N533" s="115">
        <f t="shared" ref="N533" si="1150">SUM(B533:G533)+SUM(H534:M534)</f>
        <v>0</v>
      </c>
      <c r="O533" s="115">
        <f>SUM(B533:M533)</f>
        <v>0</v>
      </c>
      <c r="R533" s="36"/>
      <c r="S533" s="61">
        <v>2019</v>
      </c>
      <c r="T533" s="35">
        <v>0</v>
      </c>
      <c r="U533" s="35">
        <v>0</v>
      </c>
      <c r="V533" s="35">
        <v>0</v>
      </c>
      <c r="W533" s="35">
        <v>0</v>
      </c>
      <c r="X533" s="35">
        <v>0</v>
      </c>
      <c r="Y533" s="35">
        <v>0</v>
      </c>
      <c r="Z533" s="35">
        <v>0</v>
      </c>
      <c r="AA533" s="35">
        <v>0</v>
      </c>
      <c r="AB533" s="35">
        <v>0</v>
      </c>
      <c r="AC533" s="35">
        <v>0</v>
      </c>
      <c r="AD533" s="35">
        <v>0</v>
      </c>
      <c r="AE533" s="35">
        <v>0</v>
      </c>
      <c r="AF533" s="85">
        <f>(SUM(Z534:AE534)+SUM(T533:Y533))/12</f>
        <v>0</v>
      </c>
      <c r="AG533" s="83">
        <f t="shared" si="1149"/>
        <v>0</v>
      </c>
      <c r="AJ533" s="61">
        <v>2019</v>
      </c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90"/>
    </row>
    <row r="536" spans="1:49" ht="60" x14ac:dyDescent="0.25">
      <c r="A536" s="165" t="s">
        <v>138</v>
      </c>
      <c r="B536" s="111" t="s">
        <v>0</v>
      </c>
      <c r="C536" s="111" t="s">
        <v>1</v>
      </c>
      <c r="D536" s="111" t="s">
        <v>2</v>
      </c>
      <c r="E536" s="111" t="s">
        <v>3</v>
      </c>
      <c r="F536" s="111" t="s">
        <v>4</v>
      </c>
      <c r="G536" s="111" t="s">
        <v>5</v>
      </c>
      <c r="H536" s="111" t="s">
        <v>6</v>
      </c>
      <c r="I536" s="111" t="s">
        <v>7</v>
      </c>
      <c r="J536" s="111" t="s">
        <v>8</v>
      </c>
      <c r="K536" s="111" t="s">
        <v>9</v>
      </c>
      <c r="L536" s="111" t="s">
        <v>10</v>
      </c>
      <c r="M536" s="111" t="s">
        <v>11</v>
      </c>
      <c r="N536" s="112" t="s">
        <v>78</v>
      </c>
      <c r="O536" s="112" t="s">
        <v>77</v>
      </c>
      <c r="P536" s="139" t="s">
        <v>162</v>
      </c>
      <c r="Q536" s="140" t="s">
        <v>72</v>
      </c>
      <c r="S536" s="165" t="s">
        <v>149</v>
      </c>
      <c r="T536" s="53" t="s">
        <v>0</v>
      </c>
      <c r="U536" s="53" t="s">
        <v>1</v>
      </c>
      <c r="V536" s="53" t="s">
        <v>2</v>
      </c>
      <c r="W536" s="53" t="s">
        <v>3</v>
      </c>
      <c r="X536" s="53" t="s">
        <v>4</v>
      </c>
      <c r="Y536" s="53" t="s">
        <v>5</v>
      </c>
      <c r="Z536" s="53" t="s">
        <v>6</v>
      </c>
      <c r="AA536" s="53" t="s">
        <v>7</v>
      </c>
      <c r="AB536" s="53" t="s">
        <v>8</v>
      </c>
      <c r="AC536" s="53" t="s">
        <v>9</v>
      </c>
      <c r="AD536" s="53" t="s">
        <v>10</v>
      </c>
      <c r="AE536" s="53" t="s">
        <v>11</v>
      </c>
      <c r="AF536" s="30" t="s">
        <v>164</v>
      </c>
      <c r="AG536" s="30" t="s">
        <v>167</v>
      </c>
      <c r="AH536" s="54"/>
      <c r="AJ536" s="165" t="s">
        <v>158</v>
      </c>
      <c r="AK536" s="173" t="s">
        <v>0</v>
      </c>
      <c r="AL536" s="173" t="s">
        <v>1</v>
      </c>
      <c r="AM536" s="173" t="s">
        <v>2</v>
      </c>
      <c r="AN536" s="173" t="s">
        <v>3</v>
      </c>
      <c r="AO536" s="173" t="s">
        <v>4</v>
      </c>
      <c r="AP536" s="173" t="s">
        <v>5</v>
      </c>
      <c r="AQ536" s="173" t="s">
        <v>6</v>
      </c>
      <c r="AR536" s="173" t="s">
        <v>7</v>
      </c>
      <c r="AS536" s="173" t="s">
        <v>8</v>
      </c>
      <c r="AT536" s="173" t="s">
        <v>9</v>
      </c>
      <c r="AU536" s="173" t="s">
        <v>10</v>
      </c>
      <c r="AV536" s="173" t="s">
        <v>11</v>
      </c>
      <c r="AW536" s="5" t="s">
        <v>49</v>
      </c>
    </row>
    <row r="537" spans="1:49" x14ac:dyDescent="0.25">
      <c r="A537" s="77">
        <v>2023</v>
      </c>
      <c r="B537" s="115">
        <v>0</v>
      </c>
      <c r="C537" s="115">
        <v>0</v>
      </c>
      <c r="D537" s="115">
        <v>0</v>
      </c>
      <c r="E537" s="115">
        <v>0</v>
      </c>
      <c r="F537" s="115">
        <v>0</v>
      </c>
      <c r="G537" s="115">
        <v>0</v>
      </c>
      <c r="H537" s="115">
        <v>0</v>
      </c>
      <c r="I537" s="189">
        <v>848.5</v>
      </c>
      <c r="J537" s="189">
        <v>1378</v>
      </c>
      <c r="K537" s="189">
        <v>743.6</v>
      </c>
      <c r="L537" s="189">
        <v>1173.8</v>
      </c>
      <c r="M537" s="189">
        <v>414.4</v>
      </c>
      <c r="N537" s="115">
        <f t="shared" ref="N537:N539" si="1151">SUM(B537:G537)+SUM(H538:M538)</f>
        <v>0</v>
      </c>
      <c r="O537" s="115">
        <f>AVERAGE(I537:M537)*12</f>
        <v>10939.919999999998</v>
      </c>
      <c r="P537" s="139"/>
      <c r="Q537" s="140"/>
      <c r="S537" s="77">
        <v>2023</v>
      </c>
      <c r="T537" s="191">
        <v>0</v>
      </c>
      <c r="U537" s="191">
        <v>0</v>
      </c>
      <c r="V537" s="191">
        <v>0</v>
      </c>
      <c r="W537" s="191">
        <v>0</v>
      </c>
      <c r="X537" s="191">
        <v>0</v>
      </c>
      <c r="Y537" s="191">
        <v>0</v>
      </c>
      <c r="Z537" s="189">
        <v>256</v>
      </c>
      <c r="AA537" s="189">
        <v>256</v>
      </c>
      <c r="AB537" s="189">
        <v>255</v>
      </c>
      <c r="AC537" s="189">
        <v>255</v>
      </c>
      <c r="AD537" s="189">
        <v>253</v>
      </c>
      <c r="AE537" s="189">
        <v>252</v>
      </c>
      <c r="AF537" s="96">
        <f>(SUM(Z538:AE538)+SUM(T537:Y537))/12</f>
        <v>0</v>
      </c>
      <c r="AG537" s="307">
        <f>SUM(T537:AE537)/6</f>
        <v>254.5</v>
      </c>
      <c r="AH537" s="54"/>
      <c r="AJ537" s="77">
        <v>2023</v>
      </c>
      <c r="AK537" s="174">
        <v>0</v>
      </c>
      <c r="AL537" s="174">
        <v>0</v>
      </c>
      <c r="AM537" s="174">
        <v>0</v>
      </c>
      <c r="AN537" s="174">
        <v>0</v>
      </c>
      <c r="AO537" s="174">
        <v>0</v>
      </c>
      <c r="AP537" s="174">
        <v>0</v>
      </c>
      <c r="AQ537" s="174">
        <f t="shared" ref="AQ537:AV537" si="1152">H537/Z537</f>
        <v>0</v>
      </c>
      <c r="AR537" s="174">
        <f t="shared" si="1152"/>
        <v>3.314453125</v>
      </c>
      <c r="AS537" s="174">
        <f t="shared" si="1152"/>
        <v>5.4039215686274513</v>
      </c>
      <c r="AT537" s="174">
        <f t="shared" si="1152"/>
        <v>2.916078431372549</v>
      </c>
      <c r="AU537" s="174">
        <f t="shared" si="1152"/>
        <v>4.6395256916996042</v>
      </c>
      <c r="AV537" s="174">
        <f t="shared" si="1152"/>
        <v>1.6444444444444444</v>
      </c>
      <c r="AW537" s="90">
        <f>(SUM(AK537:AP537)+SUM(AQ537:AV537))/365.25</f>
        <v>4.9057969229689385E-2</v>
      </c>
    </row>
    <row r="538" spans="1:49" x14ac:dyDescent="0.25">
      <c r="A538" s="61">
        <v>2022</v>
      </c>
      <c r="B538" s="109"/>
      <c r="C538" s="109"/>
      <c r="D538" s="109"/>
      <c r="E538" s="109"/>
      <c r="F538" s="109"/>
      <c r="G538" s="109"/>
      <c r="H538" s="111"/>
      <c r="I538" s="111"/>
      <c r="J538" s="111"/>
      <c r="K538" s="111"/>
      <c r="L538" s="111"/>
      <c r="M538" s="111"/>
      <c r="N538" s="115">
        <f t="shared" si="1151"/>
        <v>0</v>
      </c>
      <c r="O538" s="115">
        <f t="shared" ref="O538:O540" si="1153">SUM(B538:M538)</f>
        <v>0</v>
      </c>
      <c r="P538" s="113"/>
      <c r="Q538" s="114"/>
      <c r="S538" s="61">
        <v>2022</v>
      </c>
      <c r="T538" s="190">
        <v>0</v>
      </c>
      <c r="U538" s="190">
        <v>0</v>
      </c>
      <c r="V538" s="190">
        <v>0</v>
      </c>
      <c r="W538" s="190">
        <v>0</v>
      </c>
      <c r="X538" s="190">
        <v>0</v>
      </c>
      <c r="Y538" s="190">
        <v>0</v>
      </c>
      <c r="Z538" s="190">
        <v>0</v>
      </c>
      <c r="AA538" s="190">
        <v>0</v>
      </c>
      <c r="AB538" s="190">
        <v>0</v>
      </c>
      <c r="AC538" s="190">
        <v>0</v>
      </c>
      <c r="AD538" s="190">
        <v>0</v>
      </c>
      <c r="AE538" s="190">
        <v>0</v>
      </c>
      <c r="AF538" s="96">
        <f>(SUM(Z539:AE539)+SUM(T538:Y538))/12</f>
        <v>0</v>
      </c>
      <c r="AG538" s="198">
        <f t="shared" ref="AG538:AG541" si="1154">SUM(T538:AE538)/12</f>
        <v>0</v>
      </c>
      <c r="AH538" s="54"/>
      <c r="AJ538" s="61">
        <v>2022</v>
      </c>
      <c r="AK538" s="174"/>
      <c r="AL538" s="174"/>
      <c r="AM538" s="174"/>
      <c r="AN538" s="174"/>
      <c r="AO538" s="174"/>
      <c r="AP538" s="174"/>
      <c r="AQ538" s="174"/>
      <c r="AR538" s="174"/>
      <c r="AS538" s="174"/>
      <c r="AT538" s="174"/>
      <c r="AU538" s="174"/>
      <c r="AV538" s="174"/>
      <c r="AW538" s="90"/>
    </row>
    <row r="539" spans="1:49" x14ac:dyDescent="0.25">
      <c r="A539" s="61">
        <v>2021</v>
      </c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15">
        <f t="shared" si="1151"/>
        <v>0</v>
      </c>
      <c r="O539" s="115">
        <f t="shared" si="1153"/>
        <v>0</v>
      </c>
      <c r="P539" s="113"/>
      <c r="Q539" s="114"/>
      <c r="S539" s="61">
        <v>2021</v>
      </c>
      <c r="T539" s="190">
        <v>0</v>
      </c>
      <c r="U539" s="190">
        <v>0</v>
      </c>
      <c r="V539" s="190">
        <v>0</v>
      </c>
      <c r="W539" s="190">
        <v>0</v>
      </c>
      <c r="X539" s="190">
        <v>0</v>
      </c>
      <c r="Y539" s="190">
        <v>0</v>
      </c>
      <c r="Z539" s="190">
        <v>0</v>
      </c>
      <c r="AA539" s="190">
        <v>0</v>
      </c>
      <c r="AB539" s="190">
        <v>0</v>
      </c>
      <c r="AC539" s="190">
        <v>0</v>
      </c>
      <c r="AD539" s="190">
        <v>0</v>
      </c>
      <c r="AE539" s="190">
        <v>0</v>
      </c>
      <c r="AF539" s="96">
        <f>(SUM(Z540:AE540)+SUM(T539:Y539))/12</f>
        <v>0</v>
      </c>
      <c r="AG539" s="198">
        <f t="shared" si="1154"/>
        <v>0</v>
      </c>
      <c r="AH539" s="54"/>
      <c r="AJ539" s="61">
        <v>2021</v>
      </c>
      <c r="AK539" s="174"/>
      <c r="AL539" s="174"/>
      <c r="AM539" s="174"/>
      <c r="AN539" s="174"/>
      <c r="AO539" s="174"/>
      <c r="AP539" s="174"/>
      <c r="AQ539" s="174"/>
      <c r="AR539" s="174"/>
      <c r="AS539" s="174"/>
      <c r="AT539" s="174"/>
      <c r="AU539" s="174"/>
      <c r="AV539" s="174"/>
      <c r="AW539" s="90"/>
    </row>
    <row r="540" spans="1:49" x14ac:dyDescent="0.25">
      <c r="A540" s="61">
        <v>2020</v>
      </c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15">
        <f>SUM(B540:G540)+SUM(H541:M541)</f>
        <v>0</v>
      </c>
      <c r="O540" s="115">
        <f t="shared" si="1153"/>
        <v>0</v>
      </c>
      <c r="S540" s="61">
        <v>2020</v>
      </c>
      <c r="T540" s="190">
        <v>0</v>
      </c>
      <c r="U540" s="190">
        <v>0</v>
      </c>
      <c r="V540" s="190">
        <v>0</v>
      </c>
      <c r="W540" s="190">
        <v>0</v>
      </c>
      <c r="X540" s="190">
        <v>0</v>
      </c>
      <c r="Y540" s="190">
        <v>0</v>
      </c>
      <c r="Z540" s="190">
        <v>0</v>
      </c>
      <c r="AA540" s="190">
        <v>0</v>
      </c>
      <c r="AB540" s="190">
        <v>0</v>
      </c>
      <c r="AC540" s="190">
        <v>0</v>
      </c>
      <c r="AD540" s="190">
        <v>0</v>
      </c>
      <c r="AE540" s="190">
        <v>0</v>
      </c>
      <c r="AF540" s="96">
        <f>(SUM(Z541:AE541)+SUM(T540:Y540))/12</f>
        <v>0</v>
      </c>
      <c r="AG540" s="198">
        <f t="shared" si="1154"/>
        <v>0</v>
      </c>
      <c r="AJ540" s="61">
        <v>2020</v>
      </c>
      <c r="AK540" s="99"/>
      <c r="AL540" s="99"/>
      <c r="AM540" s="99"/>
      <c r="AN540" s="99"/>
      <c r="AO540" s="99"/>
      <c r="AP540" s="99"/>
      <c r="AQ540" s="99"/>
      <c r="AR540" s="99"/>
      <c r="AS540" s="99"/>
      <c r="AT540" s="99"/>
      <c r="AU540" s="99"/>
      <c r="AV540" s="99"/>
      <c r="AW540" s="90"/>
    </row>
    <row r="541" spans="1:49" x14ac:dyDescent="0.25">
      <c r="A541" s="61">
        <v>2019</v>
      </c>
      <c r="B541" s="116"/>
      <c r="C541" s="116"/>
      <c r="D541" s="116"/>
      <c r="E541" s="116"/>
      <c r="F541" s="116"/>
      <c r="G541" s="116"/>
      <c r="H541" s="109"/>
      <c r="I541" s="109"/>
      <c r="J541" s="109"/>
      <c r="K541" s="109"/>
      <c r="L541" s="109"/>
      <c r="M541" s="109"/>
      <c r="N541" s="115">
        <f t="shared" ref="N541" si="1155">SUM(B541:G541)+SUM(H542:M542)</f>
        <v>0</v>
      </c>
      <c r="O541" s="115">
        <f>SUM(B541:M541)</f>
        <v>0</v>
      </c>
      <c r="R541" s="36"/>
      <c r="S541" s="61">
        <v>2019</v>
      </c>
      <c r="T541" s="35">
        <v>0</v>
      </c>
      <c r="U541" s="35">
        <v>0</v>
      </c>
      <c r="V541" s="35">
        <v>0</v>
      </c>
      <c r="W541" s="35">
        <v>0</v>
      </c>
      <c r="X541" s="35">
        <v>0</v>
      </c>
      <c r="Y541" s="35">
        <v>0</v>
      </c>
      <c r="Z541" s="35">
        <v>0</v>
      </c>
      <c r="AA541" s="35">
        <v>0</v>
      </c>
      <c r="AB541" s="35">
        <v>0</v>
      </c>
      <c r="AC541" s="35">
        <v>0</v>
      </c>
      <c r="AD541" s="35">
        <v>0</v>
      </c>
      <c r="AE541" s="35">
        <v>0</v>
      </c>
      <c r="AF541" s="85">
        <f>(SUM(Z542:AE542)+SUM(T541:Y541))/12</f>
        <v>0</v>
      </c>
      <c r="AG541" s="198">
        <f t="shared" si="1154"/>
        <v>0</v>
      </c>
      <c r="AJ541" s="61">
        <v>2019</v>
      </c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90"/>
    </row>
    <row r="544" spans="1:49" ht="60" x14ac:dyDescent="0.25">
      <c r="A544" s="165" t="s">
        <v>139</v>
      </c>
      <c r="B544" s="111" t="s">
        <v>0</v>
      </c>
      <c r="C544" s="111" t="s">
        <v>1</v>
      </c>
      <c r="D544" s="111" t="s">
        <v>2</v>
      </c>
      <c r="E544" s="111" t="s">
        <v>3</v>
      </c>
      <c r="F544" s="111" t="s">
        <v>4</v>
      </c>
      <c r="G544" s="111" t="s">
        <v>5</v>
      </c>
      <c r="H544" s="111" t="s">
        <v>6</v>
      </c>
      <c r="I544" s="111" t="s">
        <v>7</v>
      </c>
      <c r="J544" s="111" t="s">
        <v>8</v>
      </c>
      <c r="K544" s="111" t="s">
        <v>9</v>
      </c>
      <c r="L544" s="111" t="s">
        <v>10</v>
      </c>
      <c r="M544" s="111" t="s">
        <v>11</v>
      </c>
      <c r="N544" s="112" t="s">
        <v>78</v>
      </c>
      <c r="O544" s="112" t="s">
        <v>77</v>
      </c>
      <c r="P544" s="139" t="s">
        <v>162</v>
      </c>
      <c r="Q544" s="140" t="s">
        <v>72</v>
      </c>
      <c r="S544" s="165" t="s">
        <v>150</v>
      </c>
      <c r="T544" s="53" t="s">
        <v>0</v>
      </c>
      <c r="U544" s="53" t="s">
        <v>1</v>
      </c>
      <c r="V544" s="53" t="s">
        <v>2</v>
      </c>
      <c r="W544" s="53" t="s">
        <v>3</v>
      </c>
      <c r="X544" s="53" t="s">
        <v>4</v>
      </c>
      <c r="Y544" s="53" t="s">
        <v>5</v>
      </c>
      <c r="Z544" s="53" t="s">
        <v>6</v>
      </c>
      <c r="AA544" s="53" t="s">
        <v>7</v>
      </c>
      <c r="AB544" s="53" t="s">
        <v>8</v>
      </c>
      <c r="AC544" s="53" t="s">
        <v>9</v>
      </c>
      <c r="AD544" s="53" t="s">
        <v>10</v>
      </c>
      <c r="AE544" s="53" t="s">
        <v>11</v>
      </c>
      <c r="AF544" s="30" t="s">
        <v>164</v>
      </c>
      <c r="AG544" s="30" t="s">
        <v>167</v>
      </c>
      <c r="AH544" s="54"/>
      <c r="AJ544" s="165" t="s">
        <v>159</v>
      </c>
      <c r="AK544" s="173" t="s">
        <v>0</v>
      </c>
      <c r="AL544" s="173" t="s">
        <v>1</v>
      </c>
      <c r="AM544" s="173" t="s">
        <v>2</v>
      </c>
      <c r="AN544" s="173" t="s">
        <v>3</v>
      </c>
      <c r="AO544" s="173" t="s">
        <v>4</v>
      </c>
      <c r="AP544" s="173" t="s">
        <v>5</v>
      </c>
      <c r="AQ544" s="173" t="s">
        <v>6</v>
      </c>
      <c r="AR544" s="173" t="s">
        <v>7</v>
      </c>
      <c r="AS544" s="173" t="s">
        <v>8</v>
      </c>
      <c r="AT544" s="173" t="s">
        <v>9</v>
      </c>
      <c r="AU544" s="173" t="s">
        <v>10</v>
      </c>
      <c r="AV544" s="173" t="s">
        <v>11</v>
      </c>
      <c r="AW544" s="5" t="s">
        <v>49</v>
      </c>
    </row>
    <row r="545" spans="1:49" x14ac:dyDescent="0.25">
      <c r="A545" s="77">
        <v>2023</v>
      </c>
      <c r="B545" s="115">
        <v>0</v>
      </c>
      <c r="C545" s="115">
        <v>0</v>
      </c>
      <c r="D545" s="115">
        <v>0</v>
      </c>
      <c r="E545" s="115">
        <v>0</v>
      </c>
      <c r="F545" s="115">
        <v>0</v>
      </c>
      <c r="G545" s="115">
        <v>0</v>
      </c>
      <c r="H545" s="115">
        <v>0</v>
      </c>
      <c r="I545" s="115">
        <v>0</v>
      </c>
      <c r="J545" s="115">
        <v>0</v>
      </c>
      <c r="K545" s="115">
        <v>0</v>
      </c>
      <c r="L545" s="115">
        <v>0</v>
      </c>
      <c r="M545" s="115">
        <v>0</v>
      </c>
      <c r="N545" s="111"/>
      <c r="O545" s="112"/>
      <c r="P545" s="139"/>
      <c r="Q545" s="140"/>
      <c r="S545" s="77">
        <v>2023</v>
      </c>
      <c r="T545" s="162">
        <v>0</v>
      </c>
      <c r="U545" s="162">
        <v>0</v>
      </c>
      <c r="V545" s="162">
        <v>0</v>
      </c>
      <c r="W545" s="162">
        <v>0</v>
      </c>
      <c r="X545" s="162">
        <v>0</v>
      </c>
      <c r="Y545" s="162">
        <v>0</v>
      </c>
      <c r="Z545" s="162">
        <v>0</v>
      </c>
      <c r="AA545" s="162">
        <v>0</v>
      </c>
      <c r="AB545" s="162">
        <v>0</v>
      </c>
      <c r="AC545" s="162">
        <v>0</v>
      </c>
      <c r="AD545" s="162">
        <v>0</v>
      </c>
      <c r="AE545" s="162">
        <v>571</v>
      </c>
      <c r="AF545" s="96">
        <f>(SUM(Z546:AE546)+SUM(T545:Y545))/12</f>
        <v>0</v>
      </c>
      <c r="AG545" s="307">
        <f>SUM(T545:AE545)/1</f>
        <v>571</v>
      </c>
      <c r="AH545" s="54"/>
      <c r="AJ545" s="77">
        <v>2023</v>
      </c>
      <c r="AK545" s="174">
        <v>0</v>
      </c>
      <c r="AL545" s="174">
        <v>0</v>
      </c>
      <c r="AM545" s="174">
        <v>0</v>
      </c>
      <c r="AN545" s="174">
        <v>0</v>
      </c>
      <c r="AO545" s="174">
        <v>0</v>
      </c>
      <c r="AP545" s="174">
        <v>0</v>
      </c>
      <c r="AQ545" s="174">
        <v>0</v>
      </c>
      <c r="AR545" s="174">
        <v>0</v>
      </c>
      <c r="AS545" s="174">
        <v>0</v>
      </c>
      <c r="AT545" s="174">
        <v>0</v>
      </c>
      <c r="AU545" s="174">
        <v>0</v>
      </c>
      <c r="AV545" s="174">
        <f t="shared" ref="AV545" si="1156">M545/AE545</f>
        <v>0</v>
      </c>
      <c r="AW545" s="90">
        <f t="shared" ref="AW545" si="1157">(SUM(AK545:AP545)+SUM(AQ546:AV546))/365.25</f>
        <v>0</v>
      </c>
    </row>
    <row r="546" spans="1:49" x14ac:dyDescent="0.25">
      <c r="A546" s="61">
        <v>2022</v>
      </c>
      <c r="B546" s="109"/>
      <c r="C546" s="109"/>
      <c r="D546" s="109"/>
      <c r="E546" s="109"/>
      <c r="F546" s="109"/>
      <c r="G546" s="109"/>
      <c r="H546" s="111"/>
      <c r="I546" s="111"/>
      <c r="J546" s="111"/>
      <c r="K546" s="111"/>
      <c r="L546" s="111"/>
      <c r="M546" s="111"/>
      <c r="N546" s="115">
        <f t="shared" ref="N546:N547" si="1158">SUM(B546:G546)+SUM(H547:M547)</f>
        <v>0</v>
      </c>
      <c r="O546" s="112"/>
      <c r="P546" s="113"/>
      <c r="Q546" s="114"/>
      <c r="S546" s="61">
        <v>2022</v>
      </c>
      <c r="T546" s="190">
        <v>0</v>
      </c>
      <c r="U546" s="190">
        <v>0</v>
      </c>
      <c r="V546" s="190">
        <v>0</v>
      </c>
      <c r="W546" s="190">
        <v>0</v>
      </c>
      <c r="X546" s="190">
        <v>0</v>
      </c>
      <c r="Y546" s="190">
        <v>0</v>
      </c>
      <c r="Z546" s="190">
        <v>0</v>
      </c>
      <c r="AA546" s="190">
        <v>0</v>
      </c>
      <c r="AB546" s="190">
        <v>0</v>
      </c>
      <c r="AC546" s="190">
        <v>0</v>
      </c>
      <c r="AD546" s="190">
        <v>0</v>
      </c>
      <c r="AE546" s="190">
        <v>0</v>
      </c>
      <c r="AF546" s="96">
        <f>(SUM(Z547:AE547)+SUM(T546:Y546))/12</f>
        <v>0</v>
      </c>
      <c r="AG546" s="83">
        <f t="shared" ref="AG546:AG549" si="1159">SUM(T546:AE546)/12</f>
        <v>0</v>
      </c>
      <c r="AH546" s="54"/>
      <c r="AJ546" s="61">
        <v>2022</v>
      </c>
      <c r="AK546" s="174"/>
      <c r="AL546" s="174"/>
      <c r="AM546" s="174"/>
      <c r="AN546" s="174"/>
      <c r="AO546" s="174"/>
      <c r="AP546" s="174"/>
      <c r="AQ546" s="174"/>
      <c r="AR546" s="174"/>
      <c r="AS546" s="174"/>
      <c r="AT546" s="174"/>
      <c r="AU546" s="174"/>
      <c r="AV546" s="174"/>
      <c r="AW546" s="90"/>
    </row>
    <row r="547" spans="1:49" x14ac:dyDescent="0.25">
      <c r="A547" s="61">
        <v>2021</v>
      </c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15">
        <f t="shared" si="1158"/>
        <v>0</v>
      </c>
      <c r="O547" s="115">
        <f t="shared" ref="O547:O548" si="1160">SUM(B547:M547)</f>
        <v>0</v>
      </c>
      <c r="P547" s="113"/>
      <c r="Q547" s="114"/>
      <c r="S547" s="61">
        <v>2021</v>
      </c>
      <c r="T547" s="190">
        <v>0</v>
      </c>
      <c r="U547" s="190">
        <v>0</v>
      </c>
      <c r="V547" s="190">
        <v>0</v>
      </c>
      <c r="W547" s="190">
        <v>0</v>
      </c>
      <c r="X547" s="190">
        <v>0</v>
      </c>
      <c r="Y547" s="190">
        <v>0</v>
      </c>
      <c r="Z547" s="190">
        <v>0</v>
      </c>
      <c r="AA547" s="190">
        <v>0</v>
      </c>
      <c r="AB547" s="190">
        <v>0</v>
      </c>
      <c r="AC547" s="190">
        <v>0</v>
      </c>
      <c r="AD547" s="190">
        <v>0</v>
      </c>
      <c r="AE547" s="190">
        <v>0</v>
      </c>
      <c r="AF547" s="96">
        <f>(SUM(Z548:AE548)+SUM(T547:Y547))/12</f>
        <v>0</v>
      </c>
      <c r="AG547" s="83">
        <f t="shared" si="1159"/>
        <v>0</v>
      </c>
      <c r="AH547" s="54"/>
      <c r="AJ547" s="61">
        <v>2021</v>
      </c>
      <c r="AK547" s="174"/>
      <c r="AL547" s="174"/>
      <c r="AM547" s="174"/>
      <c r="AN547" s="174"/>
      <c r="AO547" s="174"/>
      <c r="AP547" s="174"/>
      <c r="AQ547" s="174"/>
      <c r="AR547" s="174"/>
      <c r="AS547" s="174"/>
      <c r="AT547" s="174"/>
      <c r="AU547" s="174"/>
      <c r="AV547" s="174"/>
      <c r="AW547" s="90"/>
    </row>
    <row r="548" spans="1:49" x14ac:dyDescent="0.25">
      <c r="A548" s="61">
        <v>2020</v>
      </c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15">
        <f>SUM(B548:G548)+SUM(H549:M549)</f>
        <v>0</v>
      </c>
      <c r="O548" s="115">
        <f t="shared" si="1160"/>
        <v>0</v>
      </c>
      <c r="S548" s="61">
        <v>2020</v>
      </c>
      <c r="T548" s="190">
        <v>0</v>
      </c>
      <c r="U548" s="190">
        <v>0</v>
      </c>
      <c r="V548" s="190">
        <v>0</v>
      </c>
      <c r="W548" s="190">
        <v>0</v>
      </c>
      <c r="X548" s="190">
        <v>0</v>
      </c>
      <c r="Y548" s="190">
        <v>0</v>
      </c>
      <c r="Z548" s="190">
        <v>0</v>
      </c>
      <c r="AA548" s="190">
        <v>0</v>
      </c>
      <c r="AB548" s="190">
        <v>0</v>
      </c>
      <c r="AC548" s="190">
        <v>0</v>
      </c>
      <c r="AD548" s="190">
        <v>0</v>
      </c>
      <c r="AE548" s="190">
        <v>0</v>
      </c>
      <c r="AF548" s="96">
        <f>(SUM(Z549:AE549)+SUM(T548:Y548))/12</f>
        <v>0</v>
      </c>
      <c r="AG548" s="83">
        <f t="shared" si="1159"/>
        <v>0</v>
      </c>
      <c r="AJ548" s="61">
        <v>2020</v>
      </c>
      <c r="AK548" s="99"/>
      <c r="AL548" s="99"/>
      <c r="AM548" s="99"/>
      <c r="AN548" s="99"/>
      <c r="AO548" s="99"/>
      <c r="AP548" s="99"/>
      <c r="AQ548" s="99"/>
      <c r="AR548" s="99"/>
      <c r="AS548" s="99"/>
      <c r="AT548" s="99"/>
      <c r="AU548" s="99"/>
      <c r="AV548" s="99"/>
      <c r="AW548" s="90"/>
    </row>
    <row r="549" spans="1:49" x14ac:dyDescent="0.25">
      <c r="A549" s="61">
        <v>2019</v>
      </c>
      <c r="B549" s="116"/>
      <c r="C549" s="116"/>
      <c r="D549" s="116"/>
      <c r="E549" s="116"/>
      <c r="F549" s="116"/>
      <c r="G549" s="116"/>
      <c r="H549" s="109"/>
      <c r="I549" s="109"/>
      <c r="J549" s="109"/>
      <c r="K549" s="109"/>
      <c r="L549" s="109"/>
      <c r="M549" s="109"/>
      <c r="N549" s="115">
        <f t="shared" ref="N549" si="1161">SUM(B549:G549)+SUM(H550:M550)</f>
        <v>0</v>
      </c>
      <c r="O549" s="115">
        <f>SUM(B549:M549)</f>
        <v>0</v>
      </c>
      <c r="R549" s="36"/>
      <c r="S549" s="61">
        <v>2019</v>
      </c>
      <c r="T549" s="35">
        <v>0</v>
      </c>
      <c r="U549" s="35">
        <v>0</v>
      </c>
      <c r="V549" s="35">
        <v>0</v>
      </c>
      <c r="W549" s="35">
        <v>0</v>
      </c>
      <c r="X549" s="35">
        <v>0</v>
      </c>
      <c r="Y549" s="35">
        <v>0</v>
      </c>
      <c r="Z549" s="35">
        <v>0</v>
      </c>
      <c r="AA549" s="35">
        <v>0</v>
      </c>
      <c r="AB549" s="35">
        <v>0</v>
      </c>
      <c r="AC549" s="35">
        <v>0</v>
      </c>
      <c r="AD549" s="35">
        <v>0</v>
      </c>
      <c r="AE549" s="35">
        <v>0</v>
      </c>
      <c r="AF549" s="85">
        <f>(SUM(Z550:AE550)+SUM(T549:Y549))/12</f>
        <v>0</v>
      </c>
      <c r="AG549" s="83">
        <f t="shared" si="1159"/>
        <v>0</v>
      </c>
      <c r="AJ549" s="61">
        <v>2019</v>
      </c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90"/>
    </row>
    <row r="552" spans="1:49" ht="75" x14ac:dyDescent="0.25">
      <c r="A552" s="75" t="s">
        <v>151</v>
      </c>
      <c r="B552" s="111" t="s">
        <v>0</v>
      </c>
      <c r="C552" s="111" t="s">
        <v>1</v>
      </c>
      <c r="D552" s="111" t="s">
        <v>2</v>
      </c>
      <c r="E552" s="111" t="s">
        <v>3</v>
      </c>
      <c r="F552" s="111" t="s">
        <v>4</v>
      </c>
      <c r="G552" s="111" t="s">
        <v>5</v>
      </c>
      <c r="H552" s="111" t="s">
        <v>6</v>
      </c>
      <c r="I552" s="111" t="s">
        <v>7</v>
      </c>
      <c r="J552" s="111" t="s">
        <v>8</v>
      </c>
      <c r="K552" s="111" t="s">
        <v>9</v>
      </c>
      <c r="L552" s="111" t="s">
        <v>10</v>
      </c>
      <c r="M552" s="111" t="s">
        <v>11</v>
      </c>
      <c r="N552" s="112" t="s">
        <v>78</v>
      </c>
      <c r="O552" s="112" t="s">
        <v>77</v>
      </c>
      <c r="P552" s="139" t="s">
        <v>162</v>
      </c>
      <c r="Q552" s="140" t="s">
        <v>72</v>
      </c>
      <c r="S552" s="40" t="s">
        <v>161</v>
      </c>
      <c r="T552" s="53" t="s">
        <v>0</v>
      </c>
      <c r="U552" s="53" t="s">
        <v>1</v>
      </c>
      <c r="V552" s="53" t="s">
        <v>2</v>
      </c>
      <c r="W552" s="53" t="s">
        <v>3</v>
      </c>
      <c r="X552" s="53" t="s">
        <v>4</v>
      </c>
      <c r="Y552" s="53" t="s">
        <v>5</v>
      </c>
      <c r="Z552" s="53" t="s">
        <v>6</v>
      </c>
      <c r="AA552" s="53" t="s">
        <v>7</v>
      </c>
      <c r="AB552" s="53" t="s">
        <v>8</v>
      </c>
      <c r="AC552" s="53" t="s">
        <v>9</v>
      </c>
      <c r="AD552" s="53" t="s">
        <v>10</v>
      </c>
      <c r="AE552" s="53" t="s">
        <v>11</v>
      </c>
      <c r="AF552" s="30" t="s">
        <v>164</v>
      </c>
      <c r="AG552" s="30" t="s">
        <v>167</v>
      </c>
      <c r="AH552" s="54"/>
      <c r="AJ552" s="40" t="s">
        <v>160</v>
      </c>
      <c r="AK552" s="173" t="s">
        <v>0</v>
      </c>
      <c r="AL552" s="173" t="s">
        <v>1</v>
      </c>
      <c r="AM552" s="173" t="s">
        <v>2</v>
      </c>
      <c r="AN552" s="173" t="s">
        <v>3</v>
      </c>
      <c r="AO552" s="173" t="s">
        <v>4</v>
      </c>
      <c r="AP552" s="173" t="s">
        <v>5</v>
      </c>
      <c r="AQ552" s="173" t="s">
        <v>6</v>
      </c>
      <c r="AR552" s="173" t="s">
        <v>7</v>
      </c>
      <c r="AS552" s="173" t="s">
        <v>8</v>
      </c>
      <c r="AT552" s="173" t="s">
        <v>9</v>
      </c>
      <c r="AU552" s="173" t="s">
        <v>10</v>
      </c>
      <c r="AV552" s="173" t="s">
        <v>11</v>
      </c>
      <c r="AW552" s="5" t="s">
        <v>49</v>
      </c>
    </row>
    <row r="553" spans="1:49" x14ac:dyDescent="0.25">
      <c r="A553" s="77">
        <v>2023</v>
      </c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2"/>
      <c r="P553" s="139"/>
      <c r="Q553" s="140"/>
      <c r="S553" s="77">
        <v>2023</v>
      </c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30"/>
      <c r="AG553" s="54"/>
      <c r="AH553" s="54"/>
      <c r="AJ553" s="77">
        <v>2023</v>
      </c>
      <c r="AK553" s="173"/>
      <c r="AL553" s="173"/>
      <c r="AM553" s="173"/>
      <c r="AN553" s="173"/>
      <c r="AO553" s="173"/>
      <c r="AP553" s="173"/>
      <c r="AQ553" s="173"/>
      <c r="AR553" s="173"/>
      <c r="AS553" s="173"/>
      <c r="AT553" s="173"/>
      <c r="AU553" s="173"/>
      <c r="AV553" s="173"/>
      <c r="AW553" s="5"/>
    </row>
    <row r="554" spans="1:49" x14ac:dyDescent="0.25">
      <c r="A554" s="61">
        <v>2022</v>
      </c>
      <c r="B554" s="109"/>
      <c r="C554" s="109"/>
      <c r="D554" s="109"/>
      <c r="E554" s="109"/>
      <c r="F554" s="109"/>
      <c r="G554" s="109"/>
      <c r="H554" s="111"/>
      <c r="I554" s="111"/>
      <c r="J554" s="111"/>
      <c r="K554" s="111"/>
      <c r="L554" s="111"/>
      <c r="M554" s="111"/>
      <c r="N554" s="115">
        <f t="shared" ref="N554:N555" si="1162">SUM(B554:G554)+SUM(H555:M555)</f>
        <v>0</v>
      </c>
      <c r="O554" s="112"/>
      <c r="P554" s="113"/>
      <c r="Q554" s="114"/>
      <c r="S554" s="61">
        <v>2022</v>
      </c>
      <c r="T554" s="109"/>
      <c r="U554" s="109"/>
      <c r="V554" s="109"/>
      <c r="W554" s="109"/>
      <c r="X554" s="109"/>
      <c r="Y554" s="109"/>
      <c r="Z554" s="53"/>
      <c r="AA554" s="53"/>
      <c r="AB554" s="53"/>
      <c r="AC554" s="53"/>
      <c r="AD554" s="53"/>
      <c r="AE554" s="53"/>
      <c r="AF554" s="96">
        <f>(SUM(Z555:AE555)+SUM(T554:Y554))/12</f>
        <v>0</v>
      </c>
      <c r="AG554" s="54"/>
      <c r="AH554" s="54"/>
      <c r="AJ554" s="61">
        <v>2022</v>
      </c>
      <c r="AK554" s="174"/>
      <c r="AL554" s="174"/>
      <c r="AM554" s="174"/>
      <c r="AN554" s="174"/>
      <c r="AO554" s="174"/>
      <c r="AP554" s="174"/>
      <c r="AQ554" s="174"/>
      <c r="AR554" s="174"/>
      <c r="AS554" s="174"/>
      <c r="AT554" s="174"/>
      <c r="AU554" s="174"/>
      <c r="AV554" s="174"/>
      <c r="AW554" s="90"/>
    </row>
    <row r="555" spans="1:49" x14ac:dyDescent="0.25">
      <c r="A555" s="61">
        <v>2021</v>
      </c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15">
        <f t="shared" si="1162"/>
        <v>0</v>
      </c>
      <c r="O555" s="115">
        <f t="shared" ref="O555:O556" si="1163">SUM(B555:M555)</f>
        <v>0</v>
      </c>
      <c r="P555" s="113"/>
      <c r="Q555" s="114"/>
      <c r="S555" s="61">
        <v>2021</v>
      </c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96">
        <f>(SUM(Z556:AE556)+SUM(T555:Y555))/12</f>
        <v>0</v>
      </c>
      <c r="AG555" s="54"/>
      <c r="AH555" s="54"/>
      <c r="AJ555" s="61">
        <v>2021</v>
      </c>
      <c r="AK555" s="174"/>
      <c r="AL555" s="174"/>
      <c r="AM555" s="174"/>
      <c r="AN555" s="174"/>
      <c r="AO555" s="174"/>
      <c r="AP555" s="174"/>
      <c r="AQ555" s="174"/>
      <c r="AR555" s="174"/>
      <c r="AS555" s="174"/>
      <c r="AT555" s="174"/>
      <c r="AU555" s="174"/>
      <c r="AV555" s="174"/>
      <c r="AW555" s="90"/>
    </row>
    <row r="556" spans="1:49" x14ac:dyDescent="0.25">
      <c r="A556" s="61">
        <v>2020</v>
      </c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15">
        <f>SUM(B556:G556)+SUM(H557:M557)</f>
        <v>0</v>
      </c>
      <c r="O556" s="115">
        <f t="shared" si="1163"/>
        <v>0</v>
      </c>
      <c r="S556" s="61">
        <v>2020</v>
      </c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96">
        <f>(SUM(Z557:AE557)+SUM(T556:Y556))/12</f>
        <v>0</v>
      </c>
      <c r="AJ556" s="61">
        <v>2020</v>
      </c>
      <c r="AK556" s="99"/>
      <c r="AL556" s="99"/>
      <c r="AM556" s="99"/>
      <c r="AN556" s="99"/>
      <c r="AO556" s="99"/>
      <c r="AP556" s="99"/>
      <c r="AQ556" s="99"/>
      <c r="AR556" s="99"/>
      <c r="AS556" s="99"/>
      <c r="AT556" s="99"/>
      <c r="AU556" s="99"/>
      <c r="AV556" s="99"/>
      <c r="AW556" s="90"/>
    </row>
    <row r="557" spans="1:49" x14ac:dyDescent="0.25">
      <c r="A557" s="61">
        <v>2019</v>
      </c>
      <c r="B557" s="116"/>
      <c r="C557" s="116"/>
      <c r="D557" s="116"/>
      <c r="E557" s="116"/>
      <c r="F557" s="116"/>
      <c r="G557" s="116"/>
      <c r="H557" s="109"/>
      <c r="I557" s="109"/>
      <c r="J557" s="109"/>
      <c r="K557" s="109"/>
      <c r="L557" s="109"/>
      <c r="M557" s="109"/>
      <c r="N557" s="115">
        <f t="shared" ref="N557" si="1164">SUM(B557:G557)+SUM(H558:M558)</f>
        <v>0</v>
      </c>
      <c r="O557" s="115">
        <f>SUM(B557:M557)</f>
        <v>0</v>
      </c>
      <c r="R557" s="36"/>
      <c r="S557" s="61">
        <v>2019</v>
      </c>
      <c r="T557" s="35"/>
      <c r="U557" s="35"/>
      <c r="V557" s="35"/>
      <c r="W557" s="35"/>
      <c r="X557" s="35"/>
      <c r="Y557" s="35"/>
      <c r="Z557" s="109"/>
      <c r="AA557" s="109"/>
      <c r="AB557" s="109"/>
      <c r="AC557" s="109"/>
      <c r="AD557" s="109"/>
      <c r="AE557" s="109"/>
      <c r="AF557" s="85">
        <f>(SUM(Z558:AE558)+SUM(T557:Y557))/12</f>
        <v>0</v>
      </c>
      <c r="AJ557" s="61">
        <v>2019</v>
      </c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90"/>
    </row>
  </sheetData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99"/>
  <sheetViews>
    <sheetView zoomScale="80" zoomScaleNormal="80" workbookViewId="0">
      <selection activeCell="M1" sqref="M1"/>
    </sheetView>
  </sheetViews>
  <sheetFormatPr defaultRowHeight="15" x14ac:dyDescent="0.25"/>
  <cols>
    <col min="1" max="1" width="20.28515625" style="15" customWidth="1"/>
    <col min="2" max="2" width="13.85546875" style="52" customWidth="1"/>
    <col min="3" max="3" width="0.7109375" style="52" customWidth="1"/>
    <col min="4" max="4" width="9.7109375" style="7" customWidth="1"/>
    <col min="5" max="5" width="10.5703125" style="7" customWidth="1"/>
    <col min="6" max="6" width="11" style="7" customWidth="1"/>
    <col min="7" max="7" width="15.5703125" style="7" customWidth="1"/>
    <col min="8" max="8" width="9.85546875" style="7" customWidth="1"/>
    <col min="9" max="9" width="9.5703125" style="7" customWidth="1"/>
    <col min="10" max="10" width="10.140625" style="7" customWidth="1"/>
    <col min="11" max="12" width="9.85546875" style="7" customWidth="1"/>
    <col min="13" max="13" width="10.42578125" style="7" customWidth="1"/>
    <col min="14" max="14" width="11.28515625" style="7" customWidth="1"/>
    <col min="15" max="15" width="9.7109375" style="7" customWidth="1"/>
    <col min="16" max="16" width="0.85546875" style="29" customWidth="1"/>
    <col min="17" max="17" width="0.7109375" style="25" customWidth="1"/>
    <col min="18" max="18" width="20.7109375" customWidth="1"/>
    <col min="19" max="19" width="20" style="4" customWidth="1"/>
    <col min="20" max="20" width="13.5703125" style="4" customWidth="1"/>
    <col min="21" max="21" width="8.85546875" customWidth="1"/>
    <col min="22" max="22" width="12.85546875" style="4" customWidth="1"/>
    <col min="23" max="23" width="13.140625" customWidth="1"/>
    <col min="24" max="24" width="15.140625" customWidth="1"/>
    <col min="25" max="25" width="19.42578125" customWidth="1"/>
    <col min="26" max="26" width="10" style="4" bestFit="1" customWidth="1"/>
    <col min="27" max="27" width="12.140625" customWidth="1"/>
    <col min="30" max="30" width="17.42578125" customWidth="1"/>
  </cols>
  <sheetData>
    <row r="1" spans="1:43" ht="47.25" customHeight="1" x14ac:dyDescent="0.25">
      <c r="A1" s="161" t="s">
        <v>14</v>
      </c>
      <c r="B1" s="53"/>
      <c r="C1" s="53"/>
      <c r="D1" s="18"/>
      <c r="E1" s="18"/>
      <c r="F1" s="54"/>
      <c r="G1" s="293" t="s">
        <v>167</v>
      </c>
      <c r="H1" s="54"/>
      <c r="I1" s="18"/>
      <c r="J1" s="18"/>
      <c r="K1" s="18"/>
      <c r="L1" s="18"/>
      <c r="M1" s="18" t="s">
        <v>198</v>
      </c>
      <c r="N1" s="18"/>
      <c r="P1" s="26"/>
      <c r="Q1" s="21"/>
      <c r="S1" s="39" t="s">
        <v>100</v>
      </c>
      <c r="T1" s="5"/>
      <c r="U1" s="5"/>
      <c r="V1" s="5"/>
      <c r="W1" s="30" t="s">
        <v>117</v>
      </c>
      <c r="X1" s="5" t="s">
        <v>119</v>
      </c>
      <c r="Y1" s="30" t="s">
        <v>118</v>
      </c>
      <c r="Z1" s="5"/>
      <c r="AA1" s="30"/>
      <c r="AB1" s="5"/>
      <c r="AC1" s="2"/>
      <c r="AD1" s="2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18" customHeight="1" x14ac:dyDescent="0.25">
      <c r="A2" s="195">
        <v>2023</v>
      </c>
      <c r="B2" s="191">
        <f>'Usage &amp; Cust. Count'!O3</f>
        <v>24374577.617999997</v>
      </c>
      <c r="C2" s="191"/>
      <c r="D2" s="201"/>
      <c r="E2" s="201"/>
      <c r="F2" s="197"/>
      <c r="G2" s="197">
        <f>'Usage &amp; Cust. Count'!AG3</f>
        <v>322271.16666666669</v>
      </c>
      <c r="H2" s="197"/>
      <c r="I2" s="201"/>
      <c r="J2" s="201"/>
      <c r="K2" s="201">
        <f t="shared" ref="K2:K8" si="0">G2+G26</f>
        <v>322284.5</v>
      </c>
      <c r="L2" s="18"/>
      <c r="M2" s="18"/>
      <c r="N2" s="18"/>
      <c r="P2" s="26"/>
      <c r="Q2" s="21"/>
      <c r="R2" s="195">
        <v>2023</v>
      </c>
      <c r="S2" s="209">
        <f t="shared" ref="S2:S8" si="1">SUM((B2+B26))</f>
        <v>24375151.817999996</v>
      </c>
      <c r="T2" s="33">
        <f t="shared" ref="T2:T16" si="2">S2-S3</f>
        <v>281233.92801172286</v>
      </c>
      <c r="U2" s="5"/>
      <c r="V2" s="5"/>
      <c r="W2" s="70">
        <f>(S2/K2)*1000</f>
        <v>75632.40496517827</v>
      </c>
      <c r="X2" s="36">
        <f t="shared" ref="X2:X11" si="3">W2-W3</f>
        <v>317.3957868116122</v>
      </c>
      <c r="Y2" s="36">
        <f>X2/12</f>
        <v>26.449648900967684</v>
      </c>
      <c r="Z2" s="210">
        <f>SUM(X2+X4+X5+X7+X8+X9+X10+X3+X6+X11)</f>
        <v>-9548.3095837488072</v>
      </c>
      <c r="AA2" s="211"/>
      <c r="AB2" s="5"/>
      <c r="AC2" s="2"/>
      <c r="AD2" s="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17.25" customHeight="1" x14ac:dyDescent="0.25">
      <c r="A3" s="195">
        <v>2022</v>
      </c>
      <c r="B3" s="191">
        <f>'Usage &amp; Cust. Count'!O4</f>
        <v>24070381.239988275</v>
      </c>
      <c r="C3" s="191"/>
      <c r="D3" s="201"/>
      <c r="E3" s="201"/>
      <c r="F3" s="197"/>
      <c r="G3" s="197">
        <f>'Usage &amp; Cust. Count'!AG4</f>
        <v>319745.16666666669</v>
      </c>
      <c r="H3" s="197"/>
      <c r="I3" s="201"/>
      <c r="J3" s="201"/>
      <c r="K3" s="201">
        <f t="shared" si="0"/>
        <v>319908.58333333337</v>
      </c>
      <c r="L3" s="18"/>
      <c r="M3" s="18"/>
      <c r="N3" s="18"/>
      <c r="P3" s="26"/>
      <c r="Q3" s="21"/>
      <c r="R3" s="195">
        <v>2022</v>
      </c>
      <c r="S3" s="209">
        <f t="shared" si="1"/>
        <v>24093917.889988273</v>
      </c>
      <c r="T3" s="33">
        <f t="shared" si="2"/>
        <v>733269.05189019814</v>
      </c>
      <c r="U3" s="5"/>
      <c r="V3" s="5"/>
      <c r="W3" s="70">
        <f t="shared" ref="W3:W12" si="4">(S3/K3)*1000</f>
        <v>75315.009178366658</v>
      </c>
      <c r="X3" s="201">
        <f t="shared" si="3"/>
        <v>1917.110758745388</v>
      </c>
      <c r="Y3" s="36">
        <f t="shared" ref="Y3:Y11" si="5">X3/12</f>
        <v>159.75922989544901</v>
      </c>
      <c r="Z3" s="70"/>
      <c r="AA3" s="172"/>
      <c r="AB3" s="5"/>
      <c r="AC3" s="2"/>
      <c r="AD3" s="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6.5" customHeight="1" x14ac:dyDescent="0.25">
      <c r="A4" s="196">
        <v>2021</v>
      </c>
      <c r="B4" s="191">
        <f>'Usage &amp; Cust. Count'!O5</f>
        <v>23339993.238098074</v>
      </c>
      <c r="C4" s="191"/>
      <c r="D4" s="201"/>
      <c r="E4" s="201"/>
      <c r="F4" s="197"/>
      <c r="G4" s="197">
        <f>'Usage &amp; Cust. Count'!AG5</f>
        <v>318117.75</v>
      </c>
      <c r="H4" s="197"/>
      <c r="I4" s="201"/>
      <c r="J4" s="201"/>
      <c r="K4" s="201">
        <f t="shared" si="0"/>
        <v>318274.08333333331</v>
      </c>
      <c r="L4" s="18"/>
      <c r="M4" s="18"/>
      <c r="N4" s="18"/>
      <c r="P4" s="26"/>
      <c r="Q4" s="21"/>
      <c r="R4" s="196">
        <v>2021</v>
      </c>
      <c r="S4" s="209">
        <f t="shared" si="1"/>
        <v>23360648.838098075</v>
      </c>
      <c r="T4" s="31">
        <f t="shared" si="2"/>
        <v>-1158309.7669019252</v>
      </c>
      <c r="U4" s="5"/>
      <c r="V4" s="5"/>
      <c r="W4" s="70">
        <f t="shared" si="4"/>
        <v>73397.89841962127</v>
      </c>
      <c r="X4" s="32">
        <f t="shared" si="3"/>
        <v>-3782.7436045364739</v>
      </c>
      <c r="Y4" s="32">
        <f t="shared" si="5"/>
        <v>-315.22863371137282</v>
      </c>
      <c r="Z4" s="210">
        <f>SUM(X2+X3+X4+X5+X6)</f>
        <v>-7035.2895545363863</v>
      </c>
      <c r="AA4" s="88"/>
      <c r="AB4" s="5"/>
      <c r="AC4" s="2"/>
      <c r="AD4" s="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15.75" customHeight="1" x14ac:dyDescent="0.25">
      <c r="A5" s="196">
        <v>2020</v>
      </c>
      <c r="B5" s="191">
        <f>'Usage &amp; Cust. Count'!O6</f>
        <v>24496555.993999999</v>
      </c>
      <c r="C5" s="191"/>
      <c r="D5" s="201"/>
      <c r="E5" s="201"/>
      <c r="F5" s="197"/>
      <c r="G5" s="197">
        <f>'Usage &amp; Cust. Count'!AG6</f>
        <v>317535.83333333331</v>
      </c>
      <c r="H5" s="197"/>
      <c r="I5" s="201"/>
      <c r="J5" s="201"/>
      <c r="K5" s="201">
        <f t="shared" si="0"/>
        <v>317682.75</v>
      </c>
      <c r="L5" s="18"/>
      <c r="M5" s="18"/>
      <c r="N5" s="18"/>
      <c r="P5" s="26"/>
      <c r="Q5" s="21"/>
      <c r="R5" s="196">
        <v>2020</v>
      </c>
      <c r="S5" s="209">
        <f t="shared" si="1"/>
        <v>24518958.605</v>
      </c>
      <c r="T5" s="33">
        <f t="shared" si="2"/>
        <v>1607190.6059999987</v>
      </c>
      <c r="U5" s="5"/>
      <c r="V5" s="5"/>
      <c r="W5" s="70">
        <f t="shared" si="4"/>
        <v>77180.642024157743</v>
      </c>
      <c r="X5" s="32">
        <f t="shared" si="3"/>
        <v>4873.3011578568112</v>
      </c>
      <c r="Y5" s="32">
        <f t="shared" si="5"/>
        <v>406.10842982140093</v>
      </c>
      <c r="Z5" s="210"/>
      <c r="AA5" s="172"/>
      <c r="AB5" s="5"/>
      <c r="AC5" s="2"/>
      <c r="AD5" s="2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17.25" customHeight="1" x14ac:dyDescent="0.25">
      <c r="A6" s="5">
        <v>2019</v>
      </c>
      <c r="B6" s="191">
        <f>'Usage &amp; Cust. Count'!O7</f>
        <v>22896465.399</v>
      </c>
      <c r="C6" s="191"/>
      <c r="D6" s="201"/>
      <c r="E6" s="201"/>
      <c r="F6" s="197"/>
      <c r="G6" s="197">
        <f>'Usage &amp; Cust. Count'!AG7</f>
        <v>316728.33333333331</v>
      </c>
      <c r="H6" s="197"/>
      <c r="I6" s="201"/>
      <c r="J6" s="201"/>
      <c r="K6" s="201">
        <f t="shared" si="0"/>
        <v>316866.41666666663</v>
      </c>
      <c r="L6" s="18"/>
      <c r="M6" s="18"/>
      <c r="N6" s="18"/>
      <c r="P6" s="26"/>
      <c r="Q6" s="21"/>
      <c r="R6" s="5">
        <v>2019</v>
      </c>
      <c r="S6" s="167">
        <f t="shared" si="1"/>
        <v>22911767.999000002</v>
      </c>
      <c r="T6" s="31">
        <f t="shared" si="2"/>
        <v>-3248630.6009999998</v>
      </c>
      <c r="U6" s="5"/>
      <c r="V6" s="107"/>
      <c r="W6" s="70">
        <f t="shared" si="4"/>
        <v>72307.340866300932</v>
      </c>
      <c r="X6" s="201">
        <f t="shared" si="3"/>
        <v>-10360.353653413724</v>
      </c>
      <c r="Y6" s="36">
        <f t="shared" si="5"/>
        <v>-863.36280445114369</v>
      </c>
      <c r="Z6" s="70"/>
      <c r="AA6" s="172"/>
      <c r="AB6" s="5"/>
      <c r="AC6" s="2"/>
      <c r="AD6" s="2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18" customHeight="1" thickBot="1" x14ac:dyDescent="0.3">
      <c r="A7" s="5">
        <v>2018</v>
      </c>
      <c r="B7" s="191">
        <f>'Usage &amp; Cust. Count'!O8</f>
        <v>26141816.100000001</v>
      </c>
      <c r="C7" s="191"/>
      <c r="D7" s="201"/>
      <c r="E7" s="201"/>
      <c r="F7" s="197"/>
      <c r="G7" s="197">
        <f>'Usage &amp; Cust. Count'!AG8</f>
        <v>316321.08333333331</v>
      </c>
      <c r="H7" s="197"/>
      <c r="I7" s="201"/>
      <c r="J7" s="201"/>
      <c r="K7" s="201">
        <f t="shared" si="0"/>
        <v>316452.5</v>
      </c>
      <c r="L7" s="18"/>
      <c r="M7" s="186" t="s">
        <v>121</v>
      </c>
      <c r="N7" s="18"/>
      <c r="P7" s="26"/>
      <c r="Q7" s="21"/>
      <c r="R7" s="5">
        <v>2018</v>
      </c>
      <c r="S7" s="206">
        <f t="shared" si="1"/>
        <v>26160398.600000001</v>
      </c>
      <c r="T7" s="33">
        <f t="shared" si="2"/>
        <v>137899.32800000161</v>
      </c>
      <c r="U7" s="5"/>
      <c r="V7" s="5"/>
      <c r="W7" s="70">
        <f t="shared" si="4"/>
        <v>82667.694519714656</v>
      </c>
      <c r="X7" s="36">
        <f t="shared" si="3"/>
        <v>202.23107261752011</v>
      </c>
      <c r="Y7" s="36">
        <f t="shared" si="5"/>
        <v>16.852589384793344</v>
      </c>
      <c r="Z7" s="210"/>
      <c r="AA7" s="172"/>
      <c r="AB7" s="5"/>
      <c r="AC7" s="2"/>
      <c r="AD7" s="2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18" customHeight="1" thickTop="1" x14ac:dyDescent="0.25">
      <c r="A8" s="5">
        <v>2017</v>
      </c>
      <c r="B8" s="191">
        <f>'Usage &amp; Cust. Count'!O9</f>
        <v>26020948.872000001</v>
      </c>
      <c r="C8" s="191"/>
      <c r="D8" s="201"/>
      <c r="E8" s="201"/>
      <c r="F8" s="197"/>
      <c r="G8" s="197">
        <f>'Usage &amp; Cust. Count'!AG9</f>
        <v>315428.33333333331</v>
      </c>
      <c r="H8" s="197"/>
      <c r="I8" s="201"/>
      <c r="J8" s="201"/>
      <c r="K8" s="201">
        <f t="shared" si="0"/>
        <v>315556.33333333331</v>
      </c>
      <c r="L8" s="18"/>
      <c r="M8" s="18">
        <f>SUM(K2:K6)/5</f>
        <v>319003.26666666672</v>
      </c>
      <c r="N8" s="18"/>
      <c r="P8" s="26"/>
      <c r="Q8" s="21"/>
      <c r="R8" s="5">
        <v>2017</v>
      </c>
      <c r="S8" s="206">
        <f t="shared" si="1"/>
        <v>26022499.272</v>
      </c>
      <c r="T8" s="33">
        <f t="shared" si="2"/>
        <v>1478421.7010000013</v>
      </c>
      <c r="U8" s="5"/>
      <c r="V8" s="5"/>
      <c r="W8" s="70">
        <f t="shared" si="4"/>
        <v>82465.463447097136</v>
      </c>
      <c r="X8" s="36">
        <f t="shared" si="3"/>
        <v>4421.0068939808552</v>
      </c>
      <c r="Y8" s="36">
        <f t="shared" si="5"/>
        <v>368.41724116507129</v>
      </c>
      <c r="Z8" s="32"/>
      <c r="AA8" s="70"/>
      <c r="AB8" s="5"/>
      <c r="AC8" s="2"/>
      <c r="AD8" s="2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x14ac:dyDescent="0.25">
      <c r="A9" s="5">
        <v>2016</v>
      </c>
      <c r="B9" s="191">
        <f>'Usage &amp; Cust. Count'!O10</f>
        <v>24544077.570999999</v>
      </c>
      <c r="C9" s="202"/>
      <c r="D9" s="203"/>
      <c r="E9" s="203"/>
      <c r="F9" s="203"/>
      <c r="G9" s="197">
        <f>'Usage &amp; Cust. Count'!AG10</f>
        <v>314488.41666666669</v>
      </c>
      <c r="H9" s="204"/>
      <c r="I9" s="205"/>
      <c r="J9" s="201"/>
      <c r="K9" s="201">
        <f>G9</f>
        <v>314488.41666666669</v>
      </c>
      <c r="M9" s="18"/>
      <c r="P9" s="27"/>
      <c r="Q9" s="22"/>
      <c r="R9" s="5">
        <v>2016</v>
      </c>
      <c r="S9" s="206">
        <f t="shared" ref="S9:S17" si="6">SUM((B9))</f>
        <v>24544077.570999999</v>
      </c>
      <c r="T9" s="31">
        <f t="shared" si="2"/>
        <v>-488349.77400000021</v>
      </c>
      <c r="U9" s="34"/>
      <c r="V9" s="7"/>
      <c r="W9" s="70">
        <f t="shared" si="4"/>
        <v>78044.456553116281</v>
      </c>
      <c r="X9" s="32">
        <f t="shared" si="3"/>
        <v>-1763.4046835146146</v>
      </c>
      <c r="Y9" s="32">
        <f t="shared" si="5"/>
        <v>-146.95039029288455</v>
      </c>
      <c r="Z9" s="210"/>
      <c r="AA9" s="70"/>
      <c r="AB9" s="4"/>
      <c r="AD9" s="3"/>
      <c r="AE9" s="11"/>
      <c r="AF9" s="11"/>
      <c r="AG9" s="9"/>
      <c r="AH9" s="9"/>
      <c r="AI9" s="9"/>
      <c r="AJ9" s="9"/>
      <c r="AK9" s="12"/>
    </row>
    <row r="10" spans="1:43" ht="15.75" thickBot="1" x14ac:dyDescent="0.3">
      <c r="A10" s="5">
        <v>2015</v>
      </c>
      <c r="B10" s="191">
        <f>'Usage &amp; Cust. Count'!O11</f>
        <v>25032427.344999999</v>
      </c>
      <c r="C10" s="202"/>
      <c r="D10" s="203"/>
      <c r="E10" s="203"/>
      <c r="F10" s="203"/>
      <c r="G10" s="197">
        <f>'Usage &amp; Cust. Count'!AG11</f>
        <v>313658.66666666669</v>
      </c>
      <c r="H10" s="203"/>
      <c r="I10" s="203"/>
      <c r="J10" s="203"/>
      <c r="K10" s="201">
        <f>G10</f>
        <v>313658.66666666669</v>
      </c>
      <c r="L10" s="56"/>
      <c r="M10" s="187" t="s">
        <v>125</v>
      </c>
      <c r="P10" s="27"/>
      <c r="Q10" s="23"/>
      <c r="R10" s="5">
        <v>2015</v>
      </c>
      <c r="S10" s="206">
        <f t="shared" si="6"/>
        <v>25032427.344999999</v>
      </c>
      <c r="T10" s="31">
        <f t="shared" si="2"/>
        <v>-951695.63400000334</v>
      </c>
      <c r="U10" s="35"/>
      <c r="V10" s="6"/>
      <c r="W10" s="70">
        <f t="shared" si="4"/>
        <v>79807.861236630895</v>
      </c>
      <c r="X10" s="32">
        <f t="shared" si="3"/>
        <v>-3011.3364423771709</v>
      </c>
      <c r="Y10" s="32">
        <f t="shared" si="5"/>
        <v>-250.94470353143092</v>
      </c>
      <c r="Z10" s="210"/>
      <c r="AA10" s="70"/>
      <c r="AB10" s="6"/>
      <c r="AD10" s="3"/>
      <c r="AE10" s="11"/>
      <c r="AF10" s="11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3" ht="15.75" thickTop="1" x14ac:dyDescent="0.25">
      <c r="A11" s="5">
        <v>2014</v>
      </c>
      <c r="B11" s="191">
        <f>'Usage &amp; Cust. Count'!O12</f>
        <v>25984122.979000002</v>
      </c>
      <c r="C11" s="202"/>
      <c r="D11" s="203"/>
      <c r="E11" s="203"/>
      <c r="F11" s="203"/>
      <c r="G11" s="197">
        <f>'Usage &amp; Cust. Count'!AG12</f>
        <v>313745.16666666669</v>
      </c>
      <c r="H11" s="203"/>
      <c r="I11" s="203"/>
      <c r="J11" s="203"/>
      <c r="K11" s="201">
        <f>G11</f>
        <v>313745.16666666669</v>
      </c>
      <c r="L11" s="56"/>
      <c r="M11" s="308">
        <f>SUM(K2:K11)/10</f>
        <v>316891.74166666664</v>
      </c>
      <c r="P11" s="27"/>
      <c r="Q11" s="23"/>
      <c r="R11" s="5">
        <v>2014</v>
      </c>
      <c r="S11" s="101">
        <f t="shared" si="6"/>
        <v>25984122.979000002</v>
      </c>
      <c r="T11" s="31">
        <f t="shared" si="2"/>
        <v>-805538.27270999551</v>
      </c>
      <c r="U11" s="35"/>
      <c r="V11" s="6"/>
      <c r="W11" s="70">
        <f t="shared" si="4"/>
        <v>82819.197679008066</v>
      </c>
      <c r="X11" s="201">
        <f t="shared" si="3"/>
        <v>-2361.5168699190108</v>
      </c>
      <c r="Y11" s="36">
        <f t="shared" si="5"/>
        <v>-196.79307249325089</v>
      </c>
      <c r="Z11" s="70"/>
      <c r="AA11" s="70"/>
      <c r="AB11" s="6"/>
      <c r="AD11" s="3"/>
      <c r="AE11" s="11"/>
      <c r="AF11" s="11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3" x14ac:dyDescent="0.25">
      <c r="A12" s="5">
        <v>2013</v>
      </c>
      <c r="B12" s="191">
        <f>'Usage &amp; Cust. Count'!O13</f>
        <v>26789661.251709998</v>
      </c>
      <c r="C12" s="202"/>
      <c r="D12" s="203"/>
      <c r="E12" s="203"/>
      <c r="F12" s="203"/>
      <c r="G12" s="197">
        <f>'Usage &amp; Cust. Count'!AG13</f>
        <v>314503.83333333331</v>
      </c>
      <c r="H12" s="203"/>
      <c r="I12" s="203"/>
      <c r="J12" s="203"/>
      <c r="K12" s="201">
        <f>G12</f>
        <v>314503.83333333331</v>
      </c>
      <c r="L12" s="56"/>
      <c r="M12" s="56"/>
      <c r="P12" s="27"/>
      <c r="Q12" s="23"/>
      <c r="R12" s="5">
        <v>2013</v>
      </c>
      <c r="S12" s="101">
        <f t="shared" si="6"/>
        <v>26789661.251709998</v>
      </c>
      <c r="T12" s="31">
        <f t="shared" si="2"/>
        <v>-3812714.7482900023</v>
      </c>
      <c r="U12" s="35"/>
      <c r="V12" s="6"/>
      <c r="W12" s="70">
        <f t="shared" si="4"/>
        <v>85180.714548927077</v>
      </c>
      <c r="X12" s="81"/>
      <c r="Y12" s="81"/>
      <c r="Z12" s="172"/>
      <c r="AA12" s="81"/>
      <c r="AB12" s="6"/>
      <c r="AD12" s="3"/>
      <c r="AE12" s="11"/>
      <c r="AF12" s="11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3" x14ac:dyDescent="0.25">
      <c r="A13" s="5">
        <v>2012</v>
      </c>
      <c r="B13" s="191">
        <f>'Usage &amp; Cust. Count'!O14</f>
        <v>30602376</v>
      </c>
      <c r="C13" s="202"/>
      <c r="D13" s="203"/>
      <c r="E13" s="203"/>
      <c r="F13" s="203"/>
      <c r="G13" s="197">
        <f>'Usage &amp; Cust. Count'!AG14</f>
        <v>313545.41666666669</v>
      </c>
      <c r="H13" s="203"/>
      <c r="I13" s="203"/>
      <c r="J13" s="203"/>
      <c r="K13" s="201"/>
      <c r="L13" s="56"/>
      <c r="M13" s="56"/>
      <c r="P13" s="27"/>
      <c r="Q13" s="23"/>
      <c r="R13" s="5">
        <v>2012</v>
      </c>
      <c r="S13" s="101">
        <f t="shared" si="6"/>
        <v>30602376</v>
      </c>
      <c r="T13" s="33">
        <f t="shared" si="2"/>
        <v>2403514</v>
      </c>
      <c r="U13" s="35"/>
      <c r="V13" s="6"/>
      <c r="AB13" s="6"/>
      <c r="AD13" s="3"/>
      <c r="AE13" s="11"/>
      <c r="AF13" s="11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3" x14ac:dyDescent="0.25">
      <c r="A14" s="5">
        <v>2011</v>
      </c>
      <c r="B14" s="191">
        <f>'Usage &amp; Cust. Count'!O15</f>
        <v>28198862</v>
      </c>
      <c r="C14" s="202"/>
      <c r="D14" s="203"/>
      <c r="E14" s="203"/>
      <c r="F14" s="203"/>
      <c r="G14" s="197">
        <f>'Usage &amp; Cust. Count'!AG15</f>
        <v>313827.5</v>
      </c>
      <c r="H14" s="203"/>
      <c r="I14" s="203"/>
      <c r="J14" s="203"/>
      <c r="K14" s="201"/>
      <c r="L14" s="56"/>
      <c r="M14" s="56"/>
      <c r="P14" s="27"/>
      <c r="Q14" s="23"/>
      <c r="R14" s="5">
        <v>2011</v>
      </c>
      <c r="S14" s="101">
        <f t="shared" si="6"/>
        <v>28198862</v>
      </c>
      <c r="T14" s="33">
        <f t="shared" si="2"/>
        <v>589743</v>
      </c>
      <c r="U14" s="35"/>
      <c r="V14" s="6"/>
      <c r="X14" s="18"/>
      <c r="Y14" s="150"/>
      <c r="Z14" s="6"/>
      <c r="AA14" s="6"/>
      <c r="AB14" s="6"/>
      <c r="AD14" s="3"/>
      <c r="AE14" s="11"/>
      <c r="AF14" s="11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3" x14ac:dyDescent="0.25">
      <c r="A15" s="5">
        <v>2010</v>
      </c>
      <c r="B15" s="191">
        <f>'Usage &amp; Cust. Count'!O16</f>
        <v>27609119</v>
      </c>
      <c r="C15" s="202"/>
      <c r="D15" s="203"/>
      <c r="E15" s="203"/>
      <c r="F15" s="203"/>
      <c r="G15" s="197">
        <f>'Usage &amp; Cust. Count'!AG16</f>
        <v>314903.16666666669</v>
      </c>
      <c r="H15" s="203"/>
      <c r="I15" s="203"/>
      <c r="J15" s="203"/>
      <c r="K15" s="203"/>
      <c r="L15" s="56"/>
      <c r="M15" s="56"/>
      <c r="P15" s="27"/>
      <c r="Q15" s="23"/>
      <c r="R15" s="5">
        <v>2010</v>
      </c>
      <c r="S15" s="101">
        <f t="shared" si="6"/>
        <v>27609119</v>
      </c>
      <c r="T15" s="33">
        <f t="shared" si="2"/>
        <v>1005719</v>
      </c>
      <c r="U15" s="35"/>
      <c r="V15" s="6"/>
      <c r="W15" s="6"/>
      <c r="X15" s="6"/>
      <c r="Y15" s="6"/>
      <c r="Z15" s="6"/>
      <c r="AA15" s="6"/>
      <c r="AB15" s="6"/>
      <c r="AD15" s="3"/>
      <c r="AE15" s="11"/>
      <c r="AF15" s="11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3" x14ac:dyDescent="0.25">
      <c r="A16" s="5">
        <v>2009</v>
      </c>
      <c r="B16" s="191">
        <f>'Usage &amp; Cust. Count'!O17</f>
        <v>26603400</v>
      </c>
      <c r="C16" s="202"/>
      <c r="D16" s="203"/>
      <c r="E16" s="203"/>
      <c r="F16" s="203"/>
      <c r="G16" s="197">
        <f>'Usage &amp; Cust. Count'!AG17</f>
        <v>314943.33333333331</v>
      </c>
      <c r="H16" s="203"/>
      <c r="I16" s="203"/>
      <c r="J16" s="203"/>
      <c r="K16" s="203"/>
      <c r="L16" s="56"/>
      <c r="M16" s="56"/>
      <c r="P16" s="27"/>
      <c r="Q16" s="23"/>
      <c r="R16" s="5">
        <v>2009</v>
      </c>
      <c r="S16" s="101">
        <f t="shared" si="6"/>
        <v>26603400</v>
      </c>
      <c r="T16" s="31">
        <f t="shared" si="2"/>
        <v>-689111</v>
      </c>
      <c r="U16" s="35"/>
      <c r="V16" s="6"/>
      <c r="W16" s="184"/>
      <c r="Y16" s="6"/>
      <c r="Z16" s="180"/>
      <c r="AA16" s="6"/>
      <c r="AB16" s="6"/>
      <c r="AD16" s="3"/>
      <c r="AE16" s="11"/>
      <c r="AF16" s="11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3" x14ac:dyDescent="0.25">
      <c r="A17" s="5">
        <v>2008</v>
      </c>
      <c r="B17" s="191">
        <f>'Usage &amp; Cust. Count'!O18</f>
        <v>27292511</v>
      </c>
      <c r="C17" s="202"/>
      <c r="D17" s="203"/>
      <c r="E17" s="203"/>
      <c r="F17" s="203"/>
      <c r="G17" s="197">
        <f>'Usage &amp; Cust. Count'!AG18</f>
        <v>316133.33333333331</v>
      </c>
      <c r="H17" s="203"/>
      <c r="I17" s="203"/>
      <c r="J17" s="203"/>
      <c r="K17" s="203"/>
      <c r="L17" s="56"/>
      <c r="M17" s="56"/>
      <c r="P17" s="27"/>
      <c r="Q17" s="23"/>
      <c r="R17" s="5">
        <v>2008</v>
      </c>
      <c r="S17" s="101">
        <f t="shared" si="6"/>
        <v>27292511</v>
      </c>
      <c r="T17" s="31"/>
      <c r="U17" s="35"/>
      <c r="V17" s="6"/>
      <c r="W17" s="6"/>
      <c r="Y17" s="6"/>
      <c r="Z17" s="6"/>
      <c r="AA17" s="6"/>
      <c r="AB17" s="6"/>
      <c r="AD17" s="3"/>
      <c r="AE17" s="11"/>
      <c r="AF17" s="11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3" x14ac:dyDescent="0.25">
      <c r="A18" s="5"/>
      <c r="B18" s="53"/>
      <c r="C18" s="55"/>
      <c r="D18" s="56"/>
      <c r="E18" s="56"/>
      <c r="F18" s="56"/>
      <c r="H18" s="56"/>
      <c r="I18" s="56"/>
      <c r="J18" s="56"/>
      <c r="K18" s="56"/>
      <c r="L18" s="56"/>
      <c r="M18" s="56"/>
      <c r="P18" s="27"/>
      <c r="Q18" s="23"/>
      <c r="R18" s="5"/>
      <c r="S18" s="101"/>
      <c r="T18" s="35"/>
      <c r="U18" s="35"/>
      <c r="V18" s="6"/>
      <c r="W18" s="6"/>
      <c r="X18" s="6"/>
      <c r="Y18" s="6"/>
      <c r="Z18" s="6"/>
      <c r="AA18" s="6"/>
      <c r="AB18" s="6"/>
      <c r="AD18" s="3"/>
      <c r="AE18" s="11"/>
      <c r="AF18" s="11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3" ht="8.25" customHeight="1" x14ac:dyDescent="0.25">
      <c r="A19" s="5"/>
      <c r="B19" s="55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P19" s="27"/>
      <c r="Q19" s="23"/>
      <c r="R19" s="5"/>
      <c r="S19" s="20"/>
      <c r="T19" s="6"/>
      <c r="U19" s="6"/>
      <c r="V19" s="6"/>
      <c r="W19" s="6"/>
      <c r="X19" s="6"/>
      <c r="Y19" s="6"/>
      <c r="Z19" s="6"/>
      <c r="AA19" s="6"/>
      <c r="AB19" s="6"/>
      <c r="AD19" s="3"/>
      <c r="AE19" s="11"/>
      <c r="AF19" s="11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3" ht="30" x14ac:dyDescent="0.25">
      <c r="A20" s="5"/>
      <c r="B20" s="55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P20" s="27"/>
      <c r="Q20" s="23"/>
      <c r="R20" s="5"/>
      <c r="S20" s="39" t="s">
        <v>101</v>
      </c>
      <c r="T20" s="6"/>
      <c r="U20" s="6"/>
      <c r="V20" s="6"/>
      <c r="W20" s="35"/>
      <c r="X20" s="6"/>
      <c r="Y20" s="6"/>
      <c r="Z20" s="6"/>
      <c r="AA20" s="6"/>
      <c r="AB20" s="6"/>
      <c r="AD20" s="3"/>
      <c r="AE20" s="11"/>
      <c r="AF20" s="11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3" x14ac:dyDescent="0.25">
      <c r="A21" s="14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7"/>
      <c r="Q21" s="24"/>
      <c r="R21" s="5" t="s">
        <v>66</v>
      </c>
      <c r="S21" s="207">
        <f>SUM(S2:S5)/4</f>
        <v>24087169.287771586</v>
      </c>
      <c r="U21" s="4"/>
      <c r="W21" s="4"/>
      <c r="X21" s="4"/>
      <c r="Y21" s="4"/>
      <c r="AA21" s="4"/>
      <c r="AB21" s="4"/>
    </row>
    <row r="22" spans="1:43" x14ac:dyDescent="0.25">
      <c r="A22" s="14"/>
      <c r="P22" s="27"/>
      <c r="Q22" s="24"/>
      <c r="R22" s="239" t="s">
        <v>47</v>
      </c>
      <c r="S22" s="208">
        <f>SUM(S2:S6)/5</f>
        <v>23852089.030017268</v>
      </c>
      <c r="U22" s="4"/>
      <c r="W22" s="4"/>
      <c r="X22" s="4"/>
      <c r="Y22" s="4"/>
      <c r="AA22" s="4"/>
      <c r="AB22" s="4"/>
      <c r="AP22" s="3"/>
      <c r="AQ22" s="13"/>
    </row>
    <row r="23" spans="1:43" x14ac:dyDescent="0.25">
      <c r="A23" s="14"/>
      <c r="P23" s="28"/>
      <c r="Q23" s="24"/>
      <c r="R23" s="144" t="s">
        <v>97</v>
      </c>
      <c r="S23" s="241">
        <f>SUM(S3:S7)/5</f>
        <v>24209138.38641727</v>
      </c>
      <c r="U23" s="4"/>
      <c r="W23" s="4"/>
      <c r="X23" s="4"/>
      <c r="Y23" s="4"/>
      <c r="AA23" s="4"/>
      <c r="AB23" s="4"/>
      <c r="AP23" s="3"/>
      <c r="AQ23" s="13"/>
    </row>
    <row r="24" spans="1:43" x14ac:dyDescent="0.25">
      <c r="R24" s="5" t="s">
        <v>48</v>
      </c>
      <c r="S24" s="207">
        <f>SUM(S2:S11)/10</f>
        <v>24700397.091708634</v>
      </c>
      <c r="AA24" s="5" t="s">
        <v>121</v>
      </c>
    </row>
    <row r="25" spans="1:43" ht="44.25" customHeight="1" x14ac:dyDescent="0.25">
      <c r="A25" s="160" t="s">
        <v>73</v>
      </c>
      <c r="G25" s="293" t="s">
        <v>167</v>
      </c>
      <c r="H25" s="18"/>
      <c r="I25" s="18"/>
      <c r="J25" s="18"/>
      <c r="K25" s="18"/>
      <c r="L25" s="18"/>
      <c r="M25" s="18"/>
      <c r="N25" s="18"/>
      <c r="P25" s="26"/>
      <c r="Q25" s="21"/>
      <c r="R25" s="5"/>
      <c r="S25" s="39" t="s">
        <v>102</v>
      </c>
      <c r="U25" s="30" t="s">
        <v>68</v>
      </c>
      <c r="W25" s="30" t="s">
        <v>69</v>
      </c>
      <c r="X25" s="5"/>
      <c r="Y25" s="30" t="s">
        <v>170</v>
      </c>
      <c r="AA25" s="5">
        <f>SUM(S26+S27+S28+S29+S30)/5</f>
        <v>74766.659090724977</v>
      </c>
      <c r="AB25" s="5"/>
      <c r="AD25" s="2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8" customHeight="1" x14ac:dyDescent="0.25">
      <c r="A26" s="195">
        <v>2023</v>
      </c>
      <c r="B26" s="52">
        <f>'Usage &amp; Cust. Count'!O456</f>
        <v>574.20000000000005</v>
      </c>
      <c r="G26" s="7">
        <f>'Usage &amp; Cust. Count'!AG456</f>
        <v>13.333333333333334</v>
      </c>
      <c r="H26" s="18"/>
      <c r="I26" s="18"/>
      <c r="J26" s="18"/>
      <c r="K26" s="18"/>
      <c r="L26" s="18"/>
      <c r="M26" s="18"/>
      <c r="N26" s="18"/>
      <c r="P26" s="26"/>
      <c r="Q26" s="21"/>
      <c r="R26" s="195">
        <v>2023</v>
      </c>
      <c r="S26" s="168">
        <f t="shared" ref="S26:S32" si="7">(S2/SUM(G2+G26))*1000</f>
        <v>75632.40496517827</v>
      </c>
      <c r="T26" s="87">
        <f t="shared" ref="T26:T32" si="8">S26-S27</f>
        <v>317.3957868116122</v>
      </c>
      <c r="U26" s="33">
        <f t="shared" ref="U26:U40" si="9">S26/12</f>
        <v>6302.7004137648555</v>
      </c>
      <c r="V26" s="33">
        <f t="shared" ref="V26:V33" si="10">U26-U27</f>
        <v>26.449648900967077</v>
      </c>
      <c r="W26" s="134">
        <f>S26/365.25</f>
        <v>207.07023946660718</v>
      </c>
      <c r="X26" s="247">
        <f t="shared" ref="X26:X33" si="11">W26-W27</f>
        <v>0.86898230475458149</v>
      </c>
      <c r="Y26" s="242">
        <f>X26*365.25</f>
        <v>317.39578681161089</v>
      </c>
      <c r="AB26" s="5"/>
      <c r="AD26" s="2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9.5" customHeight="1" x14ac:dyDescent="0.25">
      <c r="A27" s="195">
        <v>2022</v>
      </c>
      <c r="B27" s="52">
        <f>'Usage &amp; Cust. Count'!O457</f>
        <v>23536.649999999998</v>
      </c>
      <c r="G27" s="7">
        <f>'Usage &amp; Cust. Count'!AG457</f>
        <v>163.41666666666666</v>
      </c>
      <c r="H27" s="18"/>
      <c r="I27" s="18"/>
      <c r="J27" s="18"/>
      <c r="K27" s="18"/>
      <c r="L27" s="18"/>
      <c r="M27" s="18"/>
      <c r="N27" s="18"/>
      <c r="P27" s="26"/>
      <c r="Q27" s="21"/>
      <c r="R27" s="195">
        <v>2022</v>
      </c>
      <c r="S27" s="168">
        <f t="shared" si="7"/>
        <v>75315.009178366658</v>
      </c>
      <c r="T27" s="87">
        <f t="shared" si="8"/>
        <v>1917.110758745388</v>
      </c>
      <c r="U27" s="33">
        <f t="shared" si="9"/>
        <v>6276.2507648638884</v>
      </c>
      <c r="V27" s="33">
        <f t="shared" si="10"/>
        <v>159.75922989544961</v>
      </c>
      <c r="W27" s="134">
        <f>S27/365.25</f>
        <v>206.2012571618526</v>
      </c>
      <c r="X27" s="247">
        <f t="shared" si="11"/>
        <v>5.2487631998504867</v>
      </c>
      <c r="Y27" s="242">
        <f t="shared" ref="Y27:Y40" si="12">X27*365.25</f>
        <v>1917.1107587453903</v>
      </c>
      <c r="AA27" s="251">
        <f>(Y26+Y27+Y28+Y29+Y30)/5</f>
        <v>-1407.0579109072762</v>
      </c>
      <c r="AB27" s="5"/>
      <c r="AD27" s="2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6.5" customHeight="1" x14ac:dyDescent="0.25">
      <c r="A28" s="196">
        <v>2021</v>
      </c>
      <c r="B28" s="52">
        <f>'Usage &amp; Cust. Count'!O458</f>
        <v>20655.599999999995</v>
      </c>
      <c r="G28" s="7">
        <f>'Usage &amp; Cust. Count'!AG458</f>
        <v>156.33333333333334</v>
      </c>
      <c r="H28" s="18"/>
      <c r="I28" s="18"/>
      <c r="J28" s="18"/>
      <c r="K28" s="18"/>
      <c r="L28" s="18"/>
      <c r="M28" s="18"/>
      <c r="N28" s="18"/>
      <c r="P28" s="26"/>
      <c r="Q28" s="21"/>
      <c r="R28" s="196">
        <v>2021</v>
      </c>
      <c r="S28" s="168">
        <f t="shared" si="7"/>
        <v>73397.89841962127</v>
      </c>
      <c r="T28" s="37">
        <f t="shared" si="8"/>
        <v>-3782.7436045364739</v>
      </c>
      <c r="U28" s="33">
        <f t="shared" si="9"/>
        <v>6116.4915349684388</v>
      </c>
      <c r="V28" s="33">
        <f t="shared" si="10"/>
        <v>-315.22863371137282</v>
      </c>
      <c r="W28" s="134">
        <f>S28/365.25</f>
        <v>200.95249396200211</v>
      </c>
      <c r="X28" s="247">
        <f t="shared" si="11"/>
        <v>-10.356587555199098</v>
      </c>
      <c r="Y28" s="243">
        <f t="shared" si="12"/>
        <v>-3782.7436045364707</v>
      </c>
      <c r="AA28" s="5"/>
      <c r="AB28" s="5"/>
      <c r="AD28" s="2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6.5" customHeight="1" x14ac:dyDescent="0.25">
      <c r="A29" s="196">
        <v>2020</v>
      </c>
      <c r="B29" s="52">
        <f>'Usage &amp; Cust. Count'!O459</f>
        <v>22402.610999999997</v>
      </c>
      <c r="G29" s="7">
        <f>'Usage &amp; Cust. Count'!AG459</f>
        <v>146.91666666666666</v>
      </c>
      <c r="H29" s="18"/>
      <c r="I29" s="18"/>
      <c r="J29" s="18"/>
      <c r="K29" s="18"/>
      <c r="L29" s="18"/>
      <c r="M29" s="18"/>
      <c r="N29" s="18"/>
      <c r="P29" s="26"/>
      <c r="Q29" s="21"/>
      <c r="R29" s="196">
        <v>2020</v>
      </c>
      <c r="S29" s="168">
        <f t="shared" si="7"/>
        <v>77180.642024157743</v>
      </c>
      <c r="T29" s="87">
        <f t="shared" si="8"/>
        <v>4873.3011578568112</v>
      </c>
      <c r="U29" s="33">
        <f t="shared" si="9"/>
        <v>6431.7201686798116</v>
      </c>
      <c r="V29" s="33">
        <f t="shared" si="10"/>
        <v>406.10842982140093</v>
      </c>
      <c r="W29" s="134">
        <f>S29/365.25</f>
        <v>211.30908151720121</v>
      </c>
      <c r="X29" s="247">
        <f t="shared" si="11"/>
        <v>13.342371410970031</v>
      </c>
      <c r="Y29" s="242">
        <f t="shared" si="12"/>
        <v>4873.3011578568039</v>
      </c>
      <c r="Z29" s="5"/>
      <c r="AA29" s="5"/>
      <c r="AB29" s="5"/>
      <c r="AD29" s="2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6.5" customHeight="1" x14ac:dyDescent="0.25">
      <c r="A30" s="5">
        <v>2019</v>
      </c>
      <c r="B30" s="52">
        <f>'Usage &amp; Cust. Count'!O460</f>
        <v>15302.6</v>
      </c>
      <c r="G30" s="7">
        <f>'Usage &amp; Cust. Count'!AG460</f>
        <v>138.08333333333334</v>
      </c>
      <c r="H30" s="18"/>
      <c r="I30" s="18"/>
      <c r="J30" s="18"/>
      <c r="K30" s="18"/>
      <c r="L30" s="18"/>
      <c r="M30" s="18"/>
      <c r="N30" s="18"/>
      <c r="P30" s="26"/>
      <c r="Q30" s="21"/>
      <c r="R30" s="5">
        <v>2019</v>
      </c>
      <c r="S30" s="168">
        <f t="shared" si="7"/>
        <v>72307.340866300932</v>
      </c>
      <c r="T30" s="37">
        <f t="shared" si="8"/>
        <v>-10360.353653413724</v>
      </c>
      <c r="U30" s="19">
        <f t="shared" si="9"/>
        <v>6025.6117388584107</v>
      </c>
      <c r="V30" s="33">
        <f t="shared" si="10"/>
        <v>-863.36280445114426</v>
      </c>
      <c r="W30" s="134">
        <f>S30/365.25</f>
        <v>197.96671010623118</v>
      </c>
      <c r="X30" s="247">
        <f t="shared" si="11"/>
        <v>-28.365102404965683</v>
      </c>
      <c r="Y30" s="243">
        <f t="shared" si="12"/>
        <v>-10360.353653413715</v>
      </c>
      <c r="Z30" s="5"/>
      <c r="AA30" s="5"/>
      <c r="AB30" s="5"/>
      <c r="AD30" s="2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x14ac:dyDescent="0.25">
      <c r="A31" s="5">
        <v>2018</v>
      </c>
      <c r="B31" s="52">
        <f>'Usage &amp; Cust. Count'!O461</f>
        <v>18582.5</v>
      </c>
      <c r="G31" s="7">
        <f>'Usage &amp; Cust. Count'!AG461</f>
        <v>131.41666666666666</v>
      </c>
      <c r="H31" s="57"/>
      <c r="I31" s="51"/>
      <c r="P31" s="27"/>
      <c r="Q31" s="22"/>
      <c r="R31" s="5">
        <v>2018</v>
      </c>
      <c r="S31" s="168">
        <f t="shared" si="7"/>
        <v>82667.694519714656</v>
      </c>
      <c r="T31" s="87">
        <f t="shared" si="8"/>
        <v>202.23107261752011</v>
      </c>
      <c r="U31" s="19">
        <f t="shared" si="9"/>
        <v>6888.974543309555</v>
      </c>
      <c r="V31" s="33">
        <f t="shared" si="10"/>
        <v>16.852589384793646</v>
      </c>
      <c r="W31" s="135">
        <f t="shared" ref="W31:W32" si="13">S31/365.25</f>
        <v>226.33181251119686</v>
      </c>
      <c r="X31" s="247">
        <f t="shared" si="11"/>
        <v>0.55367850134842911</v>
      </c>
      <c r="Y31" s="242">
        <f t="shared" si="12"/>
        <v>202.23107261751375</v>
      </c>
      <c r="Z31" s="5"/>
      <c r="AA31" s="5"/>
      <c r="AB31" s="4"/>
      <c r="AD31" s="3"/>
      <c r="AE31" s="9"/>
      <c r="AF31" s="9"/>
      <c r="AG31" s="9"/>
      <c r="AH31" s="9"/>
      <c r="AI31" s="9"/>
      <c r="AJ31" s="9"/>
    </row>
    <row r="32" spans="1:43" x14ac:dyDescent="0.25">
      <c r="A32" s="5">
        <v>2017</v>
      </c>
      <c r="B32" s="52">
        <f>'Usage &amp; Cust. Count'!O462</f>
        <v>1550.3999999999999</v>
      </c>
      <c r="G32" s="7">
        <f>'Usage &amp; Cust. Count'!AG462</f>
        <v>128</v>
      </c>
      <c r="H32" s="56"/>
      <c r="I32" s="56"/>
      <c r="J32" s="56"/>
      <c r="K32" s="56"/>
      <c r="L32" s="56"/>
      <c r="M32" s="56"/>
      <c r="P32" s="27"/>
      <c r="Q32" s="23"/>
      <c r="R32" s="5">
        <v>2017</v>
      </c>
      <c r="S32" s="168">
        <f t="shared" si="7"/>
        <v>82465.463447097136</v>
      </c>
      <c r="T32" s="87">
        <f t="shared" si="8"/>
        <v>4421.0068939808552</v>
      </c>
      <c r="U32" s="19">
        <f t="shared" si="9"/>
        <v>6872.1219539247613</v>
      </c>
      <c r="V32" s="33">
        <f t="shared" si="10"/>
        <v>368.41724116507157</v>
      </c>
      <c r="W32" s="135">
        <f t="shared" si="13"/>
        <v>225.77813400984843</v>
      </c>
      <c r="X32" s="247">
        <f t="shared" si="11"/>
        <v>12.104057204601929</v>
      </c>
      <c r="Y32" s="242">
        <f t="shared" si="12"/>
        <v>4421.0068939808543</v>
      </c>
      <c r="Z32" s="5"/>
      <c r="AA32" s="5"/>
      <c r="AB32" s="6"/>
      <c r="AD32" s="3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3" x14ac:dyDescent="0.25">
      <c r="A33" s="5"/>
      <c r="H33" s="56"/>
      <c r="I33" s="56"/>
      <c r="J33" s="56"/>
      <c r="K33" s="56"/>
      <c r="L33" s="56"/>
      <c r="M33" s="56"/>
      <c r="P33" s="27"/>
      <c r="Q33" s="23"/>
      <c r="R33" s="5">
        <v>2016</v>
      </c>
      <c r="S33" s="168">
        <f t="shared" ref="S33:S41" si="14">(S9/SUM(G9))*1000</f>
        <v>78044.456553116281</v>
      </c>
      <c r="T33" s="37">
        <f>S33-S34</f>
        <v>-1763.4046835146146</v>
      </c>
      <c r="U33" s="33">
        <f t="shared" si="9"/>
        <v>6503.7047127596898</v>
      </c>
      <c r="V33" s="33">
        <f t="shared" si="10"/>
        <v>-146.95039029288455</v>
      </c>
      <c r="W33" s="135">
        <f>S33/365.25</f>
        <v>213.6740768052465</v>
      </c>
      <c r="X33" s="247">
        <f t="shared" si="11"/>
        <v>-4.8279389007929012</v>
      </c>
      <c r="Y33" s="243">
        <f t="shared" si="12"/>
        <v>-1763.4046835146071</v>
      </c>
      <c r="AA33" s="4"/>
      <c r="AB33" s="6"/>
      <c r="AD33" s="3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3" x14ac:dyDescent="0.25">
      <c r="A34" s="5"/>
      <c r="H34" s="56"/>
      <c r="I34" s="56"/>
      <c r="J34" s="56"/>
      <c r="K34" s="56"/>
      <c r="L34" s="56"/>
      <c r="M34" s="56"/>
      <c r="P34" s="27"/>
      <c r="Q34" s="23"/>
      <c r="R34" s="5">
        <v>2015</v>
      </c>
      <c r="S34" s="168">
        <f t="shared" si="14"/>
        <v>79807.861236630895</v>
      </c>
      <c r="T34" s="37">
        <f t="shared" ref="T34:T40" si="15">S34-S35</f>
        <v>-3011.3364423771709</v>
      </c>
      <c r="U34" s="33">
        <f t="shared" si="9"/>
        <v>6650.6551030525743</v>
      </c>
      <c r="V34" s="33">
        <f t="shared" ref="V34:V40" si="16">U34-U35</f>
        <v>-250.94470353143151</v>
      </c>
      <c r="W34" s="135">
        <f t="shared" ref="W34:W40" si="17">S34/365.25</f>
        <v>218.5020157060394</v>
      </c>
      <c r="X34" s="247">
        <f t="shared" ref="X34:X40" si="18">W34-W35</f>
        <v>-8.2445898490819332</v>
      </c>
      <c r="Y34" s="243">
        <f t="shared" si="12"/>
        <v>-3011.3364423771759</v>
      </c>
      <c r="Z34" s="6"/>
      <c r="AA34" s="6"/>
      <c r="AB34" s="6"/>
      <c r="AD34" s="3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3" x14ac:dyDescent="0.25">
      <c r="A35" s="5"/>
      <c r="C35" s="55"/>
      <c r="D35" s="56"/>
      <c r="E35" s="56"/>
      <c r="F35" s="56"/>
      <c r="H35" s="56"/>
      <c r="I35" s="56"/>
      <c r="J35" s="56"/>
      <c r="K35" s="56"/>
      <c r="L35" s="56"/>
      <c r="M35" s="56"/>
      <c r="P35" s="27"/>
      <c r="Q35" s="23"/>
      <c r="R35" s="5">
        <v>2014</v>
      </c>
      <c r="S35" s="168">
        <f t="shared" si="14"/>
        <v>82819.197679008066</v>
      </c>
      <c r="T35" s="37">
        <f t="shared" si="15"/>
        <v>-2361.5168699190108</v>
      </c>
      <c r="U35" s="33">
        <f t="shared" si="9"/>
        <v>6901.5998065840058</v>
      </c>
      <c r="V35" s="33">
        <f t="shared" si="16"/>
        <v>-196.79307249325029</v>
      </c>
      <c r="W35" s="135">
        <f t="shared" si="17"/>
        <v>226.74660555512133</v>
      </c>
      <c r="X35" s="247">
        <f t="shared" si="18"/>
        <v>-6.4654808211334966</v>
      </c>
      <c r="Y35" s="242">
        <f t="shared" si="12"/>
        <v>-2361.5168699190099</v>
      </c>
      <c r="Z35" s="6"/>
      <c r="AA35" s="6"/>
      <c r="AB35" s="6"/>
      <c r="AD35" s="3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3" x14ac:dyDescent="0.25">
      <c r="A36" s="5"/>
      <c r="C36" s="55"/>
      <c r="D36" s="56"/>
      <c r="E36" s="56"/>
      <c r="F36" s="56"/>
      <c r="H36" s="56"/>
      <c r="I36" s="56"/>
      <c r="J36" s="56"/>
      <c r="K36" s="56"/>
      <c r="L36" s="56"/>
      <c r="M36" s="56"/>
      <c r="P36" s="27"/>
      <c r="Q36" s="23"/>
      <c r="R36" s="5">
        <v>2013</v>
      </c>
      <c r="S36" s="168">
        <f t="shared" si="14"/>
        <v>85180.714548927077</v>
      </c>
      <c r="T36" s="37">
        <f t="shared" si="15"/>
        <v>-12420.380454587823</v>
      </c>
      <c r="U36" s="33">
        <f t="shared" si="9"/>
        <v>7098.3928790772561</v>
      </c>
      <c r="V36" s="33">
        <f t="shared" si="16"/>
        <v>-1035.0317045489855</v>
      </c>
      <c r="W36" s="135">
        <f t="shared" si="17"/>
        <v>233.21208637625483</v>
      </c>
      <c r="X36" s="247">
        <f t="shared" si="18"/>
        <v>-34.005148404073452</v>
      </c>
      <c r="Y36" s="243">
        <f t="shared" si="12"/>
        <v>-12420.380454587828</v>
      </c>
      <c r="Z36" s="6"/>
      <c r="AA36" s="6"/>
      <c r="AB36" s="6"/>
      <c r="AD36" s="3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3" x14ac:dyDescent="0.25">
      <c r="A37" s="5"/>
      <c r="C37" s="55"/>
      <c r="D37" s="56"/>
      <c r="E37" s="56"/>
      <c r="F37" s="56"/>
      <c r="H37" s="56"/>
      <c r="I37" s="56"/>
      <c r="J37" s="56"/>
      <c r="K37" s="56"/>
      <c r="L37" s="56"/>
      <c r="M37" s="56"/>
      <c r="P37" s="27"/>
      <c r="Q37" s="23"/>
      <c r="R37" s="5">
        <v>2012</v>
      </c>
      <c r="S37" s="168">
        <f t="shared" si="14"/>
        <v>97601.0950035149</v>
      </c>
      <c r="T37" s="87">
        <f t="shared" si="15"/>
        <v>7746.4391814470437</v>
      </c>
      <c r="U37" s="33">
        <f t="shared" si="9"/>
        <v>8133.4245836262417</v>
      </c>
      <c r="V37" s="33">
        <f t="shared" si="16"/>
        <v>645.53659845392031</v>
      </c>
      <c r="W37" s="135">
        <f t="shared" si="17"/>
        <v>267.21723478032828</v>
      </c>
      <c r="X37" s="247">
        <f t="shared" si="18"/>
        <v>21.20859461039575</v>
      </c>
      <c r="Y37" s="242">
        <f t="shared" si="12"/>
        <v>7746.4391814470473</v>
      </c>
      <c r="Z37" s="6"/>
      <c r="AA37" s="6"/>
      <c r="AB37" s="6"/>
      <c r="AD37" s="3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3" x14ac:dyDescent="0.25">
      <c r="A38" s="5"/>
      <c r="C38" s="55"/>
      <c r="D38" s="56"/>
      <c r="E38" s="56"/>
      <c r="F38" s="56"/>
      <c r="H38" s="56"/>
      <c r="I38" s="56"/>
      <c r="J38" s="56"/>
      <c r="K38" s="56"/>
      <c r="L38" s="56"/>
      <c r="M38" s="56"/>
      <c r="P38" s="27"/>
      <c r="Q38" s="23"/>
      <c r="R38" s="5">
        <v>2011</v>
      </c>
      <c r="S38" s="168">
        <f t="shared" si="14"/>
        <v>89854.655822067856</v>
      </c>
      <c r="T38" s="87">
        <f t="shared" si="15"/>
        <v>2179.7070679799654</v>
      </c>
      <c r="U38" s="33">
        <f t="shared" si="9"/>
        <v>7487.8879851723214</v>
      </c>
      <c r="V38" s="33">
        <f t="shared" si="16"/>
        <v>181.64225566499681</v>
      </c>
      <c r="W38" s="133">
        <f t="shared" si="17"/>
        <v>246.00864016993253</v>
      </c>
      <c r="X38" s="247">
        <f t="shared" si="18"/>
        <v>5.967712711786362</v>
      </c>
      <c r="Y38" s="242">
        <f t="shared" si="12"/>
        <v>2179.7070679799685</v>
      </c>
      <c r="Z38" s="6"/>
      <c r="AA38" s="6"/>
      <c r="AB38" s="6"/>
      <c r="AD38" s="3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3" x14ac:dyDescent="0.25">
      <c r="A39" s="5"/>
      <c r="C39" s="55"/>
      <c r="D39" s="56"/>
      <c r="E39" s="56"/>
      <c r="F39" s="56"/>
      <c r="H39" s="56"/>
      <c r="I39" s="56"/>
      <c r="J39" s="56"/>
      <c r="K39" s="56"/>
      <c r="L39" s="56"/>
      <c r="M39" s="56"/>
      <c r="P39" s="27"/>
      <c r="Q39" s="23"/>
      <c r="R39" s="5">
        <v>2010</v>
      </c>
      <c r="S39" s="168">
        <f t="shared" si="14"/>
        <v>87674.948754087891</v>
      </c>
      <c r="T39" s="87">
        <f t="shared" si="15"/>
        <v>3204.5149194297992</v>
      </c>
      <c r="U39" s="33">
        <f t="shared" si="9"/>
        <v>7306.2457295073245</v>
      </c>
      <c r="V39" s="33">
        <f t="shared" si="16"/>
        <v>267.04290995248357</v>
      </c>
      <c r="W39" s="133">
        <f t="shared" si="17"/>
        <v>240.04092745814617</v>
      </c>
      <c r="X39" s="247">
        <f t="shared" si="18"/>
        <v>8.7734836945374468</v>
      </c>
      <c r="Y39" s="242">
        <f t="shared" si="12"/>
        <v>3204.5149194298024</v>
      </c>
      <c r="Z39" s="6"/>
      <c r="AA39" s="6"/>
      <c r="AB39" s="6"/>
      <c r="AD39" s="3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3" x14ac:dyDescent="0.25">
      <c r="A40" s="5"/>
      <c r="C40" s="55"/>
      <c r="D40" s="56"/>
      <c r="E40" s="56"/>
      <c r="F40" s="56"/>
      <c r="H40" s="56"/>
      <c r="I40" s="56"/>
      <c r="J40" s="56"/>
      <c r="K40" s="56"/>
      <c r="L40" s="56"/>
      <c r="M40" s="56"/>
      <c r="P40" s="27"/>
      <c r="Q40" s="23"/>
      <c r="R40" s="5">
        <v>2009</v>
      </c>
      <c r="S40" s="168">
        <f t="shared" si="14"/>
        <v>84470.433834658092</v>
      </c>
      <c r="T40" s="37">
        <f t="shared" si="15"/>
        <v>-1861.8447397830896</v>
      </c>
      <c r="U40" s="33">
        <f t="shared" si="9"/>
        <v>7039.202819554841</v>
      </c>
      <c r="V40" s="33">
        <f t="shared" si="16"/>
        <v>7039.202819554841</v>
      </c>
      <c r="W40" s="133">
        <f t="shared" si="17"/>
        <v>231.26744376360872</v>
      </c>
      <c r="X40" s="247">
        <f t="shared" si="18"/>
        <v>231.26744376360872</v>
      </c>
      <c r="Y40" s="242">
        <f t="shared" si="12"/>
        <v>84470.433834658092</v>
      </c>
      <c r="Z40" s="6"/>
      <c r="AA40" s="6"/>
      <c r="AB40" s="6"/>
      <c r="AD40" s="3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3" ht="15.75" customHeight="1" x14ac:dyDescent="0.25">
      <c r="A41" s="5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P41" s="27"/>
      <c r="Q41" s="23"/>
      <c r="R41" s="5">
        <v>2008</v>
      </c>
      <c r="S41" s="168">
        <f t="shared" si="14"/>
        <v>86332.278574441181</v>
      </c>
      <c r="T41" s="37"/>
      <c r="U41" s="33"/>
      <c r="V41" s="33"/>
      <c r="W41" s="133"/>
      <c r="X41" s="86"/>
      <c r="Y41" s="6"/>
      <c r="Z41" s="6"/>
      <c r="AA41" s="6"/>
      <c r="AB41" s="6"/>
      <c r="AD41" s="3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3" ht="34.5" customHeight="1" x14ac:dyDescent="0.25">
      <c r="A42" s="5"/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  <c r="P42" s="27"/>
      <c r="Q42" s="23"/>
      <c r="R42" s="5"/>
      <c r="S42" s="100"/>
      <c r="T42" s="87"/>
      <c r="U42" s="33"/>
      <c r="V42" s="33"/>
      <c r="W42" s="133"/>
      <c r="X42" s="86"/>
      <c r="Y42" s="6"/>
      <c r="Z42" s="6"/>
      <c r="AA42" s="6"/>
      <c r="AB42" s="6"/>
      <c r="AD42" s="3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3" x14ac:dyDescent="0.25">
      <c r="A43" s="14"/>
      <c r="B43" s="55"/>
      <c r="C43" s="55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7"/>
      <c r="Q43" s="23"/>
      <c r="R43" s="6"/>
      <c r="S43" s="6"/>
      <c r="T43" s="6"/>
      <c r="U43" s="6"/>
      <c r="V43" s="6"/>
      <c r="W43" s="43"/>
      <c r="X43" s="6"/>
      <c r="Y43" s="6"/>
      <c r="Z43" s="6"/>
      <c r="AA43" s="6"/>
      <c r="AB43" s="6"/>
      <c r="AD43" s="3"/>
      <c r="AE43" s="9"/>
      <c r="AF43" s="9"/>
      <c r="AG43" s="9"/>
      <c r="AH43" s="9"/>
      <c r="AI43" s="9"/>
      <c r="AJ43" s="9"/>
      <c r="AL43" s="9"/>
      <c r="AM43" s="9"/>
      <c r="AN43" s="9"/>
      <c r="AO43" s="9"/>
      <c r="AP43" s="9"/>
    </row>
    <row r="44" spans="1:43" x14ac:dyDescent="0.25">
      <c r="A44" s="5"/>
      <c r="P44" s="27"/>
      <c r="Q44" s="24"/>
      <c r="R44" s="6"/>
      <c r="S44" s="6"/>
      <c r="T44" s="6"/>
      <c r="U44" s="38"/>
      <c r="V44" s="4" t="s">
        <v>107</v>
      </c>
      <c r="W44" s="290">
        <f>AVERAGE(W26:W28)</f>
        <v>204.74133019682063</v>
      </c>
      <c r="X44" s="6"/>
      <c r="Y44" s="6"/>
      <c r="Z44" s="6"/>
      <c r="AA44" s="6"/>
      <c r="AB44" s="4"/>
      <c r="AP44" s="3"/>
      <c r="AQ44" s="13"/>
    </row>
    <row r="45" spans="1:43" ht="36.75" customHeight="1" x14ac:dyDescent="0.25">
      <c r="A45" s="5"/>
      <c r="P45" s="27"/>
      <c r="Q45" s="24"/>
      <c r="R45" s="6"/>
      <c r="S45" s="6"/>
      <c r="T45" s="6"/>
      <c r="U45" s="6"/>
      <c r="V45" s="240" t="s">
        <v>70</v>
      </c>
      <c r="W45" s="291">
        <f>AVERAGE(W26:W30)</f>
        <v>204.69995644277884</v>
      </c>
      <c r="X45" s="6"/>
      <c r="Y45" s="6"/>
      <c r="Z45" s="6"/>
      <c r="AA45" s="6"/>
      <c r="AB45" s="4"/>
      <c r="AP45" s="3"/>
      <c r="AQ45" s="13"/>
    </row>
    <row r="46" spans="1:43" x14ac:dyDescent="0.25">
      <c r="A46" s="5"/>
      <c r="R46" s="4"/>
      <c r="U46" s="4"/>
      <c r="V46" s="119" t="s">
        <v>89</v>
      </c>
      <c r="W46" s="244">
        <f>SUM(W27:W31)/5</f>
        <v>208.55227105169678</v>
      </c>
      <c r="X46" s="4"/>
      <c r="Y46" s="4"/>
      <c r="AA46" s="4"/>
    </row>
    <row r="47" spans="1:43" x14ac:dyDescent="0.25">
      <c r="R47" s="4"/>
      <c r="U47" s="4"/>
      <c r="V47" s="102" t="s">
        <v>48</v>
      </c>
      <c r="W47" s="245">
        <f>SUM(W26:W35)/10</f>
        <v>213.45324268013468</v>
      </c>
      <c r="X47" s="4"/>
      <c r="Y47" s="4"/>
      <c r="AA47" s="4"/>
    </row>
    <row r="57" spans="1:15" x14ac:dyDescent="0.25"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60" spans="1:15" x14ac:dyDescent="0.25">
      <c r="A60" s="61"/>
      <c r="G60" s="54"/>
    </row>
    <row r="61" spans="1:15" x14ac:dyDescent="0.25">
      <c r="A61" s="61"/>
    </row>
    <row r="62" spans="1:15" x14ac:dyDescent="0.25">
      <c r="A62" s="61"/>
    </row>
    <row r="63" spans="1:15" x14ac:dyDescent="0.25">
      <c r="A63" s="61"/>
    </row>
    <row r="64" spans="1:15" x14ac:dyDescent="0.25">
      <c r="A64" s="175"/>
    </row>
    <row r="65" spans="1:15" x14ac:dyDescent="0.25">
      <c r="A65" s="175"/>
    </row>
    <row r="66" spans="1:15" x14ac:dyDescent="0.25">
      <c r="A66" s="176"/>
    </row>
    <row r="67" spans="1:15" x14ac:dyDescent="0.25">
      <c r="A67" s="176"/>
    </row>
    <row r="68" spans="1:15" x14ac:dyDescent="0.25">
      <c r="A68" s="17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x14ac:dyDescent="0.25">
      <c r="A69" s="176"/>
    </row>
    <row r="70" spans="1:15" x14ac:dyDescent="0.25">
      <c r="A70" s="176"/>
    </row>
    <row r="71" spans="1:15" x14ac:dyDescent="0.25">
      <c r="A71" s="176"/>
    </row>
    <row r="72" spans="1:15" x14ac:dyDescent="0.25">
      <c r="A72" s="61"/>
      <c r="G72" s="54"/>
    </row>
    <row r="73" spans="1:15" x14ac:dyDescent="0.25">
      <c r="A73" s="61"/>
    </row>
    <row r="74" spans="1:15" x14ac:dyDescent="0.25">
      <c r="A74" s="61"/>
    </row>
    <row r="75" spans="1:15" x14ac:dyDescent="0.25">
      <c r="A75" s="61"/>
    </row>
    <row r="76" spans="1:15" x14ac:dyDescent="0.25">
      <c r="A76" s="3"/>
    </row>
    <row r="77" spans="1:15" x14ac:dyDescent="0.25">
      <c r="A77" s="3"/>
    </row>
    <row r="80" spans="1:15" x14ac:dyDescent="0.25"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4" spans="1:15" x14ac:dyDescent="0.25">
      <c r="A84" s="40"/>
      <c r="G84" s="54"/>
    </row>
    <row r="85" spans="1:15" x14ac:dyDescent="0.25">
      <c r="A85" s="61"/>
    </row>
    <row r="86" spans="1:15" x14ac:dyDescent="0.25">
      <c r="A86" s="61"/>
    </row>
    <row r="87" spans="1:15" x14ac:dyDescent="0.25">
      <c r="A87" s="61"/>
    </row>
    <row r="88" spans="1:15" x14ac:dyDescent="0.25">
      <c r="A88" s="3"/>
    </row>
    <row r="89" spans="1:15" x14ac:dyDescent="0.25">
      <c r="A89" s="3"/>
    </row>
    <row r="90" spans="1:15" x14ac:dyDescent="0.25">
      <c r="A90" s="3"/>
    </row>
    <row r="93" spans="1:15" x14ac:dyDescent="0.25"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7" spans="1:7" x14ac:dyDescent="0.25">
      <c r="A97" s="40"/>
      <c r="G97" s="54"/>
    </row>
    <row r="98" spans="1:7" x14ac:dyDescent="0.25">
      <c r="A98" s="61"/>
    </row>
    <row r="99" spans="1:7" x14ac:dyDescent="0.25">
      <c r="A99" s="61"/>
    </row>
  </sheetData>
  <pageMargins left="0.7" right="0.7" top="0.75" bottom="0.75" header="0.3" footer="0.3"/>
  <pageSetup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78"/>
  <sheetViews>
    <sheetView topLeftCell="F1" zoomScale="90" zoomScaleNormal="90" workbookViewId="0">
      <selection activeCell="O1" sqref="O1"/>
    </sheetView>
  </sheetViews>
  <sheetFormatPr defaultRowHeight="15" x14ac:dyDescent="0.25"/>
  <cols>
    <col min="1" max="1" width="20.5703125" customWidth="1"/>
    <col min="2" max="2" width="10.5703125" style="52" customWidth="1"/>
    <col min="3" max="3" width="1.7109375" style="52" customWidth="1"/>
    <col min="4" max="4" width="11.5703125" style="52" customWidth="1"/>
    <col min="5" max="5" width="11.7109375" style="52" customWidth="1"/>
    <col min="6" max="6" width="11.5703125" style="52" customWidth="1"/>
    <col min="7" max="7" width="14.85546875" style="52" customWidth="1"/>
    <col min="8" max="8" width="11.7109375" style="52" customWidth="1"/>
    <col min="9" max="10" width="11.42578125" style="52" customWidth="1"/>
    <col min="11" max="11" width="18.28515625" style="52" customWidth="1"/>
    <col min="12" max="12" width="11.5703125" style="52" customWidth="1"/>
    <col min="13" max="13" width="11.85546875" style="52" customWidth="1"/>
    <col min="14" max="14" width="11.28515625" style="52" customWidth="1"/>
    <col min="15" max="15" width="12.140625" style="52" customWidth="1"/>
    <col min="16" max="16" width="1.42578125" style="29" customWidth="1"/>
    <col min="17" max="17" width="1.28515625" style="25" customWidth="1"/>
    <col min="18" max="18" width="21.28515625" customWidth="1"/>
    <col min="19" max="19" width="21.42578125" style="4" customWidth="1"/>
    <col min="20" max="20" width="10.42578125" style="4" customWidth="1"/>
    <col min="21" max="21" width="8.7109375" customWidth="1"/>
    <col min="22" max="22" width="11.5703125" style="4" customWidth="1"/>
    <col min="23" max="23" width="13.85546875" customWidth="1"/>
    <col min="24" max="24" width="15" customWidth="1"/>
    <col min="25" max="25" width="15.85546875" customWidth="1"/>
    <col min="26" max="26" width="13.85546875" customWidth="1"/>
    <col min="27" max="27" width="10.85546875" bestFit="1" customWidth="1"/>
  </cols>
  <sheetData>
    <row r="1" spans="1:43" ht="50.25" customHeight="1" x14ac:dyDescent="0.25">
      <c r="A1" s="165" t="str">
        <f>'Usage &amp; Cust. Count'!A25</f>
        <v>St. Joseph Residential Usage (1000 Gallons)</v>
      </c>
      <c r="B1" s="53"/>
      <c r="C1" s="53"/>
      <c r="D1" s="53"/>
      <c r="E1" s="53"/>
      <c r="F1" s="53"/>
      <c r="G1" s="215" t="s">
        <v>167</v>
      </c>
      <c r="H1" s="53"/>
      <c r="I1" s="53"/>
      <c r="J1" s="53"/>
      <c r="K1" s="53"/>
      <c r="L1" s="53"/>
      <c r="M1" s="53"/>
      <c r="N1" s="53"/>
      <c r="O1" s="53" t="s">
        <v>198</v>
      </c>
      <c r="P1" s="26"/>
      <c r="Q1" s="21"/>
      <c r="S1" s="39" t="s">
        <v>103</v>
      </c>
      <c r="T1" s="5"/>
      <c r="U1" s="5"/>
      <c r="V1" s="5"/>
      <c r="W1" s="30" t="s">
        <v>117</v>
      </c>
      <c r="X1" s="5" t="s">
        <v>119</v>
      </c>
      <c r="Y1" s="30" t="s">
        <v>118</v>
      </c>
      <c r="Z1" s="5"/>
      <c r="AA1" s="30"/>
      <c r="AB1" s="5"/>
      <c r="AD1" s="2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17.25" customHeight="1" x14ac:dyDescent="0.25">
      <c r="A2" s="195">
        <v>2023</v>
      </c>
      <c r="B2" s="191">
        <f>'Usage &amp; Cust. Count'!O26</f>
        <v>1391753.027</v>
      </c>
      <c r="C2" s="53"/>
      <c r="D2" s="53"/>
      <c r="E2" s="53"/>
      <c r="F2" s="53"/>
      <c r="G2" s="197">
        <f>'Usage &amp; Cust. Count'!AG26</f>
        <v>28678.333333333332</v>
      </c>
      <c r="H2" s="53"/>
      <c r="I2" s="53"/>
      <c r="J2" s="53"/>
      <c r="K2" s="191">
        <f>SUM(G2+G25+G48+G68+G88+G108+G128+G148+G168+G184+G200+G216+G231+G245+G258+G270+G281+G292+G301+G310+G319+G327+G337+G343+G349+G355+G360+G365+G370+G374+G378)</f>
        <v>119931.5</v>
      </c>
      <c r="L2" s="53"/>
      <c r="M2" s="53" t="s">
        <v>120</v>
      </c>
      <c r="N2" s="53"/>
      <c r="P2" s="26"/>
      <c r="Q2" s="21"/>
      <c r="R2" s="195">
        <v>2023</v>
      </c>
      <c r="S2" s="167">
        <f>SUM(B2+B25+B48+B68+B88+B108+B128+B148+B168+B184+B200+B216+B231+B245+B258+B270+B281+B292+B301+B310+B319+B327+B337+B343+B349+B355+B360+B365+B370+B374)</f>
        <v>6752473.1522000004</v>
      </c>
      <c r="T2" s="136">
        <f t="shared" ref="T2:T4" si="0">S2-S3</f>
        <v>75945.431294287555</v>
      </c>
      <c r="U2" s="5"/>
      <c r="V2" s="5"/>
      <c r="W2" s="70">
        <f>(S2/K2)*1000</f>
        <v>56302.749087604177</v>
      </c>
      <c r="X2" s="233">
        <f>W2-W3</f>
        <v>-408.79933613909816</v>
      </c>
      <c r="Y2" s="234">
        <f>X2/12</f>
        <v>-34.066611344924844</v>
      </c>
      <c r="Z2" s="185"/>
      <c r="AA2" s="30"/>
      <c r="AB2" s="5"/>
      <c r="AD2" s="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17.25" customHeight="1" x14ac:dyDescent="0.25">
      <c r="A3" s="195">
        <v>2022</v>
      </c>
      <c r="B3" s="191">
        <f>'Usage &amp; Cust. Count'!O27</f>
        <v>1390745.9040000001</v>
      </c>
      <c r="C3" s="53"/>
      <c r="D3" s="53"/>
      <c r="E3" s="53"/>
      <c r="F3" s="53"/>
      <c r="G3" s="197">
        <f>'Usage &amp; Cust. Count'!AG27</f>
        <v>28556</v>
      </c>
      <c r="H3" s="53"/>
      <c r="I3" s="53"/>
      <c r="J3" s="53"/>
      <c r="K3" s="191">
        <f>SUM(G3+G26+G49+G69+G89+G109+G129+G149+G169+G185+G201+G217+G232+G246+G259+G271+G282+G293+G302+G311+G320+G328+G338+G344+G350+G356+G361+G366)</f>
        <v>117727.83333333337</v>
      </c>
      <c r="L3" s="53"/>
      <c r="M3" s="53">
        <f>SUM(K2:K6)/5</f>
        <v>116727.31666666668</v>
      </c>
      <c r="N3" s="53"/>
      <c r="P3" s="26"/>
      <c r="Q3" s="21"/>
      <c r="R3" s="195">
        <v>2022</v>
      </c>
      <c r="S3" s="167">
        <f>SUM(B3+B26+B49+B69+B89+B109+B129+B149+B169+B185+B201+B217+B232+B246+B259+B271+B282+B293+B302+B311+B320+B328+B338+B344+B350+B356+B361+B366)</f>
        <v>6676527.7209057128</v>
      </c>
      <c r="T3" s="136">
        <f t="shared" si="0"/>
        <v>215754.61848169658</v>
      </c>
      <c r="U3" s="5"/>
      <c r="V3" s="5"/>
      <c r="W3" s="70">
        <f t="shared" ref="W3:W13" si="1">(S3/K3)*1000</f>
        <v>56711.548423743276</v>
      </c>
      <c r="X3" s="233">
        <f>W3-W4</f>
        <v>1021.4697047719892</v>
      </c>
      <c r="Y3" s="234">
        <f>X3/12</f>
        <v>85.122475397665767</v>
      </c>
      <c r="AA3" s="154"/>
      <c r="AB3" s="5"/>
      <c r="AD3" s="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 x14ac:dyDescent="0.25">
      <c r="A4" s="196">
        <v>2021</v>
      </c>
      <c r="B4" s="191">
        <f>'Usage &amp; Cust. Count'!O28</f>
        <v>1404758.3609999998</v>
      </c>
      <c r="C4" s="53"/>
      <c r="D4" s="53"/>
      <c r="E4" s="53"/>
      <c r="F4" s="53"/>
      <c r="G4" s="197">
        <f>'Usage &amp; Cust. Count'!AG28</f>
        <v>28509.833333333332</v>
      </c>
      <c r="H4" s="53"/>
      <c r="I4" s="53"/>
      <c r="J4" s="53"/>
      <c r="K4" s="191">
        <f>SUM(G4+G27+G50+G70+G90+G110+G130+G150+G170+G186+G202+G218+G233+G247+G260++G272+G283+G294+G303+G312+G321+G329+G339+G345+G351)</f>
        <v>116013.00000000001</v>
      </c>
      <c r="L4" s="53"/>
      <c r="M4" s="53"/>
      <c r="N4" s="53"/>
      <c r="P4" s="26"/>
      <c r="Q4" s="21"/>
      <c r="R4" s="196">
        <v>2021</v>
      </c>
      <c r="S4" s="167">
        <f>SUM(B4+B27+B50+B70+B90+B110+B130+B150+B170+B186+B202+B218+B233+B247+B260+B272+B283+B294+B303+B312+B321+B329+B339+B345+B351)</f>
        <v>6460773.1024240162</v>
      </c>
      <c r="T4" s="224">
        <f t="shared" si="0"/>
        <v>-93465.928575985134</v>
      </c>
      <c r="U4" s="5"/>
      <c r="V4" s="5"/>
      <c r="W4" s="70">
        <f t="shared" si="1"/>
        <v>55690.078718971286</v>
      </c>
      <c r="X4" s="235">
        <f t="shared" ref="X4:X12" si="2">W4-W5</f>
        <v>-1110.5114315612664</v>
      </c>
      <c r="Y4" s="236">
        <f t="shared" ref="Y4:Y12" si="3">X4/12</f>
        <v>-92.542619296772202</v>
      </c>
      <c r="Z4" s="5"/>
      <c r="AA4" s="5"/>
      <c r="AB4" s="5"/>
      <c r="AD4" s="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17.25" customHeight="1" x14ac:dyDescent="0.25">
      <c r="A5" s="196">
        <v>2020</v>
      </c>
      <c r="B5" s="191">
        <f>'Usage &amp; Cust. Count'!O29</f>
        <v>1407730.5390000001</v>
      </c>
      <c r="C5" s="53"/>
      <c r="D5" s="53"/>
      <c r="E5" s="53"/>
      <c r="F5" s="53"/>
      <c r="G5" s="197">
        <f>'Usage &amp; Cust. Count'!AG29</f>
        <v>28421.083333333332</v>
      </c>
      <c r="H5" s="53"/>
      <c r="I5" s="53"/>
      <c r="J5" s="53"/>
      <c r="K5" s="191">
        <f>SUM(G5+G28+G51+G71+G91+G111+G131+G151+G171+G187+G203+G219+G234+G248+G261+G273+G284+G295+G304+G313+G322+G330)</f>
        <v>115390.33333333334</v>
      </c>
      <c r="L5" s="53"/>
      <c r="N5" s="53"/>
      <c r="P5" s="26"/>
      <c r="Q5" s="21"/>
      <c r="R5" s="219">
        <v>2020</v>
      </c>
      <c r="S5" s="167">
        <f>SUM(B5+B28+B51+B71+B91+B111+B131+B151+B171+B187+B203+B219+B234+B248+B261+B273+B284+B295+B304+B313+B322+B330+K285)</f>
        <v>6554239.0310000014</v>
      </c>
      <c r="T5" s="136">
        <f t="shared" ref="T5:T7" si="4">S5-S6</f>
        <v>505609.9179999996</v>
      </c>
      <c r="U5" s="130"/>
      <c r="V5" s="221"/>
      <c r="W5" s="70">
        <f t="shared" si="1"/>
        <v>56800.590150532553</v>
      </c>
      <c r="X5" s="233">
        <f t="shared" si="2"/>
        <v>4008.2156819398442</v>
      </c>
      <c r="Y5" s="234">
        <f t="shared" si="3"/>
        <v>334.01797349498702</v>
      </c>
      <c r="Z5" s="182"/>
      <c r="AA5" s="183"/>
      <c r="AB5" s="5"/>
      <c r="AD5" s="2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15.75" customHeight="1" x14ac:dyDescent="0.25">
      <c r="A6" s="5">
        <v>2019</v>
      </c>
      <c r="B6" s="191">
        <f>'Usage &amp; Cust. Count'!O30</f>
        <v>1363535.82</v>
      </c>
      <c r="C6" s="53"/>
      <c r="D6" s="53"/>
      <c r="E6" s="53"/>
      <c r="F6" s="53"/>
      <c r="G6" s="197">
        <f>'Usage &amp; Cust. Count'!AG30</f>
        <v>28310.416666666668</v>
      </c>
      <c r="H6" s="53"/>
      <c r="I6" s="53"/>
      <c r="J6" s="53"/>
      <c r="K6" s="191">
        <f>SUM(G6+G29+G52+G72+G92+G112+G132+G152+G172+G188+G204+G220+G235+G249+G262+G274+G285+G296+G305+G314+G323+G331)</f>
        <v>114573.91666666666</v>
      </c>
      <c r="L6" s="53"/>
      <c r="M6" s="181" t="s">
        <v>126</v>
      </c>
      <c r="N6" s="53"/>
      <c r="P6" s="26"/>
      <c r="Q6" s="21"/>
      <c r="R6" s="130">
        <v>2019</v>
      </c>
      <c r="S6" s="167">
        <f>SUM(B6+B29+B52+B72+B92+B112+B132+B152+B172+B188+B204+B220+B235+B249+B262+B274+B285+B296+B305+B314+B323+B331)</f>
        <v>6048629.1130000018</v>
      </c>
      <c r="T6" s="224">
        <f t="shared" si="4"/>
        <v>-672473.73699999973</v>
      </c>
      <c r="U6" s="130"/>
      <c r="V6" s="130"/>
      <c r="W6" s="70">
        <f t="shared" si="1"/>
        <v>52792.374468592709</v>
      </c>
      <c r="X6" s="233">
        <f t="shared" si="2"/>
        <v>-6131.8032013180273</v>
      </c>
      <c r="Y6" s="234">
        <f t="shared" si="3"/>
        <v>-510.98360010983561</v>
      </c>
      <c r="Z6" s="5"/>
      <c r="AA6" s="5"/>
      <c r="AB6" s="5"/>
      <c r="AD6" s="2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16.5" customHeight="1" x14ac:dyDescent="0.25">
      <c r="A7" s="5">
        <v>2018</v>
      </c>
      <c r="B7" s="191">
        <f>'Usage &amp; Cust. Count'!O31</f>
        <v>1477622.3</v>
      </c>
      <c r="C7" s="53"/>
      <c r="D7" s="53"/>
      <c r="E7" s="53"/>
      <c r="F7" s="53"/>
      <c r="G7" s="197">
        <f>'Usage &amp; Cust. Count'!AG31</f>
        <v>28367.25</v>
      </c>
      <c r="H7" s="53"/>
      <c r="I7" s="53"/>
      <c r="J7" s="53"/>
      <c r="K7" s="191">
        <f>SUM(G7+G30+G53+G73+G93+G113+G133+G153+G173+G189+G205+G221+G236+G250+G263+G275+G286+G297+G306+G315+G324+G332)</f>
        <v>114063.58333333333</v>
      </c>
      <c r="L7" s="53"/>
      <c r="M7" s="181">
        <f>SUM(K2:K11)/10</f>
        <v>114089.61547619049</v>
      </c>
      <c r="N7" s="53"/>
      <c r="P7" s="26"/>
      <c r="Q7" s="21"/>
      <c r="R7" s="130">
        <v>2018</v>
      </c>
      <c r="S7" s="206">
        <f>SUM(B7+B30+B53+B73+B93+B113+B133+B153+B173+B189+B205+B221+B236+B250+B263+B275+B286+B297+B306+B315+B332)</f>
        <v>6721102.8500000015</v>
      </c>
      <c r="T7" s="136">
        <f t="shared" si="4"/>
        <v>128875.06971428636</v>
      </c>
      <c r="U7" s="130"/>
      <c r="V7" s="130"/>
      <c r="W7" s="70">
        <f t="shared" si="1"/>
        <v>58924.177669910736</v>
      </c>
      <c r="X7" s="235">
        <f t="shared" si="2"/>
        <v>296.15425669499382</v>
      </c>
      <c r="Y7" s="236">
        <f t="shared" si="3"/>
        <v>24.679521391249484</v>
      </c>
      <c r="AB7" s="5"/>
      <c r="AD7" s="2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x14ac:dyDescent="0.25">
      <c r="A8" s="5">
        <v>2017</v>
      </c>
      <c r="B8" s="191">
        <f>'Usage &amp; Cust. Count'!O32</f>
        <v>1447581.0089999996</v>
      </c>
      <c r="C8" s="55"/>
      <c r="D8" s="55"/>
      <c r="E8" s="55"/>
      <c r="F8" s="55"/>
      <c r="G8" s="197">
        <f>'Usage &amp; Cust. Count'!AG32</f>
        <v>28412.833333333332</v>
      </c>
      <c r="H8" s="58"/>
      <c r="I8" s="59"/>
      <c r="K8" s="191">
        <f>SUM(G8+G31+G54+G74+G94+G114+G134+G154+G174+G190+G206+G222+G237+G251+G264+G276+G287+G298+G307+G316+G325+G333)</f>
        <v>112441.58333333333</v>
      </c>
      <c r="P8" s="27"/>
      <c r="Q8" s="22"/>
      <c r="R8" s="130">
        <v>2017</v>
      </c>
      <c r="S8" s="101">
        <f>SUM(B8+B31+B54+B74+B94+B114+B134+B154+B174+B190+B206+B222+B237+B251+B264+B276+B287+B333)</f>
        <v>6592227.7802857151</v>
      </c>
      <c r="T8" s="136">
        <f>S8-S9</f>
        <v>189405.27128571644</v>
      </c>
      <c r="U8" s="222"/>
      <c r="V8" s="222"/>
      <c r="W8" s="70">
        <f t="shared" si="1"/>
        <v>58628.023413215742</v>
      </c>
      <c r="X8" s="233">
        <f t="shared" si="2"/>
        <v>981.41511559198261</v>
      </c>
      <c r="Y8" s="236">
        <f t="shared" si="3"/>
        <v>81.784592965998556</v>
      </c>
      <c r="Z8" s="4"/>
      <c r="AA8" s="4"/>
      <c r="AB8" s="4"/>
      <c r="AD8" s="3"/>
      <c r="AE8" s="9"/>
      <c r="AF8" s="9"/>
      <c r="AG8" s="9"/>
      <c r="AH8" s="9"/>
      <c r="AI8" s="9"/>
      <c r="AJ8" s="9"/>
      <c r="AK8" s="12"/>
    </row>
    <row r="9" spans="1:43" x14ac:dyDescent="0.25">
      <c r="A9" s="5">
        <v>2016</v>
      </c>
      <c r="B9" s="191">
        <f>'Usage &amp; Cust. Count'!O33</f>
        <v>1438308.581</v>
      </c>
      <c r="C9" s="55"/>
      <c r="D9" s="55"/>
      <c r="E9" s="55"/>
      <c r="F9" s="55"/>
      <c r="G9" s="197">
        <f>'Usage &amp; Cust. Count'!AG33</f>
        <v>28411</v>
      </c>
      <c r="H9" s="55"/>
      <c r="I9" s="55"/>
      <c r="J9" s="55"/>
      <c r="K9" s="191">
        <f>SUM(G9+G32+G55+G75+G95+G115+G135+G155+G175+G191+G207+G223+G238+G252+G265+G277+G288)</f>
        <v>111070.23809523809</v>
      </c>
      <c r="L9" s="55"/>
      <c r="P9" s="27"/>
      <c r="Q9" s="23"/>
      <c r="R9" s="130">
        <v>2016</v>
      </c>
      <c r="S9" s="101">
        <f>SUM(B9+B32+B55+B75+B95+B115+B135+B155+B175+B191+B207+B223+B238+B252+B265+B277+B288)</f>
        <v>6402822.5089999987</v>
      </c>
      <c r="T9" s="136">
        <f t="shared" ref="T9:T16" si="5">S9-S10</f>
        <v>71863.460999999195</v>
      </c>
      <c r="U9" s="223"/>
      <c r="V9" s="223"/>
      <c r="W9" s="70">
        <f t="shared" si="1"/>
        <v>57646.608297623759</v>
      </c>
      <c r="X9" s="235">
        <f t="shared" si="2"/>
        <v>134.74121197238128</v>
      </c>
      <c r="Y9" s="236">
        <f t="shared" si="3"/>
        <v>11.228434331031773</v>
      </c>
      <c r="Z9" s="6"/>
      <c r="AA9" s="6"/>
      <c r="AB9" s="6"/>
      <c r="AD9" s="3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3" x14ac:dyDescent="0.25">
      <c r="A10" s="5">
        <v>2015</v>
      </c>
      <c r="B10" s="191">
        <f>'Usage &amp; Cust. Count'!O34</f>
        <v>1429909.649</v>
      </c>
      <c r="C10" s="55"/>
      <c r="D10" s="55"/>
      <c r="E10" s="55"/>
      <c r="F10" s="55"/>
      <c r="G10" s="197">
        <f>'Usage &amp; Cust. Count'!AG34</f>
        <v>28409.75</v>
      </c>
      <c r="H10" s="55"/>
      <c r="I10" s="55"/>
      <c r="J10" s="55"/>
      <c r="K10" s="191">
        <f>SUM(G10+G33+G56+G76+G96+G116+G136+G156+G176+G192+G208+G224+G239+G253+G266+G278+G289)</f>
        <v>110080.91666666669</v>
      </c>
      <c r="L10" s="55"/>
      <c r="P10" s="27"/>
      <c r="Q10" s="23"/>
      <c r="R10" s="130">
        <v>2015</v>
      </c>
      <c r="S10" s="101">
        <f>SUM(B10+B33+B56+B76+B96+B116+B136+B156+B176+B192+B208+B224+B239+B253+B266)</f>
        <v>6330959.0479999995</v>
      </c>
      <c r="T10" s="224">
        <f t="shared" si="5"/>
        <v>-146476.0569999991</v>
      </c>
      <c r="U10" s="223"/>
      <c r="V10" s="223"/>
      <c r="W10" s="70">
        <f t="shared" si="1"/>
        <v>57511.867085651378</v>
      </c>
      <c r="X10" s="233">
        <f t="shared" si="2"/>
        <v>-1587.0657014694298</v>
      </c>
      <c r="Y10" s="234">
        <f t="shared" si="3"/>
        <v>-132.25547512245248</v>
      </c>
      <c r="Z10" s="6"/>
      <c r="AA10" s="6"/>
      <c r="AB10" s="6"/>
      <c r="AD10" s="3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3" x14ac:dyDescent="0.25">
      <c r="A11" s="5">
        <v>2014</v>
      </c>
      <c r="B11" s="191">
        <f>'Usage &amp; Cust. Count'!O35</f>
        <v>1472821.7240000004</v>
      </c>
      <c r="C11" s="55"/>
      <c r="D11" s="55"/>
      <c r="E11" s="55"/>
      <c r="F11" s="55"/>
      <c r="G11" s="197">
        <f>'Usage &amp; Cust. Count'!AG35</f>
        <v>28560.25</v>
      </c>
      <c r="H11" s="55"/>
      <c r="I11" s="55"/>
      <c r="J11" s="55"/>
      <c r="K11" s="191">
        <f>SUM(G11+G34+G57+G77+G97+G117+G137+G157+G177+G193+G209+G225+G240+G254+G267+G279+G290)</f>
        <v>109603.25</v>
      </c>
      <c r="L11" s="55"/>
      <c r="M11" s="55"/>
      <c r="P11" s="27"/>
      <c r="Q11" s="23"/>
      <c r="R11" s="130">
        <v>2014</v>
      </c>
      <c r="S11" s="101">
        <f>SUM(B11+B34+B57+B77+B97+B117+B137+B157+B177+B193+B209+B225+B240+B254)</f>
        <v>6477435.1049999986</v>
      </c>
      <c r="T11" s="224">
        <f t="shared" si="5"/>
        <v>-192246.98848000169</v>
      </c>
      <c r="U11" s="223"/>
      <c r="V11" s="223"/>
      <c r="W11" s="70">
        <f t="shared" si="1"/>
        <v>59098.932787120808</v>
      </c>
      <c r="X11" s="233">
        <f t="shared" si="2"/>
        <v>-2253.7930486059049</v>
      </c>
      <c r="Y11" s="234">
        <f t="shared" si="3"/>
        <v>-187.81608738382542</v>
      </c>
      <c r="Z11" s="6"/>
      <c r="AA11" s="6"/>
      <c r="AB11" s="6"/>
      <c r="AD11" s="3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3" x14ac:dyDescent="0.25">
      <c r="A12" s="5">
        <v>2013</v>
      </c>
      <c r="B12" s="191">
        <f>'Usage &amp; Cust. Count'!O36</f>
        <v>1570800.1220000002</v>
      </c>
      <c r="C12" s="55"/>
      <c r="D12" s="55"/>
      <c r="E12" s="55"/>
      <c r="F12" s="55"/>
      <c r="G12" s="197">
        <f>'Usage &amp; Cust. Count'!AG36</f>
        <v>28736.833333333332</v>
      </c>
      <c r="H12" s="55"/>
      <c r="I12" s="55"/>
      <c r="J12" s="55"/>
      <c r="K12" s="191">
        <f>SUM(G12+G35++G58+G78+G98+G118+G138+G158+G178+G194+G210+G226+G241)</f>
        <v>108710.44444444444</v>
      </c>
      <c r="L12" s="55"/>
      <c r="M12" s="55"/>
      <c r="P12" s="27"/>
      <c r="Q12" s="23"/>
      <c r="R12" s="130">
        <v>2013</v>
      </c>
      <c r="S12" s="101">
        <f>SUM(B12+B35+B58+B78+B98+B118+B138+B158+B178+B194+B210+B226+B241)</f>
        <v>6669682.0934800003</v>
      </c>
      <c r="T12" s="136">
        <f t="shared" si="5"/>
        <v>-812438.3053600844</v>
      </c>
      <c r="U12" s="223"/>
      <c r="V12" s="223"/>
      <c r="W12" s="70">
        <f t="shared" si="1"/>
        <v>61352.725835726713</v>
      </c>
      <c r="X12" s="233">
        <f t="shared" si="2"/>
        <v>-10182.678206504352</v>
      </c>
      <c r="Y12" s="234">
        <f t="shared" si="3"/>
        <v>-848.55651720869594</v>
      </c>
      <c r="Z12" s="6"/>
      <c r="AA12" s="6"/>
      <c r="AB12" s="6"/>
      <c r="AD12" s="3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3" x14ac:dyDescent="0.25">
      <c r="A13" s="5">
        <v>2012</v>
      </c>
      <c r="B13" s="191">
        <f>'Usage &amp; Cust. Count'!O37</f>
        <v>1650560</v>
      </c>
      <c r="C13" s="55"/>
      <c r="D13" s="55"/>
      <c r="E13" s="55"/>
      <c r="F13" s="55"/>
      <c r="G13" s="197">
        <f>'Usage &amp; Cust. Count'!AG37</f>
        <v>28548.916666666668</v>
      </c>
      <c r="H13" s="55"/>
      <c r="I13" s="55"/>
      <c r="J13" s="55"/>
      <c r="K13" s="191">
        <f>SUM(G13+G36++G59+G79+G99+G119+G139+G159+G179+G195+G211+G227+G242)</f>
        <v>104593.25000000001</v>
      </c>
      <c r="L13" s="55"/>
      <c r="M13" s="55"/>
      <c r="P13" s="27"/>
      <c r="Q13" s="23"/>
      <c r="R13" s="130">
        <v>2012</v>
      </c>
      <c r="S13" s="101">
        <f>SUM(B13+B36+B59+B79+B99+B119+B139+B159+B179+B195+B211+B227)</f>
        <v>7482120.3988400847</v>
      </c>
      <c r="T13" s="136">
        <f t="shared" si="5"/>
        <v>463555.58802084066</v>
      </c>
      <c r="U13" s="223"/>
      <c r="V13" s="223"/>
      <c r="W13" s="70">
        <f t="shared" si="1"/>
        <v>71535.404042231065</v>
      </c>
      <c r="X13" s="235"/>
      <c r="Y13" s="236"/>
      <c r="Z13" s="6"/>
      <c r="AA13" s="6"/>
      <c r="AB13" s="6"/>
      <c r="AD13" s="3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3" x14ac:dyDescent="0.25">
      <c r="A14" s="5">
        <v>2011</v>
      </c>
      <c r="B14" s="191">
        <f>'Usage &amp; Cust. Count'!O38</f>
        <v>1557624</v>
      </c>
      <c r="C14" s="55"/>
      <c r="D14" s="55"/>
      <c r="E14" s="55"/>
      <c r="F14" s="55"/>
      <c r="G14" s="197">
        <f>'Usage &amp; Cust. Count'!AG38</f>
        <v>28510.833333333332</v>
      </c>
      <c r="H14" s="55"/>
      <c r="I14" s="55"/>
      <c r="J14" s="55"/>
      <c r="K14" s="191">
        <f>SUM(G14+G37++G60+G80+G100+G120+G140+G160+G180+G196+G212+G228+G243)</f>
        <v>104424.50000000001</v>
      </c>
      <c r="L14" s="55"/>
      <c r="M14" s="55"/>
      <c r="P14" s="27"/>
      <c r="Q14" s="23"/>
      <c r="R14" s="130">
        <v>2011</v>
      </c>
      <c r="S14" s="101">
        <f>SUM(B14+B37+B60+B80+B100+B120+B140+B160+B180+B196+B212)</f>
        <v>7018564.810819244</v>
      </c>
      <c r="T14" s="136">
        <f t="shared" si="5"/>
        <v>259514.81081924401</v>
      </c>
      <c r="U14" s="223"/>
      <c r="V14" s="223"/>
      <c r="W14" s="223"/>
      <c r="X14" s="6"/>
      <c r="Y14" s="6"/>
      <c r="Z14" s="6"/>
      <c r="AA14" s="6"/>
      <c r="AB14" s="6"/>
      <c r="AD14" s="3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3" x14ac:dyDescent="0.25">
      <c r="A15" s="5">
        <v>2010</v>
      </c>
      <c r="B15" s="191">
        <f>'Usage &amp; Cust. Count'!O39</f>
        <v>1561322</v>
      </c>
      <c r="C15" s="55"/>
      <c r="D15" s="55"/>
      <c r="E15" s="55"/>
      <c r="F15" s="55"/>
      <c r="G15" s="197">
        <f>'Usage &amp; Cust. Count'!AG39</f>
        <v>28452.583333333332</v>
      </c>
      <c r="H15" s="55"/>
      <c r="I15" s="55"/>
      <c r="J15" s="55"/>
      <c r="K15" s="191">
        <f>SUM(G15+G38+G61+G81+G101+G121+G141+G161)</f>
        <v>103458.91666666666</v>
      </c>
      <c r="L15" s="55"/>
      <c r="M15" s="55"/>
      <c r="P15" s="27"/>
      <c r="Q15" s="23"/>
      <c r="R15" s="130">
        <v>2010</v>
      </c>
      <c r="S15" s="101">
        <f>SUM(B15+B38+B61+B81+B101+B121+B141+B161)</f>
        <v>6759050</v>
      </c>
      <c r="T15" s="224">
        <f t="shared" si="5"/>
        <v>284287</v>
      </c>
      <c r="U15" s="223"/>
      <c r="V15" s="223"/>
      <c r="W15" s="223"/>
      <c r="X15" s="6"/>
      <c r="Y15" s="6"/>
      <c r="Z15" s="6"/>
      <c r="AA15" s="6"/>
      <c r="AB15" s="6"/>
      <c r="AD15" s="3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3" x14ac:dyDescent="0.25">
      <c r="A16" s="5">
        <v>2009</v>
      </c>
      <c r="B16" s="191">
        <f>'Usage &amp; Cust. Count'!O40</f>
        <v>1573102</v>
      </c>
      <c r="C16" s="55"/>
      <c r="D16" s="55"/>
      <c r="E16" s="55"/>
      <c r="F16" s="55"/>
      <c r="G16" s="197">
        <f>'Usage &amp; Cust. Count'!AG40</f>
        <v>28543.5</v>
      </c>
      <c r="H16" s="55"/>
      <c r="I16" s="55"/>
      <c r="J16" s="55"/>
      <c r="K16" s="191">
        <f>SUM(G16+G39+G62+G82+G102+G122+G142+G162)</f>
        <v>103062.08333333333</v>
      </c>
      <c r="L16" s="55"/>
      <c r="M16" s="55"/>
      <c r="P16" s="27"/>
      <c r="Q16" s="23"/>
      <c r="R16" s="130">
        <v>2009</v>
      </c>
      <c r="S16" s="101">
        <f>SUM(B16+B39+B62+B82+B102+B122+B142+B162)</f>
        <v>6474763</v>
      </c>
      <c r="T16" s="224">
        <f t="shared" si="5"/>
        <v>-161609</v>
      </c>
      <c r="U16" s="223"/>
      <c r="V16" s="223"/>
      <c r="W16" s="223"/>
      <c r="X16" s="6"/>
      <c r="Y16" s="6"/>
      <c r="Z16" s="6"/>
      <c r="AA16" s="6"/>
      <c r="AB16" s="6"/>
      <c r="AD16" s="3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3" x14ac:dyDescent="0.25">
      <c r="A17" s="5">
        <v>2008</v>
      </c>
      <c r="B17" s="191">
        <f>'Usage &amp; Cust. Count'!O41</f>
        <v>1618783</v>
      </c>
      <c r="C17" s="55"/>
      <c r="D17" s="55"/>
      <c r="E17" s="55"/>
      <c r="F17" s="55"/>
      <c r="G17" s="197">
        <f>'Usage &amp; Cust. Count'!AG41</f>
        <v>28594.666666666668</v>
      </c>
      <c r="H17" s="55"/>
      <c r="I17" s="55"/>
      <c r="J17" s="55"/>
      <c r="K17" s="191">
        <f>SUM(G17+G40+G63+G83+G103+G123+G143+G163)</f>
        <v>102833.66666666667</v>
      </c>
      <c r="L17" s="55"/>
      <c r="M17" s="55"/>
      <c r="P17" s="27"/>
      <c r="Q17" s="23"/>
      <c r="R17" s="130">
        <v>2008</v>
      </c>
      <c r="S17" s="101">
        <f>SUM(B17+B40+B63+B83+B103+B123+B143+B163)</f>
        <v>6636372</v>
      </c>
      <c r="T17" s="223"/>
      <c r="U17" s="223"/>
      <c r="V17" s="223"/>
      <c r="W17" s="223"/>
      <c r="X17" s="6"/>
      <c r="Y17" s="6"/>
      <c r="Z17" s="6"/>
      <c r="AA17" s="6"/>
      <c r="AB17" s="6"/>
      <c r="AD17" s="3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3" x14ac:dyDescent="0.25">
      <c r="A18" s="5">
        <v>2007</v>
      </c>
      <c r="B18" s="191">
        <f>'Usage &amp; Cust. Count'!O42</f>
        <v>926764.7</v>
      </c>
      <c r="C18" s="55"/>
      <c r="D18" s="55"/>
      <c r="E18" s="55"/>
      <c r="F18" s="55"/>
      <c r="G18" s="197">
        <f>'Usage &amp; Cust. Count'!AG42</f>
        <v>28646.416666666668</v>
      </c>
      <c r="H18" s="55"/>
      <c r="I18" s="55"/>
      <c r="J18" s="55"/>
      <c r="L18" s="55"/>
      <c r="M18" s="55"/>
      <c r="P18" s="27"/>
      <c r="Q18" s="23"/>
      <c r="R18" s="130"/>
      <c r="S18" s="225"/>
      <c r="T18" s="223"/>
      <c r="U18" s="223"/>
      <c r="V18" s="223"/>
      <c r="W18" s="223"/>
      <c r="X18" s="6"/>
      <c r="Y18" s="6"/>
      <c r="Z18" s="6"/>
      <c r="AA18" s="6"/>
      <c r="AB18" s="6"/>
      <c r="AD18" s="3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3" ht="30" x14ac:dyDescent="0.25">
      <c r="A19" s="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P19" s="27"/>
      <c r="Q19" s="23"/>
      <c r="R19" s="130"/>
      <c r="S19" s="226" t="s">
        <v>104</v>
      </c>
      <c r="T19" s="223"/>
      <c r="U19" s="223"/>
      <c r="V19" s="223"/>
      <c r="W19" s="223"/>
      <c r="X19" s="6"/>
      <c r="Y19" s="6"/>
      <c r="Z19" s="6"/>
      <c r="AA19" s="6"/>
      <c r="AB19" s="6"/>
      <c r="AD19" s="3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3" x14ac:dyDescent="0.25">
      <c r="A20" s="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7"/>
      <c r="Q20" s="24"/>
      <c r="R20" s="130" t="s">
        <v>66</v>
      </c>
      <c r="S20" s="220">
        <f>SUM(S2+S3+S4+S5)/4</f>
        <v>6611003.2516324334</v>
      </c>
      <c r="T20" s="119"/>
      <c r="U20" s="119"/>
      <c r="V20" s="119"/>
      <c r="W20" s="119"/>
      <c r="X20" s="4"/>
      <c r="Y20" s="4"/>
      <c r="Z20" s="4"/>
      <c r="AA20" s="4"/>
      <c r="AB20" s="4"/>
    </row>
    <row r="21" spans="1:43" x14ac:dyDescent="0.25">
      <c r="A21" s="5"/>
      <c r="P21" s="27"/>
      <c r="Q21" s="24"/>
      <c r="R21" s="239" t="s">
        <v>47</v>
      </c>
      <c r="S21" s="237">
        <f>SUM(S2+S3+S4+S5+S6)/5</f>
        <v>6498528.4239059472</v>
      </c>
      <c r="T21" s="119"/>
      <c r="U21" s="119"/>
      <c r="V21" s="221"/>
      <c r="W21" s="119"/>
      <c r="X21" s="4"/>
      <c r="Y21" s="4"/>
      <c r="Z21" s="4"/>
      <c r="AA21" s="4"/>
      <c r="AB21" s="4"/>
      <c r="AP21" s="3"/>
      <c r="AQ21" s="16"/>
    </row>
    <row r="22" spans="1:43" x14ac:dyDescent="0.25">
      <c r="A22" s="5"/>
      <c r="P22" s="27"/>
      <c r="Q22" s="24"/>
      <c r="R22" s="130" t="s">
        <v>89</v>
      </c>
      <c r="S22" s="220">
        <f>SUM(S3+S4+S5+S6+S7)/5</f>
        <v>6492254.3634659462</v>
      </c>
      <c r="T22" s="119"/>
      <c r="U22" s="119"/>
      <c r="V22" s="119"/>
      <c r="W22" s="119"/>
      <c r="X22" s="4"/>
      <c r="Y22" s="4"/>
      <c r="Z22" s="4"/>
      <c r="AA22" s="4"/>
      <c r="AB22" s="4"/>
      <c r="AP22" s="3"/>
      <c r="AQ22" s="16"/>
    </row>
    <row r="23" spans="1:43" x14ac:dyDescent="0.25">
      <c r="R23" s="130" t="s">
        <v>48</v>
      </c>
      <c r="S23" s="220">
        <f>SUM(S2+S3+S4+S5+S6+S7+S8+S9+S10+S11)/10</f>
        <v>6501718.9411815442</v>
      </c>
      <c r="T23" s="119"/>
      <c r="U23" s="16"/>
      <c r="V23" s="119"/>
      <c r="W23" s="16"/>
      <c r="AA23" s="5" t="s">
        <v>166</v>
      </c>
    </row>
    <row r="24" spans="1:43" ht="57.75" customHeight="1" x14ac:dyDescent="0.25">
      <c r="A24" s="165" t="s">
        <v>99</v>
      </c>
      <c r="B24" s="53"/>
      <c r="C24" s="53"/>
      <c r="D24" s="53"/>
      <c r="E24" s="53"/>
      <c r="F24" s="53"/>
      <c r="G24" s="215" t="s">
        <v>167</v>
      </c>
      <c r="H24" s="53"/>
      <c r="I24" s="53"/>
      <c r="J24" s="53"/>
      <c r="K24" s="53"/>
      <c r="L24" s="53"/>
      <c r="M24" s="53"/>
      <c r="N24" s="53"/>
      <c r="P24" s="26"/>
      <c r="Q24" s="21"/>
      <c r="R24" s="130"/>
      <c r="S24" s="226" t="s">
        <v>105</v>
      </c>
      <c r="T24" s="119"/>
      <c r="U24" s="227" t="s">
        <v>68</v>
      </c>
      <c r="V24" s="119"/>
      <c r="W24" s="227" t="s">
        <v>69</v>
      </c>
      <c r="X24" s="5"/>
      <c r="Y24" s="30" t="s">
        <v>170</v>
      </c>
      <c r="Z24" s="5"/>
      <c r="AA24" s="238">
        <f>(S25+S26+S27+S28+S29)/5</f>
        <v>55713.336693779063</v>
      </c>
      <c r="AB24" s="5"/>
      <c r="AD24" s="2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6.5" customHeight="1" x14ac:dyDescent="0.25">
      <c r="A25" s="195">
        <v>2023</v>
      </c>
      <c r="B25" s="191">
        <f>'Usage &amp; Cust. Count'!O49</f>
        <v>546884.848</v>
      </c>
      <c r="C25" s="53"/>
      <c r="D25" s="53"/>
      <c r="E25" s="53"/>
      <c r="F25" s="53"/>
      <c r="G25" s="197">
        <f>'Usage &amp; Cust. Count'!AG49</f>
        <v>6405.166666666667</v>
      </c>
      <c r="H25" s="53"/>
      <c r="I25" s="53"/>
      <c r="J25" s="53"/>
      <c r="K25" s="53"/>
      <c r="L25" s="53"/>
      <c r="M25" s="53"/>
      <c r="N25" s="53"/>
      <c r="P25" s="26"/>
      <c r="Q25" s="21"/>
      <c r="R25" s="228">
        <v>2023</v>
      </c>
      <c r="S25" s="231">
        <f>(S2/SUM(G2+G25+G48+G68+G88+G108+G128+G148+G168+G184+G200+G216+G231+G245+G258+G270+G281+G292+G301+G310+G319+G327+G337+G343+G349+G355+G360+G365+G370+G374))*1000</f>
        <v>56572.091707055522</v>
      </c>
      <c r="T25" s="213">
        <f t="shared" ref="T25:T31" si="6">S25-S26</f>
        <v>-139.45671668775321</v>
      </c>
      <c r="U25" s="232">
        <f t="shared" ref="U25:U40" si="7">S25/12</f>
        <v>4714.3409755879602</v>
      </c>
      <c r="V25" s="232">
        <f t="shared" ref="V25:V31" si="8">U25-U26</f>
        <v>-11.621393057313071</v>
      </c>
      <c r="W25" s="134">
        <f t="shared" ref="W25:W31" si="9">S25/365.25</f>
        <v>154.88594580987137</v>
      </c>
      <c r="X25" s="248">
        <f t="shared" ref="X25:X31" si="10">W25-W26</f>
        <v>-0.38181168155443856</v>
      </c>
      <c r="Y25" s="249">
        <f>X25*365.25</f>
        <v>-139.45671668775867</v>
      </c>
      <c r="Z25" s="5"/>
      <c r="AB25" s="5"/>
      <c r="AD25" s="2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6.5" customHeight="1" x14ac:dyDescent="0.25">
      <c r="A26" s="195">
        <v>2022</v>
      </c>
      <c r="B26" s="191">
        <f>'Usage &amp; Cust. Count'!O50</f>
        <v>515590.33871826029</v>
      </c>
      <c r="C26" s="53"/>
      <c r="D26" s="53"/>
      <c r="E26" s="53"/>
      <c r="F26" s="53"/>
      <c r="G26" s="197">
        <f>'Usage &amp; Cust. Count'!AG50</f>
        <v>6218.416666666667</v>
      </c>
      <c r="H26" s="53"/>
      <c r="I26" s="53"/>
      <c r="J26" s="53"/>
      <c r="K26" s="53"/>
      <c r="L26" s="53"/>
      <c r="M26" s="53"/>
      <c r="N26" s="53"/>
      <c r="P26" s="26"/>
      <c r="Q26" s="21"/>
      <c r="R26" s="228">
        <v>2022</v>
      </c>
      <c r="S26" s="231">
        <f>(S3/SUM(G3+G26+G49+G69+G89+G109+G129+G149+G169+G185+G201+G217+G232+G246+G259+G271+G282+G293+G302+G311+G320+G328+G338+G344+G350+G356+G361+G366))*1000</f>
        <v>56711.548423743276</v>
      </c>
      <c r="T26" s="213">
        <f t="shared" si="6"/>
        <v>1021.4697047719892</v>
      </c>
      <c r="U26" s="232">
        <f t="shared" si="7"/>
        <v>4725.9623686452733</v>
      </c>
      <c r="V26" s="232">
        <f t="shared" si="8"/>
        <v>85.122475397665767</v>
      </c>
      <c r="W26" s="134">
        <f t="shared" si="9"/>
        <v>155.26775749142581</v>
      </c>
      <c r="X26" s="247">
        <f t="shared" si="10"/>
        <v>2.7966316352415959</v>
      </c>
      <c r="Y26" s="246">
        <f t="shared" ref="Y26:Y40" si="11">X26*365.25</f>
        <v>1021.4697047719928</v>
      </c>
      <c r="Z26" s="5"/>
      <c r="AA26" s="250">
        <f>(Y25+Y26+Y27+Y28+Y29)/5</f>
        <v>-470.4171925710433</v>
      </c>
      <c r="AB26" s="5"/>
      <c r="AD26" s="2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5.75" customHeight="1" x14ac:dyDescent="0.25">
      <c r="A27" s="196">
        <v>2021</v>
      </c>
      <c r="B27" s="191">
        <f>'Usage &amp; Cust. Count'!O51</f>
        <v>492478.56228654215</v>
      </c>
      <c r="C27" s="53"/>
      <c r="D27" s="53"/>
      <c r="E27" s="53"/>
      <c r="F27" s="53"/>
      <c r="G27" s="197">
        <f>'Usage &amp; Cust. Count'!AG51</f>
        <v>6091.5</v>
      </c>
      <c r="H27" s="53"/>
      <c r="I27" s="53"/>
      <c r="J27" s="53"/>
      <c r="K27" s="53"/>
      <c r="L27" s="53"/>
      <c r="M27" s="53"/>
      <c r="N27" s="53"/>
      <c r="P27" s="26"/>
      <c r="Q27" s="21"/>
      <c r="R27" s="219">
        <v>2021</v>
      </c>
      <c r="S27" s="231">
        <f t="shared" ref="S27" si="12">(S4/SUM(G4+G27+G50+G70+G90+G110+G130+G150+G170+G186+G202+G218+G233+G247+G260+G272+G283+G294+G303+G312+G321+G329+G339+G345+G351))*1000</f>
        <v>55690.078718971286</v>
      </c>
      <c r="T27" s="213">
        <f>S27-S28</f>
        <v>-1110.5114315612664</v>
      </c>
      <c r="U27" s="232">
        <f t="shared" si="7"/>
        <v>4640.8398932476075</v>
      </c>
      <c r="V27" s="232">
        <f t="shared" si="8"/>
        <v>-92.542619296771591</v>
      </c>
      <c r="W27" s="134">
        <f t="shared" si="9"/>
        <v>152.47112585618422</v>
      </c>
      <c r="X27" s="247">
        <f t="shared" si="10"/>
        <v>-3.0404145970192076</v>
      </c>
      <c r="Y27" s="246">
        <f t="shared" si="11"/>
        <v>-1110.5114315612655</v>
      </c>
      <c r="Z27" s="5"/>
      <c r="AA27" s="5"/>
      <c r="AB27" s="5"/>
      <c r="AD27" s="2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5" customHeight="1" x14ac:dyDescent="0.25">
      <c r="A28" s="196">
        <v>2020</v>
      </c>
      <c r="B28" s="191">
        <f>'Usage &amp; Cust. Count'!O52</f>
        <v>495426.24500000005</v>
      </c>
      <c r="C28" s="53"/>
      <c r="D28" s="53"/>
      <c r="E28" s="53"/>
      <c r="F28" s="53"/>
      <c r="G28" s="197">
        <f>'Usage &amp; Cust. Count'!AG52</f>
        <v>6019.083333333333</v>
      </c>
      <c r="H28" s="53"/>
      <c r="I28" s="53"/>
      <c r="J28" s="53"/>
      <c r="K28" s="53"/>
      <c r="L28" s="53"/>
      <c r="M28" s="53"/>
      <c r="N28" s="53"/>
      <c r="P28" s="26"/>
      <c r="Q28" s="21"/>
      <c r="R28" s="219">
        <v>2020</v>
      </c>
      <c r="S28" s="231">
        <f>(S5/SUM(G5+G28+G51+G71+G91+G111+G131+G151+G171+G187+G203+G219+G234+G248+G261+G273+G284+G295+G304+G313+G322+G330))*1000</f>
        <v>56800.590150532553</v>
      </c>
      <c r="T28" s="213">
        <f t="shared" si="6"/>
        <v>4008.2156819398442</v>
      </c>
      <c r="U28" s="232">
        <f t="shared" si="7"/>
        <v>4733.3825125443791</v>
      </c>
      <c r="V28" s="232">
        <f t="shared" si="8"/>
        <v>334.01797349498702</v>
      </c>
      <c r="W28" s="134">
        <f t="shared" si="9"/>
        <v>155.51154045320342</v>
      </c>
      <c r="X28" s="247">
        <f t="shared" si="10"/>
        <v>10.973896459794219</v>
      </c>
      <c r="Y28" s="246">
        <f t="shared" si="11"/>
        <v>4008.2156819398383</v>
      </c>
      <c r="AA28" s="5"/>
      <c r="AB28" s="5"/>
      <c r="AD28" s="2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5.75" customHeight="1" x14ac:dyDescent="0.25">
      <c r="A29" s="5">
        <v>2019</v>
      </c>
      <c r="B29" s="191">
        <f>'Usage &amp; Cust. Count'!O53</f>
        <v>431269.29999999993</v>
      </c>
      <c r="C29" s="53"/>
      <c r="D29" s="53"/>
      <c r="E29" s="53"/>
      <c r="F29" s="53"/>
      <c r="G29" s="197">
        <f>'Usage &amp; Cust. Count'!AG53</f>
        <v>5941.25</v>
      </c>
      <c r="H29" s="53"/>
      <c r="I29" s="53"/>
      <c r="J29" s="53"/>
      <c r="K29" s="53"/>
      <c r="L29" s="53"/>
      <c r="M29" s="53"/>
      <c r="N29" s="53"/>
      <c r="P29" s="26"/>
      <c r="Q29" s="21"/>
      <c r="R29" s="130">
        <v>2019</v>
      </c>
      <c r="S29" s="231">
        <f>(S6/SUM(G6+G29+G52+G72+G92+G112+G132+G152+G172+G188+G204+G220+G235+G249+G262+G274+G285+G296+G305+G314+G323+G331))*1000</f>
        <v>52792.374468592709</v>
      </c>
      <c r="T29" s="229">
        <f t="shared" si="6"/>
        <v>-6131.8032013180273</v>
      </c>
      <c r="U29" s="232">
        <f t="shared" si="7"/>
        <v>4399.3645390493921</v>
      </c>
      <c r="V29" s="230">
        <f t="shared" si="8"/>
        <v>-510.98360010983561</v>
      </c>
      <c r="W29" s="134">
        <f t="shared" si="9"/>
        <v>144.5376439934092</v>
      </c>
      <c r="X29" s="248">
        <f t="shared" si="10"/>
        <v>-16.787962221267691</v>
      </c>
      <c r="Y29" s="249">
        <f t="shared" si="11"/>
        <v>-6131.8032013180236</v>
      </c>
      <c r="Z29" s="5"/>
      <c r="AA29" s="5"/>
      <c r="AB29" s="5"/>
      <c r="AD29" s="2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5.75" customHeight="1" x14ac:dyDescent="0.25">
      <c r="A30" s="5">
        <v>2018</v>
      </c>
      <c r="B30" s="191">
        <f>'Usage &amp; Cust. Count'!O54</f>
        <v>480414.69999999995</v>
      </c>
      <c r="C30" s="53"/>
      <c r="D30" s="53"/>
      <c r="E30" s="53"/>
      <c r="F30" s="53"/>
      <c r="G30" s="197">
        <f>'Usage &amp; Cust. Count'!AG54</f>
        <v>5833.333333333333</v>
      </c>
      <c r="H30" s="53"/>
      <c r="I30" s="53"/>
      <c r="J30" s="53"/>
      <c r="K30" s="53"/>
      <c r="L30" s="53"/>
      <c r="M30" s="53"/>
      <c r="N30" s="53"/>
      <c r="P30" s="26"/>
      <c r="Q30" s="21"/>
      <c r="R30" s="130">
        <v>2018</v>
      </c>
      <c r="S30" s="231">
        <f>(S7/SUM(G7+G30+G53+G73+G93+G113+G133+G153+G173+G189+G205+G221+G236+G250+G263+G275+G286+G297+G306+G315+G332))*1000</f>
        <v>58924.177669910736</v>
      </c>
      <c r="T30" s="213">
        <f t="shared" si="6"/>
        <v>53.086672753132007</v>
      </c>
      <c r="U30" s="232">
        <f t="shared" si="7"/>
        <v>4910.3481391592277</v>
      </c>
      <c r="V30" s="232">
        <f t="shared" si="8"/>
        <v>4.4238893960937276</v>
      </c>
      <c r="W30" s="135">
        <f t="shared" si="9"/>
        <v>161.3256062146769</v>
      </c>
      <c r="X30" s="247">
        <f t="shared" si="10"/>
        <v>0.14534338878337394</v>
      </c>
      <c r="Y30" s="246">
        <f t="shared" si="11"/>
        <v>53.086672753127331</v>
      </c>
      <c r="Z30" s="5"/>
      <c r="AA30" s="5"/>
      <c r="AB30" s="5"/>
      <c r="AD30" s="2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4.25" customHeight="1" x14ac:dyDescent="0.25">
      <c r="A31" s="5">
        <v>2017</v>
      </c>
      <c r="B31" s="191">
        <f>'Usage &amp; Cust. Count'!O55</f>
        <v>436251.94699999993</v>
      </c>
      <c r="C31" s="53"/>
      <c r="D31" s="53"/>
      <c r="E31" s="53"/>
      <c r="F31" s="53"/>
      <c r="G31" s="197">
        <f>'Usage &amp; Cust. Count'!AG55</f>
        <v>5716</v>
      </c>
      <c r="H31" s="53"/>
      <c r="I31" s="53"/>
      <c r="J31" s="53"/>
      <c r="K31" s="53"/>
      <c r="L31" s="53"/>
      <c r="M31" s="53"/>
      <c r="N31" s="53"/>
      <c r="P31" s="26"/>
      <c r="Q31" s="21"/>
      <c r="R31" s="130">
        <v>2017</v>
      </c>
      <c r="S31" s="231">
        <f>(S8/SUM(G8+G31+G54+G74+G94+G114+G134+G154+G174+G190+G206+G222+G237+G251+G264+G276+G287))*1000</f>
        <v>58871.090997157604</v>
      </c>
      <c r="T31" s="213">
        <f t="shared" si="6"/>
        <v>1224.4826995338444</v>
      </c>
      <c r="U31" s="232">
        <f t="shared" si="7"/>
        <v>4905.924249763134</v>
      </c>
      <c r="V31" s="232">
        <f t="shared" si="8"/>
        <v>102.04022496115431</v>
      </c>
      <c r="W31" s="135">
        <f t="shared" si="9"/>
        <v>161.18026282589352</v>
      </c>
      <c r="X31" s="247">
        <f t="shared" si="10"/>
        <v>3.3524509227484032</v>
      </c>
      <c r="Y31" s="246">
        <f t="shared" si="11"/>
        <v>1224.4826995338542</v>
      </c>
      <c r="Z31" s="5"/>
      <c r="AA31" s="5"/>
      <c r="AB31" s="5"/>
      <c r="AD31" s="2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x14ac:dyDescent="0.25">
      <c r="A32" s="5">
        <v>2016</v>
      </c>
      <c r="B32" s="191">
        <f>'Usage &amp; Cust. Count'!O56</f>
        <v>435429.58800000005</v>
      </c>
      <c r="C32" s="55"/>
      <c r="D32" s="55"/>
      <c r="E32" s="55"/>
      <c r="F32" s="55"/>
      <c r="G32" s="197">
        <f>'Usage &amp; Cust. Count'!AG56</f>
        <v>5597.333333333333</v>
      </c>
      <c r="H32" s="58"/>
      <c r="I32" s="59"/>
      <c r="P32" s="27"/>
      <c r="Q32" s="22"/>
      <c r="R32" s="130">
        <v>2016</v>
      </c>
      <c r="S32" s="231">
        <f>(S9/SUM(G9+G32+G55+G75+G95+G115+G135+G155+G175+G191+G207+G223+G238+G252+G265+G277+G288))*1000</f>
        <v>57646.608297623759</v>
      </c>
      <c r="T32" s="213">
        <f>S32-S33</f>
        <v>134.74121197238128</v>
      </c>
      <c r="U32" s="232">
        <f t="shared" si="7"/>
        <v>4803.8840248019796</v>
      </c>
      <c r="V32" s="232">
        <f>U32-U33</f>
        <v>11.228434331031167</v>
      </c>
      <c r="W32" s="135">
        <f>S32/365.25</f>
        <v>157.82781190314512</v>
      </c>
      <c r="X32" s="247">
        <f>W32-W33</f>
        <v>0.36890133325769625</v>
      </c>
      <c r="Y32" s="246">
        <f t="shared" si="11"/>
        <v>134.74121197237355</v>
      </c>
      <c r="Z32" s="4"/>
      <c r="AA32" s="4"/>
      <c r="AB32" s="4"/>
      <c r="AD32" s="3"/>
      <c r="AE32" s="9"/>
      <c r="AF32" s="9"/>
      <c r="AG32" s="9"/>
      <c r="AH32" s="9"/>
      <c r="AI32" s="9"/>
      <c r="AJ32" s="9"/>
    </row>
    <row r="33" spans="1:43" x14ac:dyDescent="0.25">
      <c r="A33" s="5">
        <v>2015</v>
      </c>
      <c r="B33" s="191">
        <f>'Usage &amp; Cust. Count'!O57</f>
        <v>407917.21199999994</v>
      </c>
      <c r="C33" s="55"/>
      <c r="D33" s="55"/>
      <c r="E33" s="55"/>
      <c r="F33" s="55"/>
      <c r="G33" s="197">
        <f>'Usage &amp; Cust. Count'!AG57</f>
        <v>5461.583333333333</v>
      </c>
      <c r="H33" s="55"/>
      <c r="I33" s="55"/>
      <c r="J33" s="55"/>
      <c r="K33" s="55"/>
      <c r="L33" s="55"/>
      <c r="M33" s="55"/>
      <c r="P33" s="27"/>
      <c r="Q33" s="23"/>
      <c r="R33" s="130">
        <v>2015</v>
      </c>
      <c r="S33" s="231">
        <f>(S10/SUM(G10+G33+G56+G76+G96+G116+G136+G156+G176+G192+G208+G224+G239+G253+G266))*1000</f>
        <v>57511.867085651378</v>
      </c>
      <c r="T33" s="229">
        <f t="shared" ref="T33:T40" si="13">S33-S34</f>
        <v>-1587.0657014694298</v>
      </c>
      <c r="U33" s="232">
        <f t="shared" si="7"/>
        <v>4792.6555904709485</v>
      </c>
      <c r="V33" s="230">
        <f t="shared" ref="V33:V40" si="14">U33-U34</f>
        <v>-132.25547512245248</v>
      </c>
      <c r="W33" s="135">
        <f t="shared" ref="W33:W40" si="15">S33/365.25</f>
        <v>157.45891056988742</v>
      </c>
      <c r="X33" s="248">
        <f t="shared" ref="X33:X40" si="16">W33-W34</f>
        <v>-4.3451490799984356</v>
      </c>
      <c r="Y33" s="249">
        <f t="shared" si="11"/>
        <v>-1587.0657014694286</v>
      </c>
      <c r="Z33" s="6"/>
      <c r="AA33" s="6"/>
      <c r="AB33" s="6"/>
      <c r="AD33" s="3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3" x14ac:dyDescent="0.25">
      <c r="A34" s="5">
        <v>2014</v>
      </c>
      <c r="B34" s="191">
        <f>'Usage &amp; Cust. Count'!O58</f>
        <v>385133.50800000003</v>
      </c>
      <c r="C34" s="55"/>
      <c r="D34" s="55"/>
      <c r="E34" s="55"/>
      <c r="F34" s="55"/>
      <c r="G34" s="197">
        <f>'Usage &amp; Cust. Count'!AG58</f>
        <v>5337</v>
      </c>
      <c r="H34" s="55"/>
      <c r="I34" s="55"/>
      <c r="J34" s="55"/>
      <c r="K34" s="55"/>
      <c r="L34" s="55"/>
      <c r="M34" s="55"/>
      <c r="P34" s="27"/>
      <c r="Q34" s="23"/>
      <c r="R34" s="5">
        <v>2014</v>
      </c>
      <c r="S34" s="231">
        <f>(S11/SUM(G11+G34+G57+G77+G97+G117+G137+G157+G177+G193+G209+G225+G240+G254))*1000</f>
        <v>59098.932787120808</v>
      </c>
      <c r="T34" s="37">
        <f t="shared" si="13"/>
        <v>-2253.7930486059049</v>
      </c>
      <c r="U34" s="33">
        <f t="shared" si="7"/>
        <v>4924.911065593401</v>
      </c>
      <c r="V34" s="31">
        <f t="shared" si="14"/>
        <v>-187.81608738382511</v>
      </c>
      <c r="W34" s="133">
        <f t="shared" si="15"/>
        <v>161.80405964988586</v>
      </c>
      <c r="X34" s="248">
        <f t="shared" si="16"/>
        <v>-6.1705490721585363</v>
      </c>
      <c r="Y34" s="249">
        <f t="shared" si="11"/>
        <v>-2253.7930486059054</v>
      </c>
      <c r="Z34" s="6"/>
      <c r="AA34" s="6"/>
      <c r="AB34" s="6"/>
      <c r="AD34" s="3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3" x14ac:dyDescent="0.25">
      <c r="A35" s="5">
        <v>2013</v>
      </c>
      <c r="B35" s="191">
        <f>'Usage &amp; Cust. Count'!O59</f>
        <v>414813.36599999998</v>
      </c>
      <c r="C35" s="55"/>
      <c r="D35" s="55"/>
      <c r="E35" s="55"/>
      <c r="F35" s="55"/>
      <c r="G35" s="197">
        <f>'Usage &amp; Cust. Count'!AG59</f>
        <v>5255.916666666667</v>
      </c>
      <c r="H35" s="55"/>
      <c r="I35" s="55"/>
      <c r="J35" s="55"/>
      <c r="K35" s="55"/>
      <c r="L35" s="55"/>
      <c r="M35" s="55"/>
      <c r="P35" s="27"/>
      <c r="Q35" s="23"/>
      <c r="R35" s="5">
        <v>2013</v>
      </c>
      <c r="S35" s="231">
        <f>(S12/SUM(G12+G35+G58+G78+G98+G118+G138+G158+G178+G194+G210+G226+G241))*1000</f>
        <v>61352.725835726713</v>
      </c>
      <c r="T35" s="37">
        <f t="shared" si="13"/>
        <v>-10182.678206504352</v>
      </c>
      <c r="U35" s="33">
        <f t="shared" si="7"/>
        <v>5112.7271529772261</v>
      </c>
      <c r="V35" s="31">
        <f t="shared" si="14"/>
        <v>-848.55651720869628</v>
      </c>
      <c r="W35" s="133">
        <f t="shared" si="15"/>
        <v>167.97460872204439</v>
      </c>
      <c r="X35" s="248">
        <f t="shared" si="16"/>
        <v>-27.878653542790829</v>
      </c>
      <c r="Y35" s="249">
        <f t="shared" si="11"/>
        <v>-10182.67820650435</v>
      </c>
      <c r="Z35" s="6"/>
      <c r="AA35" s="6"/>
      <c r="AB35" s="6"/>
      <c r="AD35" s="3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3" x14ac:dyDescent="0.25">
      <c r="A36" s="5">
        <v>2012</v>
      </c>
      <c r="B36" s="191">
        <f>'Usage &amp; Cust. Count'!O60</f>
        <v>503985</v>
      </c>
      <c r="C36" s="55"/>
      <c r="D36" s="55"/>
      <c r="E36" s="55"/>
      <c r="F36" s="55"/>
      <c r="G36" s="197">
        <f>'Usage &amp; Cust. Count'!AG60</f>
        <v>5153.25</v>
      </c>
      <c r="H36" s="55"/>
      <c r="I36" s="55"/>
      <c r="J36" s="55"/>
      <c r="K36" s="55"/>
      <c r="L36" s="55"/>
      <c r="M36" s="55"/>
      <c r="P36" s="27"/>
      <c r="Q36" s="23"/>
      <c r="R36" s="5">
        <v>2012</v>
      </c>
      <c r="S36" s="231">
        <f>(S13/SUM(G13+G36+G59+G79+G99+G119+G139+G159+G179+G195+G211+G227))*1000</f>
        <v>71535.404042231065</v>
      </c>
      <c r="T36" s="87">
        <f t="shared" si="13"/>
        <v>4323.5446527272288</v>
      </c>
      <c r="U36" s="33">
        <f t="shared" si="7"/>
        <v>5961.2836701859223</v>
      </c>
      <c r="V36" s="33">
        <f t="shared" si="14"/>
        <v>360.29538772726937</v>
      </c>
      <c r="W36" s="133">
        <f t="shared" si="15"/>
        <v>195.85326226483522</v>
      </c>
      <c r="X36" s="247">
        <f t="shared" si="16"/>
        <v>11.837220130670033</v>
      </c>
      <c r="Y36" s="246">
        <f t="shared" si="11"/>
        <v>4323.5446527272297</v>
      </c>
      <c r="Z36" s="6"/>
      <c r="AA36" s="6"/>
      <c r="AB36" s="6"/>
      <c r="AD36" s="3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3" x14ac:dyDescent="0.25">
      <c r="A37" s="5">
        <v>2011</v>
      </c>
      <c r="B37" s="191">
        <f>'Usage &amp; Cust. Count'!O61</f>
        <v>434889</v>
      </c>
      <c r="C37" s="55"/>
      <c r="D37" s="55"/>
      <c r="E37" s="55"/>
      <c r="F37" s="55"/>
      <c r="G37" s="197">
        <f>'Usage &amp; Cust. Count'!AG61</f>
        <v>5093.083333333333</v>
      </c>
      <c r="H37" s="55"/>
      <c r="I37" s="55"/>
      <c r="J37" s="55"/>
      <c r="K37" s="55"/>
      <c r="L37" s="55"/>
      <c r="M37" s="55"/>
      <c r="P37" s="27"/>
      <c r="Q37" s="23"/>
      <c r="R37" s="5">
        <v>2011</v>
      </c>
      <c r="S37" s="231">
        <f>(S14/SUM(G14+G37+G60+G80+G100+G120+G140+G160+G180+G196+G212))*1000</f>
        <v>67211.859389503836</v>
      </c>
      <c r="T37" s="87">
        <f t="shared" si="13"/>
        <v>1881.0960510772275</v>
      </c>
      <c r="U37" s="33">
        <f t="shared" si="7"/>
        <v>5600.988282458653</v>
      </c>
      <c r="V37" s="33">
        <f t="shared" si="14"/>
        <v>156.75800425643592</v>
      </c>
      <c r="W37" s="133">
        <f t="shared" si="15"/>
        <v>184.01604213416519</v>
      </c>
      <c r="X37" s="247">
        <f t="shared" si="16"/>
        <v>5.1501603041128874</v>
      </c>
      <c r="Y37" s="246">
        <f t="shared" si="11"/>
        <v>1881.096051077232</v>
      </c>
      <c r="Z37" s="6"/>
      <c r="AA37" s="6"/>
      <c r="AB37" s="6"/>
      <c r="AD37" s="3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3" x14ac:dyDescent="0.25">
      <c r="A38" s="5">
        <v>2010</v>
      </c>
      <c r="B38" s="191">
        <f>'Usage &amp; Cust. Count'!O62</f>
        <v>406183</v>
      </c>
      <c r="C38" s="55"/>
      <c r="D38" s="55"/>
      <c r="E38" s="55"/>
      <c r="F38" s="55"/>
      <c r="G38" s="197">
        <f>'Usage &amp; Cust. Count'!AG62</f>
        <v>5053.75</v>
      </c>
      <c r="H38" s="55"/>
      <c r="I38" s="55"/>
      <c r="J38" s="55"/>
      <c r="K38" s="55"/>
      <c r="L38" s="55"/>
      <c r="M38" s="55"/>
      <c r="P38" s="27"/>
      <c r="Q38" s="23"/>
      <c r="R38" s="5">
        <v>2010</v>
      </c>
      <c r="S38" s="231">
        <f>(S15/SUM(G15+G38+G61+G81+G101+G121+G141+G161))*1000</f>
        <v>65330.763338426608</v>
      </c>
      <c r="T38" s="87">
        <f t="shared" si="13"/>
        <v>2506.8538016991442</v>
      </c>
      <c r="U38" s="33">
        <f t="shared" si="7"/>
        <v>5444.2302782022171</v>
      </c>
      <c r="V38" s="33">
        <f t="shared" si="14"/>
        <v>208.90448347492838</v>
      </c>
      <c r="W38" s="133">
        <f t="shared" si="15"/>
        <v>178.8658818300523</v>
      </c>
      <c r="X38" s="247">
        <f t="shared" si="16"/>
        <v>6.8633916542070779</v>
      </c>
      <c r="Y38" s="246">
        <f t="shared" si="11"/>
        <v>2506.8538016991351</v>
      </c>
      <c r="Z38" s="6"/>
      <c r="AA38" s="6"/>
      <c r="AB38" s="6"/>
      <c r="AD38" s="3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3" x14ac:dyDescent="0.25">
      <c r="A39" s="5">
        <v>2009</v>
      </c>
      <c r="B39" s="191">
        <f>'Usage &amp; Cust. Count'!O63</f>
        <v>376366</v>
      </c>
      <c r="C39" s="55"/>
      <c r="D39" s="55"/>
      <c r="E39" s="55"/>
      <c r="F39" s="55"/>
      <c r="G39" s="197">
        <f>'Usage &amp; Cust. Count'!AG63</f>
        <v>5045.25</v>
      </c>
      <c r="H39" s="55"/>
      <c r="I39" s="55"/>
      <c r="J39" s="55"/>
      <c r="K39" s="55"/>
      <c r="L39" s="55"/>
      <c r="M39" s="55"/>
      <c r="P39" s="27"/>
      <c r="Q39" s="23"/>
      <c r="R39" s="5">
        <v>2009</v>
      </c>
      <c r="S39" s="231">
        <f>(S16/SUM(G16+G39+G62+G82+G102+G122+G142+G162))*1000</f>
        <v>62823.909536727464</v>
      </c>
      <c r="T39" s="37">
        <f t="shared" si="13"/>
        <v>-1711.1033157430211</v>
      </c>
      <c r="U39" s="33">
        <f t="shared" si="7"/>
        <v>5235.3257947272887</v>
      </c>
      <c r="V39" s="31">
        <f t="shared" si="14"/>
        <v>-142.59194297858539</v>
      </c>
      <c r="W39" s="133">
        <f t="shared" si="15"/>
        <v>172.00249017584522</v>
      </c>
      <c r="X39" s="248">
        <f t="shared" si="16"/>
        <v>-4.6847455598713736</v>
      </c>
      <c r="Y39" s="249">
        <f t="shared" si="11"/>
        <v>-1711.1033157430193</v>
      </c>
      <c r="Z39" s="6"/>
      <c r="AA39" s="6"/>
      <c r="AB39" s="6"/>
      <c r="AD39" s="3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3" x14ac:dyDescent="0.25">
      <c r="A40" s="5">
        <v>2008</v>
      </c>
      <c r="B40" s="191">
        <f>'Usage &amp; Cust. Count'!O64</f>
        <v>394196</v>
      </c>
      <c r="C40" s="55"/>
      <c r="D40" s="55"/>
      <c r="E40" s="55"/>
      <c r="F40" s="55"/>
      <c r="G40" s="197">
        <f>'Usage &amp; Cust. Count'!AG64</f>
        <v>5026.25</v>
      </c>
      <c r="H40" s="55"/>
      <c r="I40" s="55"/>
      <c r="J40" s="55"/>
      <c r="K40" s="55"/>
      <c r="L40" s="55"/>
      <c r="M40" s="55"/>
      <c r="P40" s="27"/>
      <c r="Q40" s="23"/>
      <c r="R40" s="5">
        <v>2008</v>
      </c>
      <c r="S40" s="231">
        <f>(S17/SUM(G17+G40+G63+G83+G103+G123+G143+G163))*1000</f>
        <v>64535.012852470485</v>
      </c>
      <c r="T40" s="87">
        <f t="shared" si="13"/>
        <v>64535.012852470485</v>
      </c>
      <c r="U40" s="33">
        <f t="shared" si="7"/>
        <v>5377.9177377058741</v>
      </c>
      <c r="V40" s="33">
        <f t="shared" si="14"/>
        <v>5377.9177377058741</v>
      </c>
      <c r="W40" s="133">
        <f t="shared" si="15"/>
        <v>176.6872357357166</v>
      </c>
      <c r="X40" s="247">
        <f t="shared" si="16"/>
        <v>176.6872357357166</v>
      </c>
      <c r="Y40" s="246">
        <f t="shared" si="11"/>
        <v>64535.012852470485</v>
      </c>
      <c r="Z40" s="6"/>
      <c r="AA40" s="6"/>
      <c r="AB40" s="6"/>
      <c r="AD40" s="3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3" x14ac:dyDescent="0.25">
      <c r="A41" s="5">
        <v>2007</v>
      </c>
      <c r="B41" s="191">
        <f>'Usage &amp; Cust. Count'!O65</f>
        <v>310205.3</v>
      </c>
      <c r="C41" s="55"/>
      <c r="D41" s="55"/>
      <c r="E41" s="55"/>
      <c r="F41" s="55"/>
      <c r="G41" s="197">
        <f>'Usage &amp; Cust. Count'!AG65</f>
        <v>4971.833333333333</v>
      </c>
      <c r="H41" s="55"/>
      <c r="I41" s="55"/>
      <c r="J41" s="55"/>
      <c r="K41" s="55"/>
      <c r="L41" s="55"/>
      <c r="M41" s="55"/>
      <c r="P41" s="27"/>
      <c r="Q41" s="23"/>
      <c r="R41" s="5"/>
      <c r="S41" s="214"/>
      <c r="T41" s="213"/>
      <c r="U41" s="33"/>
      <c r="V41" s="33"/>
      <c r="W41" s="133"/>
      <c r="X41" s="86"/>
      <c r="Y41" s="6"/>
      <c r="Z41" s="6"/>
      <c r="AA41" s="6"/>
      <c r="AB41" s="6"/>
      <c r="AD41" s="3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3" ht="35.25" customHeight="1" x14ac:dyDescent="0.25">
      <c r="A42" s="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P42" s="27"/>
      <c r="Q42" s="23"/>
      <c r="R42" s="6"/>
      <c r="S42" s="1"/>
      <c r="T42" s="6"/>
      <c r="U42" s="38"/>
      <c r="V42" s="4" t="s">
        <v>106</v>
      </c>
      <c r="W42" s="292">
        <f>AVERAGE(W25:W27)</f>
        <v>154.20827638582713</v>
      </c>
      <c r="X42" s="6"/>
      <c r="Y42" s="6"/>
      <c r="Z42" s="6"/>
      <c r="AA42" s="6"/>
      <c r="AB42" s="6"/>
      <c r="AD42" s="3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3" ht="34.5" x14ac:dyDescent="0.25">
      <c r="A43" s="3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7"/>
      <c r="Q43" s="24"/>
      <c r="R43" s="4"/>
      <c r="U43" s="4"/>
      <c r="V43" s="240" t="s">
        <v>71</v>
      </c>
      <c r="W43" s="254">
        <f>AVERAGE(W25:W29)</f>
        <v>152.53480272081882</v>
      </c>
      <c r="X43" s="4"/>
      <c r="Y43" s="4"/>
      <c r="Z43" s="4"/>
      <c r="AA43" s="4"/>
      <c r="AB43" s="4"/>
    </row>
    <row r="44" spans="1:43" x14ac:dyDescent="0.25">
      <c r="A44" s="5"/>
      <c r="P44" s="27"/>
      <c r="Q44" s="24"/>
      <c r="R44" s="4"/>
      <c r="U44" s="4"/>
      <c r="V44" s="119" t="s">
        <v>89</v>
      </c>
      <c r="W44" s="244">
        <f>AVERAGE(W28:W32)</f>
        <v>156.07657307806562</v>
      </c>
      <c r="X44" s="4"/>
      <c r="Y44" s="4"/>
      <c r="Z44" s="4"/>
      <c r="AA44" s="4"/>
      <c r="AB44" s="4"/>
      <c r="AP44" s="3"/>
      <c r="AQ44" s="17"/>
    </row>
    <row r="45" spans="1:43" x14ac:dyDescent="0.25">
      <c r="A45" s="5"/>
      <c r="P45" s="27"/>
      <c r="Q45" s="24"/>
      <c r="R45" s="4"/>
      <c r="U45" s="4"/>
      <c r="V45" s="102" t="s">
        <v>98</v>
      </c>
      <c r="W45" s="245">
        <f>AVERAGE(W25:W34)</f>
        <v>156.2270664767583</v>
      </c>
      <c r="X45" s="4"/>
      <c r="Y45" s="4"/>
      <c r="Z45" s="4"/>
      <c r="AA45" s="4"/>
      <c r="AB45" s="4"/>
      <c r="AP45" s="3"/>
      <c r="AQ45" s="17"/>
    </row>
    <row r="47" spans="1:43" ht="48" customHeight="1" x14ac:dyDescent="0.25">
      <c r="A47" s="165" t="s">
        <v>18</v>
      </c>
      <c r="B47" s="53"/>
      <c r="C47" s="53"/>
      <c r="D47" s="53"/>
      <c r="E47" s="53"/>
      <c r="F47" s="53"/>
      <c r="G47" s="215" t="s">
        <v>167</v>
      </c>
      <c r="H47" s="53"/>
      <c r="I47" s="53"/>
      <c r="J47" s="53"/>
      <c r="K47" s="53"/>
      <c r="L47" s="53"/>
      <c r="M47" s="53"/>
      <c r="N47" s="53"/>
      <c r="P47" s="26"/>
      <c r="Q47" s="21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D47" s="2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8" customHeight="1" x14ac:dyDescent="0.25">
      <c r="A48" s="195">
        <v>2023</v>
      </c>
      <c r="B48" s="191">
        <f>'Usage &amp; Cust. Count'!O72</f>
        <v>331726.27599999995</v>
      </c>
      <c r="C48" s="53"/>
      <c r="D48" s="53"/>
      <c r="E48" s="53"/>
      <c r="F48" s="53"/>
      <c r="G48" s="197">
        <f>'Usage &amp; Cust. Count'!AG72</f>
        <v>7063.25</v>
      </c>
      <c r="H48" s="53"/>
      <c r="I48" s="53"/>
      <c r="J48" s="53"/>
      <c r="K48" s="53"/>
      <c r="L48" s="53"/>
      <c r="M48" s="53"/>
      <c r="N48" s="53"/>
      <c r="P48" s="26"/>
      <c r="Q48" s="21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D48" s="2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5.75" customHeight="1" x14ac:dyDescent="0.25">
      <c r="A49" s="195">
        <v>2022</v>
      </c>
      <c r="B49" s="191">
        <f>'Usage &amp; Cust. Count'!O73</f>
        <v>327292.61823494855</v>
      </c>
      <c r="C49" s="53"/>
      <c r="D49" s="53"/>
      <c r="E49" s="53"/>
      <c r="F49" s="53"/>
      <c r="G49" s="197">
        <f>'Usage &amp; Cust. Count'!AG73</f>
        <v>6973.083333333333</v>
      </c>
      <c r="H49" s="53"/>
      <c r="I49" s="53"/>
      <c r="J49" s="53"/>
      <c r="K49" s="53"/>
      <c r="L49" s="53"/>
      <c r="M49" s="53"/>
      <c r="N49" s="53"/>
      <c r="P49" s="26"/>
      <c r="Q49" s="21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D49" s="2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7.25" customHeight="1" x14ac:dyDescent="0.25">
      <c r="A50" s="196">
        <v>2021</v>
      </c>
      <c r="B50" s="191">
        <f>'Usage &amp; Cust. Count'!O74</f>
        <v>325441.4663295715</v>
      </c>
      <c r="C50" s="53"/>
      <c r="D50" s="53"/>
      <c r="E50" s="53"/>
      <c r="F50" s="53"/>
      <c r="G50" s="197">
        <f>'Usage &amp; Cust. Count'!AG74</f>
        <v>6903.833333333333</v>
      </c>
      <c r="H50" s="53"/>
      <c r="I50" s="53"/>
      <c r="J50" s="53"/>
      <c r="K50" s="53"/>
      <c r="L50" s="53"/>
      <c r="M50" s="53"/>
      <c r="N50" s="53"/>
      <c r="P50" s="26"/>
      <c r="Q50" s="21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D50" s="2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6.5" customHeight="1" x14ac:dyDescent="0.25">
      <c r="A51" s="196">
        <v>2020</v>
      </c>
      <c r="B51" s="191">
        <f>'Usage &amp; Cust. Count'!O75</f>
        <v>323548.56599999999</v>
      </c>
      <c r="C51" s="53"/>
      <c r="D51" s="53"/>
      <c r="E51" s="53"/>
      <c r="F51" s="53"/>
      <c r="G51" s="197">
        <f>'Usage &amp; Cust. Count'!AG75</f>
        <v>6874.666666666667</v>
      </c>
      <c r="H51" s="53"/>
      <c r="I51" s="53"/>
      <c r="J51" s="53"/>
      <c r="K51" s="53"/>
      <c r="L51" s="53"/>
      <c r="M51" s="53"/>
      <c r="N51" s="53"/>
      <c r="P51" s="26"/>
      <c r="Q51" s="21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D51" s="2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5" customHeight="1" x14ac:dyDescent="0.25">
      <c r="A52" s="5">
        <v>2019</v>
      </c>
      <c r="B52" s="191">
        <f>'Usage &amp; Cust. Count'!O76</f>
        <v>310274.40000000002</v>
      </c>
      <c r="C52" s="53"/>
      <c r="D52" s="53"/>
      <c r="E52" s="53"/>
      <c r="F52" s="53"/>
      <c r="G52" s="197">
        <f>'Usage &amp; Cust. Count'!AG76</f>
        <v>6821.833333333333</v>
      </c>
      <c r="H52" s="53"/>
      <c r="I52" s="53"/>
      <c r="J52" s="53"/>
      <c r="K52" s="53"/>
      <c r="L52" s="53"/>
      <c r="M52" s="53"/>
      <c r="N52" s="53"/>
      <c r="P52" s="26"/>
      <c r="Q52" s="21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D52" s="2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5" customHeight="1" x14ac:dyDescent="0.25">
      <c r="A53" s="5">
        <v>2018</v>
      </c>
      <c r="B53" s="191">
        <f>'Usage &amp; Cust. Count'!O77</f>
        <v>332859.69999999995</v>
      </c>
      <c r="C53" s="53"/>
      <c r="D53" s="53"/>
      <c r="E53" s="53"/>
      <c r="F53" s="53"/>
      <c r="G53" s="197">
        <f>'Usage &amp; Cust. Count'!AG77</f>
        <v>6796.333333333333</v>
      </c>
      <c r="H53" s="53"/>
      <c r="I53" s="53"/>
      <c r="J53" s="53"/>
      <c r="K53" s="53"/>
      <c r="L53" s="53"/>
      <c r="M53" s="53"/>
      <c r="N53" s="53"/>
      <c r="P53" s="26"/>
      <c r="Q53" s="21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D53" s="2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5.75" customHeight="1" x14ac:dyDescent="0.25">
      <c r="A54" s="5">
        <v>2017</v>
      </c>
      <c r="B54" s="191">
        <f>'Usage &amp; Cust. Count'!O78</f>
        <v>328424.82199999999</v>
      </c>
      <c r="C54" s="53"/>
      <c r="D54" s="53"/>
      <c r="E54" s="53"/>
      <c r="F54" s="53"/>
      <c r="G54" s="197">
        <f>'Usage &amp; Cust. Count'!AG78</f>
        <v>6791.666666666667</v>
      </c>
      <c r="H54" s="53"/>
      <c r="I54" s="53"/>
      <c r="J54" s="53"/>
      <c r="K54" s="53"/>
      <c r="L54" s="53"/>
      <c r="M54" s="53"/>
      <c r="N54" s="53"/>
      <c r="P54" s="26"/>
      <c r="Q54" s="21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D54" s="2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x14ac:dyDescent="0.25">
      <c r="A55" s="5">
        <v>2016</v>
      </c>
      <c r="B55" s="191">
        <f>'Usage &amp; Cust. Count'!O79</f>
        <v>338309.58400000003</v>
      </c>
      <c r="C55" s="55"/>
      <c r="D55" s="55"/>
      <c r="E55" s="55"/>
      <c r="F55" s="55"/>
      <c r="G55" s="197">
        <f>'Usage &amp; Cust. Count'!AG79</f>
        <v>6697.416666666667</v>
      </c>
      <c r="H55" s="58"/>
      <c r="P55" s="27"/>
      <c r="Q55" s="24"/>
      <c r="R55" s="4"/>
      <c r="U55" s="4"/>
      <c r="W55" s="4"/>
      <c r="X55" s="4"/>
      <c r="Y55" s="4"/>
      <c r="Z55" s="4"/>
      <c r="AA55" s="4"/>
      <c r="AB55" s="4"/>
      <c r="AD55" s="3"/>
      <c r="AE55" s="9"/>
      <c r="AF55" s="9"/>
      <c r="AG55" s="9"/>
      <c r="AH55" s="9"/>
      <c r="AI55" s="9"/>
      <c r="AJ55" s="9"/>
    </row>
    <row r="56" spans="1:43" x14ac:dyDescent="0.25">
      <c r="A56" s="5">
        <v>2015</v>
      </c>
      <c r="B56" s="191">
        <f>'Usage &amp; Cust. Count'!O80</f>
        <v>335283.91399999999</v>
      </c>
      <c r="C56" s="55"/>
      <c r="D56" s="55"/>
      <c r="E56" s="55"/>
      <c r="F56" s="55"/>
      <c r="G56" s="197">
        <f>'Usage &amp; Cust. Count'!AG80</f>
        <v>6640.5</v>
      </c>
      <c r="H56" s="55"/>
      <c r="I56" s="55"/>
      <c r="J56" s="55"/>
      <c r="K56" s="55"/>
      <c r="L56" s="55"/>
      <c r="M56" s="55"/>
      <c r="P56" s="27"/>
      <c r="Q56" s="23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D56" s="3"/>
      <c r="AE56" s="9"/>
      <c r="AF56" s="9"/>
      <c r="AG56" s="9"/>
      <c r="AH56" s="9"/>
      <c r="AI56" s="9"/>
      <c r="AJ56" s="9"/>
      <c r="AK56" s="11"/>
      <c r="AL56" s="11"/>
      <c r="AM56" s="11"/>
      <c r="AN56" s="11"/>
      <c r="AO56" s="11"/>
      <c r="AP56" s="11"/>
    </row>
    <row r="57" spans="1:43" x14ac:dyDescent="0.25">
      <c r="A57" s="5">
        <v>2014</v>
      </c>
      <c r="B57" s="191">
        <f>'Usage &amp; Cust. Count'!O81</f>
        <v>340757.38400000002</v>
      </c>
      <c r="C57" s="55"/>
      <c r="D57" s="55"/>
      <c r="E57" s="55"/>
      <c r="F57" s="55"/>
      <c r="G57" s="197">
        <f>'Usage &amp; Cust. Count'!AG81</f>
        <v>6619.166666666667</v>
      </c>
      <c r="H57" s="55"/>
      <c r="I57" s="55"/>
      <c r="J57" s="55"/>
      <c r="K57" s="55"/>
      <c r="L57" s="55"/>
      <c r="M57" s="55"/>
      <c r="P57" s="27"/>
      <c r="Q57" s="23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D57" s="3"/>
      <c r="AE57" s="9"/>
      <c r="AF57" s="9"/>
      <c r="AG57" s="9"/>
      <c r="AH57" s="9"/>
      <c r="AI57" s="9"/>
      <c r="AJ57" s="9"/>
      <c r="AK57" s="11"/>
      <c r="AL57" s="11"/>
      <c r="AM57" s="11"/>
      <c r="AN57" s="11"/>
      <c r="AO57" s="11"/>
      <c r="AP57" s="11"/>
    </row>
    <row r="58" spans="1:43" x14ac:dyDescent="0.25">
      <c r="A58" s="5">
        <v>2013</v>
      </c>
      <c r="B58" s="191">
        <f>'Usage &amp; Cust. Count'!O82</f>
        <v>352493.24121000001</v>
      </c>
      <c r="C58" s="55"/>
      <c r="D58" s="55"/>
      <c r="E58" s="55"/>
      <c r="F58" s="55"/>
      <c r="G58" s="197">
        <f>'Usage &amp; Cust. Count'!AG82</f>
        <v>6586.333333333333</v>
      </c>
      <c r="H58" s="55"/>
      <c r="I58" s="55"/>
      <c r="J58" s="55"/>
      <c r="K58" s="55"/>
      <c r="L58" s="55"/>
      <c r="M58" s="55"/>
      <c r="P58" s="27"/>
      <c r="Q58" s="23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D58" s="3"/>
      <c r="AE58" s="9"/>
      <c r="AF58" s="9"/>
      <c r="AG58" s="9"/>
      <c r="AH58" s="9"/>
      <c r="AI58" s="9"/>
      <c r="AJ58" s="9"/>
      <c r="AK58" s="11"/>
      <c r="AL58" s="11"/>
      <c r="AM58" s="11"/>
      <c r="AN58" s="11"/>
      <c r="AO58" s="11"/>
      <c r="AP58" s="11"/>
    </row>
    <row r="59" spans="1:43" x14ac:dyDescent="0.25">
      <c r="A59" s="5">
        <v>2012</v>
      </c>
      <c r="B59" s="191">
        <f>'Usage &amp; Cust. Count'!O83</f>
        <v>386429</v>
      </c>
      <c r="C59" s="55"/>
      <c r="D59" s="55"/>
      <c r="E59" s="55"/>
      <c r="F59" s="55"/>
      <c r="G59" s="197">
        <f>'Usage &amp; Cust. Count'!AG83</f>
        <v>6478.166666666667</v>
      </c>
      <c r="H59" s="55"/>
      <c r="I59" s="55"/>
      <c r="J59" s="55"/>
      <c r="K59" s="55"/>
      <c r="L59" s="55"/>
      <c r="M59" s="55"/>
      <c r="P59" s="27"/>
      <c r="Q59" s="23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D59" s="3"/>
      <c r="AE59" s="9"/>
      <c r="AF59" s="9"/>
      <c r="AG59" s="9"/>
      <c r="AH59" s="9"/>
      <c r="AI59" s="9"/>
      <c r="AJ59" s="9"/>
      <c r="AK59" s="11"/>
      <c r="AL59" s="11"/>
      <c r="AM59" s="11"/>
      <c r="AN59" s="11"/>
      <c r="AO59" s="11"/>
      <c r="AP59" s="11"/>
    </row>
    <row r="60" spans="1:43" x14ac:dyDescent="0.25">
      <c r="A60" s="5">
        <v>2011</v>
      </c>
      <c r="B60" s="191">
        <f>'Usage &amp; Cust. Count'!O84</f>
        <v>349183</v>
      </c>
      <c r="C60" s="55"/>
      <c r="D60" s="55"/>
      <c r="E60" s="55"/>
      <c r="F60" s="55"/>
      <c r="G60" s="197">
        <f>'Usage &amp; Cust. Count'!AG84</f>
        <v>6421.166666666667</v>
      </c>
      <c r="H60" s="55"/>
      <c r="I60" s="55"/>
      <c r="J60" s="55"/>
      <c r="K60" s="55"/>
      <c r="L60" s="55"/>
      <c r="M60" s="55"/>
      <c r="P60" s="27"/>
      <c r="Q60" s="23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D60" s="3"/>
      <c r="AE60" s="9"/>
      <c r="AF60" s="9"/>
      <c r="AG60" s="9"/>
      <c r="AH60" s="9"/>
      <c r="AI60" s="9"/>
      <c r="AJ60" s="9"/>
      <c r="AK60" s="11"/>
      <c r="AL60" s="11"/>
      <c r="AM60" s="11"/>
      <c r="AN60" s="11"/>
      <c r="AO60" s="11"/>
      <c r="AP60" s="11"/>
    </row>
    <row r="61" spans="1:43" x14ac:dyDescent="0.25">
      <c r="A61" s="5">
        <v>2010</v>
      </c>
      <c r="B61" s="191">
        <f>'Usage &amp; Cust. Count'!O85</f>
        <v>336281</v>
      </c>
      <c r="C61" s="55"/>
      <c r="D61" s="55"/>
      <c r="E61" s="55"/>
      <c r="F61" s="55"/>
      <c r="G61" s="197">
        <f>'Usage &amp; Cust. Count'!AG85</f>
        <v>6358.333333333333</v>
      </c>
      <c r="H61" s="55"/>
      <c r="I61" s="55"/>
      <c r="J61" s="55"/>
      <c r="K61" s="55"/>
      <c r="L61" s="55"/>
      <c r="M61" s="55"/>
      <c r="P61" s="27"/>
      <c r="Q61" s="23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D61" s="3"/>
      <c r="AE61" s="9"/>
      <c r="AF61" s="9"/>
      <c r="AG61" s="9"/>
      <c r="AH61" s="9"/>
      <c r="AI61" s="9"/>
      <c r="AJ61" s="9"/>
      <c r="AK61" s="11"/>
      <c r="AL61" s="11"/>
      <c r="AM61" s="11"/>
      <c r="AN61" s="11"/>
      <c r="AO61" s="11"/>
      <c r="AP61" s="11"/>
    </row>
    <row r="62" spans="1:43" x14ac:dyDescent="0.25">
      <c r="A62" s="5">
        <v>2009</v>
      </c>
      <c r="B62" s="191">
        <f>'Usage &amp; Cust. Count'!O86</f>
        <v>320547</v>
      </c>
      <c r="C62" s="55"/>
      <c r="D62" s="55"/>
      <c r="E62" s="55"/>
      <c r="F62" s="55"/>
      <c r="G62" s="197">
        <f>'Usage &amp; Cust. Count'!AG86</f>
        <v>6230.666666666667</v>
      </c>
      <c r="H62" s="55"/>
      <c r="I62" s="55"/>
      <c r="J62" s="55"/>
      <c r="K62" s="55"/>
      <c r="L62" s="55"/>
      <c r="M62" s="55"/>
      <c r="P62" s="27"/>
      <c r="Q62" s="23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D62" s="3"/>
      <c r="AE62" s="9"/>
      <c r="AF62" s="9"/>
      <c r="AG62" s="9"/>
      <c r="AH62" s="9"/>
      <c r="AI62" s="9"/>
      <c r="AJ62" s="9"/>
      <c r="AK62" s="11"/>
      <c r="AL62" s="11"/>
      <c r="AM62" s="11"/>
      <c r="AN62" s="11"/>
      <c r="AO62" s="11"/>
      <c r="AP62" s="11"/>
    </row>
    <row r="63" spans="1:43" x14ac:dyDescent="0.25">
      <c r="A63" s="5">
        <v>2008</v>
      </c>
      <c r="B63" s="191">
        <f>'Usage &amp; Cust. Count'!O87</f>
        <v>339292</v>
      </c>
      <c r="C63" s="55"/>
      <c r="D63" s="55"/>
      <c r="E63" s="55"/>
      <c r="F63" s="55"/>
      <c r="G63" s="197">
        <f>'Usage &amp; Cust. Count'!AG87</f>
        <v>6209.916666666667</v>
      </c>
      <c r="H63" s="55"/>
      <c r="I63" s="55"/>
      <c r="J63" s="55"/>
      <c r="K63" s="55"/>
      <c r="L63" s="55"/>
      <c r="M63" s="55"/>
      <c r="P63" s="27"/>
      <c r="Q63" s="23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D63" s="3"/>
      <c r="AE63" s="9"/>
      <c r="AF63" s="9"/>
      <c r="AG63" s="9"/>
      <c r="AH63" s="9"/>
      <c r="AI63" s="9"/>
      <c r="AJ63" s="9"/>
      <c r="AK63" s="11"/>
      <c r="AL63" s="11"/>
      <c r="AM63" s="11"/>
      <c r="AN63" s="11"/>
      <c r="AO63" s="11"/>
      <c r="AP63" s="11"/>
    </row>
    <row r="64" spans="1:43" x14ac:dyDescent="0.25">
      <c r="A64" s="5">
        <v>2007</v>
      </c>
      <c r="B64" s="191">
        <f>'Usage &amp; Cust. Count'!O88</f>
        <v>206263.22</v>
      </c>
      <c r="C64" s="55"/>
      <c r="D64" s="55"/>
      <c r="E64" s="55"/>
      <c r="F64" s="55"/>
      <c r="G64" s="197">
        <f>'Usage &amp; Cust. Count'!AG88</f>
        <v>6177.583333333333</v>
      </c>
      <c r="H64" s="55"/>
      <c r="I64" s="55"/>
      <c r="J64" s="55"/>
      <c r="K64" s="55"/>
      <c r="L64" s="55"/>
      <c r="M64" s="55"/>
      <c r="P64" s="27"/>
      <c r="Q64" s="23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D64" s="3"/>
      <c r="AE64" s="9"/>
      <c r="AF64" s="9"/>
      <c r="AG64" s="9"/>
      <c r="AH64" s="9"/>
      <c r="AI64" s="9"/>
      <c r="AJ64" s="9"/>
      <c r="AK64" s="11"/>
      <c r="AL64" s="11"/>
      <c r="AM64" s="11"/>
      <c r="AN64" s="11"/>
      <c r="AO64" s="11"/>
      <c r="AP64" s="11"/>
    </row>
    <row r="65" spans="1:42" x14ac:dyDescent="0.25">
      <c r="A65" s="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P65" s="27"/>
      <c r="Q65" s="23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D65" s="3"/>
      <c r="AE65" s="9"/>
      <c r="AF65" s="9"/>
      <c r="AG65" s="9"/>
      <c r="AH65" s="9"/>
      <c r="AI65" s="9"/>
      <c r="AJ65" s="9"/>
      <c r="AK65" s="11"/>
      <c r="AL65" s="11"/>
      <c r="AM65" s="11"/>
      <c r="AN65" s="11"/>
      <c r="AO65" s="11"/>
      <c r="AP65" s="11"/>
    </row>
    <row r="66" spans="1:42" x14ac:dyDescent="0.25">
      <c r="A66" s="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P66" s="27"/>
      <c r="Q66" s="23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D66" s="3"/>
      <c r="AE66" s="9"/>
      <c r="AF66" s="9"/>
      <c r="AG66" s="9"/>
      <c r="AH66" s="9"/>
      <c r="AI66" s="9"/>
      <c r="AJ66" s="9"/>
      <c r="AK66" s="11"/>
      <c r="AL66" s="11"/>
      <c r="AM66" s="11"/>
      <c r="AN66" s="11"/>
      <c r="AO66" s="11"/>
      <c r="AP66" s="11"/>
    </row>
    <row r="67" spans="1:42" ht="45" x14ac:dyDescent="0.25">
      <c r="A67" s="165" t="s">
        <v>19</v>
      </c>
      <c r="G67" s="215" t="s">
        <v>167</v>
      </c>
    </row>
    <row r="68" spans="1:42" x14ac:dyDescent="0.25">
      <c r="A68" s="195">
        <v>2023</v>
      </c>
      <c r="B68" s="52">
        <f>'Usage &amp; Cust. Count'!O95</f>
        <v>10457.488999999998</v>
      </c>
      <c r="G68" s="197">
        <f>'Usage &amp; Cust. Count'!AG95</f>
        <v>330</v>
      </c>
    </row>
    <row r="69" spans="1:42" x14ac:dyDescent="0.25">
      <c r="A69" s="195">
        <v>2022</v>
      </c>
      <c r="B69" s="52">
        <f>'Usage &amp; Cust. Count'!O96</f>
        <v>10605.730000000001</v>
      </c>
      <c r="G69" s="197">
        <f>'Usage &amp; Cust. Count'!AG96</f>
        <v>326.5</v>
      </c>
    </row>
    <row r="70" spans="1:42" x14ac:dyDescent="0.25">
      <c r="A70" s="196">
        <v>2021</v>
      </c>
      <c r="B70" s="52">
        <f>'Usage &amp; Cust. Count'!O97</f>
        <v>10841.965</v>
      </c>
      <c r="G70" s="197">
        <f>'Usage &amp; Cust. Count'!AG97</f>
        <v>325.75</v>
      </c>
    </row>
    <row r="71" spans="1:42" x14ac:dyDescent="0.25">
      <c r="A71" s="196">
        <v>2020</v>
      </c>
      <c r="B71" s="52">
        <f>'Usage &amp; Cust. Count'!O98</f>
        <v>10583.7</v>
      </c>
      <c r="G71" s="197">
        <f>'Usage &amp; Cust. Count'!AG98</f>
        <v>322.83333333333331</v>
      </c>
    </row>
    <row r="72" spans="1:42" x14ac:dyDescent="0.25">
      <c r="A72" s="5">
        <v>2019</v>
      </c>
      <c r="B72" s="52">
        <f>'Usage &amp; Cust. Count'!O99</f>
        <v>10867.199999999999</v>
      </c>
      <c r="G72" s="197">
        <f>'Usage &amp; Cust. Count'!AG99</f>
        <v>328.83333333333331</v>
      </c>
    </row>
    <row r="73" spans="1:42" x14ac:dyDescent="0.25">
      <c r="A73" s="5">
        <v>2018</v>
      </c>
      <c r="B73" s="52">
        <f>'Usage &amp; Cust. Count'!O100</f>
        <v>11744.799999999997</v>
      </c>
      <c r="G73" s="197">
        <f>'Usage &amp; Cust. Count'!AG100</f>
        <v>334.75</v>
      </c>
    </row>
    <row r="74" spans="1:42" x14ac:dyDescent="0.25">
      <c r="A74" s="5">
        <v>2017</v>
      </c>
      <c r="B74" s="52">
        <f>'Usage &amp; Cust. Count'!O101</f>
        <v>11920.099999999999</v>
      </c>
      <c r="G74" s="197">
        <f>'Usage &amp; Cust. Count'!AG101</f>
        <v>339.5</v>
      </c>
    </row>
    <row r="75" spans="1:42" x14ac:dyDescent="0.25">
      <c r="A75" s="5">
        <v>2016</v>
      </c>
      <c r="B75" s="52">
        <f>'Usage &amp; Cust. Count'!O102</f>
        <v>11252.5</v>
      </c>
      <c r="G75" s="197">
        <f>'Usage &amp; Cust. Count'!AG102</f>
        <v>335.16666666666669</v>
      </c>
    </row>
    <row r="76" spans="1:42" x14ac:dyDescent="0.25">
      <c r="A76" s="5">
        <v>2015</v>
      </c>
      <c r="B76" s="52">
        <f>'Usage &amp; Cust. Count'!O103</f>
        <v>10708.400000000001</v>
      </c>
      <c r="G76" s="197">
        <f>'Usage &amp; Cust. Count'!AG103</f>
        <v>333.91666666666669</v>
      </c>
    </row>
    <row r="77" spans="1:42" x14ac:dyDescent="0.25">
      <c r="A77" s="5">
        <v>2014</v>
      </c>
      <c r="B77" s="52">
        <f>'Usage &amp; Cust. Count'!O104</f>
        <v>10652.6</v>
      </c>
      <c r="G77" s="197">
        <f>'Usage &amp; Cust. Count'!AG104</f>
        <v>334.16666666666669</v>
      </c>
    </row>
    <row r="78" spans="1:42" x14ac:dyDescent="0.25">
      <c r="A78" s="5">
        <v>2013</v>
      </c>
      <c r="B78" s="52">
        <f>'Usage &amp; Cust. Count'!O105</f>
        <v>11921.200000000003</v>
      </c>
      <c r="G78" s="197">
        <f>'Usage &amp; Cust. Count'!AG105</f>
        <v>327.25</v>
      </c>
    </row>
    <row r="79" spans="1:42" x14ac:dyDescent="0.25">
      <c r="A79" s="5">
        <v>2012</v>
      </c>
      <c r="B79" s="52">
        <f>'Usage &amp; Cust. Count'!O106</f>
        <v>11912</v>
      </c>
      <c r="G79" s="197">
        <f>'Usage &amp; Cust. Count'!AG106</f>
        <v>331.33333333333331</v>
      </c>
    </row>
    <row r="80" spans="1:42" x14ac:dyDescent="0.25">
      <c r="A80" s="5">
        <v>2011</v>
      </c>
      <c r="B80" s="52">
        <f>'Usage &amp; Cust. Count'!O107</f>
        <v>12085</v>
      </c>
      <c r="G80" s="197">
        <f>'Usage &amp; Cust. Count'!AG107</f>
        <v>333</v>
      </c>
    </row>
    <row r="81" spans="1:7" x14ac:dyDescent="0.25">
      <c r="A81" s="5">
        <v>2010</v>
      </c>
      <c r="B81" s="52">
        <f>'Usage &amp; Cust. Count'!O108</f>
        <v>13599</v>
      </c>
      <c r="G81" s="197">
        <f>'Usage &amp; Cust. Count'!AG108</f>
        <v>342</v>
      </c>
    </row>
    <row r="82" spans="1:7" x14ac:dyDescent="0.25">
      <c r="A82" s="5">
        <v>2009</v>
      </c>
      <c r="B82" s="52">
        <f>'Usage &amp; Cust. Count'!O109</f>
        <v>13240</v>
      </c>
      <c r="G82" s="197">
        <f>'Usage &amp; Cust. Count'!AG109</f>
        <v>351.16666666666669</v>
      </c>
    </row>
    <row r="83" spans="1:7" x14ac:dyDescent="0.25">
      <c r="A83" s="5">
        <v>2008</v>
      </c>
      <c r="B83" s="52">
        <f>'Usage &amp; Cust. Count'!O110</f>
        <v>13750</v>
      </c>
      <c r="G83" s="197">
        <f>'Usage &amp; Cust. Count'!AG110</f>
        <v>363.25</v>
      </c>
    </row>
    <row r="84" spans="1:7" x14ac:dyDescent="0.25">
      <c r="A84" s="5">
        <v>2007</v>
      </c>
      <c r="B84" s="52">
        <f>'Usage &amp; Cust. Count'!O111</f>
        <v>7537.29</v>
      </c>
      <c r="G84" s="197">
        <f>'Usage &amp; Cust. Count'!AG111</f>
        <v>370.25</v>
      </c>
    </row>
    <row r="85" spans="1:7" x14ac:dyDescent="0.25">
      <c r="A85" s="5"/>
    </row>
    <row r="86" spans="1:7" x14ac:dyDescent="0.25">
      <c r="A86" s="5"/>
    </row>
    <row r="87" spans="1:7" ht="45" x14ac:dyDescent="0.25">
      <c r="A87" s="165" t="s">
        <v>21</v>
      </c>
      <c r="B87" s="53"/>
      <c r="C87" s="53"/>
      <c r="D87" s="18"/>
      <c r="E87" s="18"/>
      <c r="F87" s="18"/>
      <c r="G87" s="215" t="s">
        <v>167</v>
      </c>
    </row>
    <row r="88" spans="1:7" x14ac:dyDescent="0.25">
      <c r="A88" s="195">
        <v>2023</v>
      </c>
      <c r="B88" s="191">
        <f>'Usage &amp; Cust. Count'!O118</f>
        <v>2217114.2769999998</v>
      </c>
      <c r="C88" s="53"/>
      <c r="D88" s="18"/>
      <c r="E88" s="18"/>
      <c r="F88" s="18"/>
      <c r="G88" s="197">
        <f>'Usage &amp; Cust. Count'!AG118</f>
        <v>30986</v>
      </c>
    </row>
    <row r="89" spans="1:7" x14ac:dyDescent="0.25">
      <c r="A89" s="195">
        <v>2022</v>
      </c>
      <c r="B89" s="191">
        <f>'Usage &amp; Cust. Count'!O119</f>
        <v>2168975.0786510268</v>
      </c>
      <c r="C89" s="53"/>
      <c r="D89" s="18"/>
      <c r="E89" s="18"/>
      <c r="F89" s="18"/>
      <c r="G89" s="197">
        <f>'Usage &amp; Cust. Count'!AG119</f>
        <v>30508</v>
      </c>
    </row>
    <row r="90" spans="1:7" x14ac:dyDescent="0.25">
      <c r="A90" s="196">
        <v>2021</v>
      </c>
      <c r="B90" s="191">
        <f>'Usage &amp; Cust. Count'!O120</f>
        <v>2103688.4878223119</v>
      </c>
      <c r="C90" s="53"/>
      <c r="D90" s="18"/>
      <c r="E90" s="18"/>
      <c r="F90" s="18"/>
      <c r="G90" s="197">
        <f>'Usage &amp; Cust. Count'!AG120</f>
        <v>30472.083333333332</v>
      </c>
    </row>
    <row r="91" spans="1:7" x14ac:dyDescent="0.25">
      <c r="A91" s="196">
        <v>2020</v>
      </c>
      <c r="B91" s="191">
        <f>'Usage &amp; Cust. Count'!O121</f>
        <v>2193512.8119999999</v>
      </c>
      <c r="C91" s="53"/>
      <c r="D91" s="18"/>
      <c r="E91" s="18"/>
      <c r="F91" s="18"/>
      <c r="G91" s="197">
        <f>'Usage &amp; Cust. Count'!AG121</f>
        <v>30413.166666666668</v>
      </c>
    </row>
    <row r="92" spans="1:7" x14ac:dyDescent="0.25">
      <c r="A92" s="5">
        <v>2019</v>
      </c>
      <c r="B92" s="191">
        <f>'Usage &amp; Cust. Count'!O122</f>
        <v>1971646.9</v>
      </c>
      <c r="G92" s="197">
        <f>'Usage &amp; Cust. Count'!AG122</f>
        <v>30309.333333333332</v>
      </c>
    </row>
    <row r="93" spans="1:7" x14ac:dyDescent="0.25">
      <c r="A93" s="5">
        <v>2018</v>
      </c>
      <c r="B93" s="191">
        <f>'Usage &amp; Cust. Count'!O123</f>
        <v>2307226.1</v>
      </c>
      <c r="G93" s="197">
        <f>'Usage &amp; Cust. Count'!AG123</f>
        <v>30224.833333333332</v>
      </c>
    </row>
    <row r="94" spans="1:7" x14ac:dyDescent="0.25">
      <c r="A94" s="5">
        <v>2017</v>
      </c>
      <c r="B94" s="191">
        <f>'Usage &amp; Cust. Count'!O124</f>
        <v>2347786.9400000004</v>
      </c>
      <c r="G94" s="197">
        <f>'Usage &amp; Cust. Count'!AG124</f>
        <v>30130.5</v>
      </c>
    </row>
    <row r="95" spans="1:7" x14ac:dyDescent="0.25">
      <c r="A95" s="5">
        <v>2016</v>
      </c>
      <c r="B95" s="191">
        <f>'Usage &amp; Cust. Count'!O125</f>
        <v>2193271.29</v>
      </c>
      <c r="G95" s="197">
        <f>'Usage &amp; Cust. Count'!AG125</f>
        <v>29982.166666666668</v>
      </c>
    </row>
    <row r="96" spans="1:7" x14ac:dyDescent="0.25">
      <c r="A96" s="5">
        <v>2015</v>
      </c>
      <c r="B96" s="191">
        <f>'Usage &amp; Cust. Count'!O126</f>
        <v>2181334.3550000004</v>
      </c>
      <c r="G96" s="197">
        <f>'Usage &amp; Cust. Count'!AG126</f>
        <v>29822.25</v>
      </c>
    </row>
    <row r="97" spans="1:7" x14ac:dyDescent="0.25">
      <c r="A97" s="5">
        <v>2014</v>
      </c>
      <c r="B97" s="191">
        <f>'Usage &amp; Cust. Count'!O127</f>
        <v>2247063.09</v>
      </c>
      <c r="G97" s="197">
        <f>'Usage &amp; Cust. Count'!AG127</f>
        <v>29661.333333333332</v>
      </c>
    </row>
    <row r="98" spans="1:7" x14ac:dyDescent="0.25">
      <c r="A98" s="5">
        <v>2013</v>
      </c>
      <c r="B98" s="191">
        <f>'Usage &amp; Cust. Count'!O128</f>
        <v>2302267.5140000004</v>
      </c>
      <c r="G98" s="197">
        <f>'Usage &amp; Cust. Count'!AG128</f>
        <v>29227.166666666668</v>
      </c>
    </row>
    <row r="99" spans="1:7" x14ac:dyDescent="0.25">
      <c r="A99" s="5">
        <v>2012</v>
      </c>
      <c r="B99" s="191">
        <f>'Usage &amp; Cust. Count'!O129</f>
        <v>2805407</v>
      </c>
      <c r="G99" s="197">
        <f>'Usage &amp; Cust. Count'!AG129</f>
        <v>29321.666666666668</v>
      </c>
    </row>
    <row r="100" spans="1:7" x14ac:dyDescent="0.25">
      <c r="A100" s="5">
        <v>2011</v>
      </c>
      <c r="B100" s="191">
        <f>'Usage &amp; Cust. Count'!O130</f>
        <v>2584129</v>
      </c>
      <c r="G100" s="197">
        <f>'Usage &amp; Cust. Count'!AG130</f>
        <v>29217.666666666668</v>
      </c>
    </row>
    <row r="101" spans="1:7" x14ac:dyDescent="0.25">
      <c r="A101" s="5">
        <v>2010</v>
      </c>
      <c r="B101" s="191">
        <f>'Usage &amp; Cust. Count'!O131</f>
        <v>2482066</v>
      </c>
      <c r="G101" s="197">
        <f>'Usage &amp; Cust. Count'!AG131</f>
        <v>29093.666666666668</v>
      </c>
    </row>
    <row r="102" spans="1:7" x14ac:dyDescent="0.25">
      <c r="A102" s="5">
        <v>2009</v>
      </c>
      <c r="B102" s="191">
        <f>'Usage &amp; Cust. Count'!O132</f>
        <v>2260277</v>
      </c>
      <c r="G102" s="197">
        <f>'Usage &amp; Cust. Count'!AG132</f>
        <v>28818.666666666668</v>
      </c>
    </row>
    <row r="103" spans="1:7" x14ac:dyDescent="0.25">
      <c r="A103" s="5">
        <v>2008</v>
      </c>
      <c r="B103" s="191">
        <f>'Usage &amp; Cust. Count'!O133</f>
        <v>2364519</v>
      </c>
      <c r="G103" s="197">
        <f>'Usage &amp; Cust. Count'!AG133</f>
        <v>28787.083333333332</v>
      </c>
    </row>
    <row r="104" spans="1:7" x14ac:dyDescent="0.25">
      <c r="A104" s="5">
        <v>2007</v>
      </c>
      <c r="B104" s="191">
        <f>'Usage &amp; Cust. Count'!O134</f>
        <v>1795382.62</v>
      </c>
      <c r="G104" s="197">
        <f>'Usage &amp; Cust. Count'!AG134</f>
        <v>28694.75</v>
      </c>
    </row>
    <row r="105" spans="1:7" x14ac:dyDescent="0.25">
      <c r="A105" s="5"/>
    </row>
    <row r="107" spans="1:7" ht="45" x14ac:dyDescent="0.25">
      <c r="A107" s="165" t="s">
        <v>22</v>
      </c>
      <c r="G107" s="215" t="s">
        <v>167</v>
      </c>
    </row>
    <row r="108" spans="1:7" x14ac:dyDescent="0.25">
      <c r="A108" s="195">
        <v>2023</v>
      </c>
      <c r="B108" s="52">
        <f>'Usage &amp; Cust. Count'!O141</f>
        <v>173188.38200000001</v>
      </c>
      <c r="G108" s="197">
        <f>'Usage &amp; Cust. Count'!AG141</f>
        <v>4341.583333333333</v>
      </c>
    </row>
    <row r="109" spans="1:7" x14ac:dyDescent="0.25">
      <c r="A109" s="195">
        <v>2022</v>
      </c>
      <c r="B109" s="52">
        <f>'Usage &amp; Cust. Count'!O142</f>
        <v>174295.65099999995</v>
      </c>
      <c r="G109" s="197">
        <f>'Usage &amp; Cust. Count'!AG142</f>
        <v>4338.916666666667</v>
      </c>
    </row>
    <row r="110" spans="1:7" x14ac:dyDescent="0.25">
      <c r="A110" s="196">
        <v>2021</v>
      </c>
      <c r="B110" s="52">
        <f>'Usage &amp; Cust. Count'!O143</f>
        <v>175460.93400000001</v>
      </c>
      <c r="G110" s="197">
        <f>'Usage &amp; Cust. Count'!AG143</f>
        <v>4348.25</v>
      </c>
    </row>
    <row r="111" spans="1:7" x14ac:dyDescent="0.25">
      <c r="A111" s="196">
        <v>2020</v>
      </c>
      <c r="B111" s="52">
        <f>'Usage &amp; Cust. Count'!O144</f>
        <v>177308.576</v>
      </c>
      <c r="G111" s="197">
        <f>'Usage &amp; Cust. Count'!AG144</f>
        <v>4332.083333333333</v>
      </c>
    </row>
    <row r="112" spans="1:7" x14ac:dyDescent="0.25">
      <c r="A112" s="5">
        <v>2019</v>
      </c>
      <c r="B112" s="52">
        <f>'Usage &amp; Cust. Count'!O145</f>
        <v>173540.25700000001</v>
      </c>
      <c r="G112" s="197">
        <f>'Usage &amp; Cust. Count'!AG145</f>
        <v>4296.416666666667</v>
      </c>
    </row>
    <row r="113" spans="1:7" x14ac:dyDescent="0.25">
      <c r="A113" s="5">
        <v>2018</v>
      </c>
      <c r="B113" s="52">
        <f>'Usage &amp; Cust. Count'!O146</f>
        <v>183433.4</v>
      </c>
      <c r="G113" s="197">
        <f>'Usage &amp; Cust. Count'!AG146</f>
        <v>4266.75</v>
      </c>
    </row>
    <row r="114" spans="1:7" x14ac:dyDescent="0.25">
      <c r="A114" s="5">
        <v>2017</v>
      </c>
      <c r="B114" s="52">
        <f>'Usage &amp; Cust. Count'!O147</f>
        <v>181122.90299999999</v>
      </c>
      <c r="G114" s="197">
        <f>'Usage &amp; Cust. Count'!AG147</f>
        <v>4287.833333333333</v>
      </c>
    </row>
    <row r="115" spans="1:7" x14ac:dyDescent="0.25">
      <c r="A115" s="5">
        <v>2016</v>
      </c>
      <c r="B115" s="52">
        <f>'Usage &amp; Cust. Count'!O148</f>
        <v>179672.21299999999</v>
      </c>
      <c r="G115" s="197">
        <f>'Usage &amp; Cust. Count'!AG148</f>
        <v>4282.083333333333</v>
      </c>
    </row>
    <row r="116" spans="1:7" x14ac:dyDescent="0.25">
      <c r="A116" s="5">
        <v>2015</v>
      </c>
      <c r="B116" s="52">
        <f>'Usage &amp; Cust. Count'!O149</f>
        <v>192345.883</v>
      </c>
      <c r="G116" s="197">
        <f>'Usage &amp; Cust. Count'!AG149</f>
        <v>4290</v>
      </c>
    </row>
    <row r="117" spans="1:7" x14ac:dyDescent="0.25">
      <c r="A117" s="5">
        <v>2014</v>
      </c>
      <c r="B117" s="52">
        <f>'Usage &amp; Cust. Count'!O150</f>
        <v>183413.57900000003</v>
      </c>
      <c r="G117" s="197">
        <f>'Usage &amp; Cust. Count'!AG150</f>
        <v>4274.416666666667</v>
      </c>
    </row>
    <row r="118" spans="1:7" x14ac:dyDescent="0.25">
      <c r="A118" s="5">
        <v>2013</v>
      </c>
      <c r="B118" s="52">
        <f>'Usage &amp; Cust. Count'!O151</f>
        <v>213280.10915000003</v>
      </c>
      <c r="G118" s="197">
        <f>'Usage &amp; Cust. Count'!AG151</f>
        <v>4297.083333333333</v>
      </c>
    </row>
    <row r="119" spans="1:7" x14ac:dyDescent="0.25">
      <c r="A119" s="5">
        <v>2012</v>
      </c>
      <c r="B119" s="52">
        <f>'Usage &amp; Cust. Count'!O152</f>
        <v>204013</v>
      </c>
      <c r="G119" s="197">
        <f>'Usage &amp; Cust. Count'!AG152</f>
        <v>4281.583333333333</v>
      </c>
    </row>
    <row r="120" spans="1:7" x14ac:dyDescent="0.25">
      <c r="A120" s="5">
        <v>2011</v>
      </c>
      <c r="B120" s="52">
        <f>'Usage &amp; Cust. Count'!O153</f>
        <v>195254</v>
      </c>
      <c r="G120" s="197">
        <f>'Usage &amp; Cust. Count'!AG153</f>
        <v>4267.25</v>
      </c>
    </row>
    <row r="121" spans="1:7" x14ac:dyDescent="0.25">
      <c r="A121" s="5">
        <v>2010</v>
      </c>
      <c r="B121" s="52">
        <f>'Usage &amp; Cust. Count'!O154</f>
        <v>200141</v>
      </c>
      <c r="G121" s="197">
        <f>'Usage &amp; Cust. Count'!AG154</f>
        <v>4266.916666666667</v>
      </c>
    </row>
    <row r="122" spans="1:7" x14ac:dyDescent="0.25">
      <c r="A122" s="5">
        <v>2009</v>
      </c>
      <c r="B122" s="52">
        <f>'Usage &amp; Cust. Count'!O155</f>
        <v>204776</v>
      </c>
      <c r="G122" s="197">
        <f>'Usage &amp; Cust. Count'!AG155</f>
        <v>4255.583333333333</v>
      </c>
    </row>
    <row r="123" spans="1:7" x14ac:dyDescent="0.25">
      <c r="A123" s="5">
        <v>2008</v>
      </c>
      <c r="B123" s="52">
        <f>'Usage &amp; Cust. Count'!O156</f>
        <v>201580</v>
      </c>
      <c r="G123" s="197">
        <f>'Usage &amp; Cust. Count'!AG156</f>
        <v>4272.833333333333</v>
      </c>
    </row>
    <row r="124" spans="1:7" x14ac:dyDescent="0.25">
      <c r="A124" s="5">
        <v>2007</v>
      </c>
      <c r="B124" s="52">
        <f>'Usage &amp; Cust. Count'!O157</f>
        <v>124818.91</v>
      </c>
      <c r="G124" s="197">
        <f>'Usage &amp; Cust. Count'!AG157</f>
        <v>4279.25</v>
      </c>
    </row>
    <row r="125" spans="1:7" x14ac:dyDescent="0.25">
      <c r="A125" s="5"/>
    </row>
    <row r="127" spans="1:7" ht="45" x14ac:dyDescent="0.25">
      <c r="A127" s="165" t="s">
        <v>23</v>
      </c>
      <c r="G127" s="215" t="s">
        <v>167</v>
      </c>
    </row>
    <row r="128" spans="1:7" x14ac:dyDescent="0.25">
      <c r="A128" s="195">
        <v>2023</v>
      </c>
      <c r="B128" s="52">
        <f>'Usage &amp; Cust. Count'!O164</f>
        <v>1212040.419</v>
      </c>
      <c r="G128" s="197">
        <f>'Usage &amp; Cust. Count'!AG164</f>
        <v>22928.916666666668</v>
      </c>
    </row>
    <row r="129" spans="1:7" x14ac:dyDescent="0.25">
      <c r="A129" s="195">
        <v>2022</v>
      </c>
      <c r="B129" s="52">
        <f>'Usage &amp; Cust. Count'!O165</f>
        <v>1242855.4979999999</v>
      </c>
      <c r="G129" s="197">
        <f>'Usage &amp; Cust. Count'!AG165</f>
        <v>22729</v>
      </c>
    </row>
    <row r="130" spans="1:7" x14ac:dyDescent="0.25">
      <c r="A130" s="196">
        <v>2021</v>
      </c>
      <c r="B130" s="52">
        <f>'Usage &amp; Cust. Count'!O166</f>
        <v>1165967.9919999999</v>
      </c>
      <c r="G130" s="197">
        <f>'Usage &amp; Cust. Count'!AG166</f>
        <v>22517.75</v>
      </c>
    </row>
    <row r="131" spans="1:7" x14ac:dyDescent="0.25">
      <c r="A131" s="196">
        <v>2020</v>
      </c>
      <c r="B131" s="52">
        <f>'Usage &amp; Cust. Count'!O167</f>
        <v>1183896.3260000001</v>
      </c>
      <c r="G131" s="197">
        <f>'Usage &amp; Cust. Count'!AG167</f>
        <v>22291</v>
      </c>
    </row>
    <row r="132" spans="1:7" x14ac:dyDescent="0.25">
      <c r="A132" s="5">
        <v>2019</v>
      </c>
      <c r="B132" s="52">
        <f>'Usage &amp; Cust. Count'!O168</f>
        <v>1056945</v>
      </c>
      <c r="G132" s="197">
        <f>'Usage &amp; Cust. Count'!AG168</f>
        <v>21947.916666666668</v>
      </c>
    </row>
    <row r="133" spans="1:7" x14ac:dyDescent="0.25">
      <c r="A133" s="5">
        <v>2018</v>
      </c>
      <c r="B133" s="52">
        <f>'Usage &amp; Cust. Count'!O169</f>
        <v>1141771.7</v>
      </c>
      <c r="G133" s="197">
        <f>'Usage &amp; Cust. Count'!AG169</f>
        <v>21764.666666666668</v>
      </c>
    </row>
    <row r="134" spans="1:7" x14ac:dyDescent="0.25">
      <c r="A134" s="5">
        <v>2017</v>
      </c>
      <c r="B134" s="52">
        <f>'Usage &amp; Cust. Count'!O170</f>
        <v>1125455.7590000001</v>
      </c>
      <c r="G134" s="197">
        <f>'Usage &amp; Cust. Count'!AG170</f>
        <v>21536.666666666668</v>
      </c>
    </row>
    <row r="135" spans="1:7" x14ac:dyDescent="0.25">
      <c r="A135" s="5">
        <v>2016</v>
      </c>
      <c r="B135" s="52">
        <f>'Usage &amp; Cust. Count'!O171</f>
        <v>1124090.2860000001</v>
      </c>
      <c r="G135" s="197">
        <f>'Usage &amp; Cust. Count'!AG171</f>
        <v>21137.25</v>
      </c>
    </row>
    <row r="136" spans="1:7" x14ac:dyDescent="0.25">
      <c r="A136" s="5">
        <v>2015</v>
      </c>
      <c r="B136" s="52">
        <f>'Usage &amp; Cust. Count'!O172</f>
        <v>1133263.9830000002</v>
      </c>
      <c r="G136" s="197">
        <f>'Usage &amp; Cust. Count'!AG172</f>
        <v>20778.583333333332</v>
      </c>
    </row>
    <row r="137" spans="1:7" x14ac:dyDescent="0.25">
      <c r="A137" s="5">
        <v>2014</v>
      </c>
      <c r="B137" s="52">
        <f>'Usage &amp; Cust. Count'!O173</f>
        <v>1188086.548</v>
      </c>
      <c r="G137" s="197">
        <f>'Usage &amp; Cust. Count'!AG173</f>
        <v>20544.75</v>
      </c>
    </row>
    <row r="138" spans="1:7" x14ac:dyDescent="0.25">
      <c r="A138" s="5">
        <v>2013</v>
      </c>
      <c r="B138" s="52">
        <f>'Usage &amp; Cust. Count'!O174</f>
        <v>1162174.65512</v>
      </c>
      <c r="G138" s="197">
        <f>'Usage &amp; Cust. Count'!AG174</f>
        <v>20360.25</v>
      </c>
    </row>
    <row r="139" spans="1:7" x14ac:dyDescent="0.25">
      <c r="A139" s="5">
        <v>2012</v>
      </c>
      <c r="B139" s="52">
        <f>'Usage &amp; Cust. Count'!O175</f>
        <v>1310978</v>
      </c>
      <c r="G139" s="197">
        <f>'Usage &amp; Cust. Count'!AG175</f>
        <v>19578.666666666668</v>
      </c>
    </row>
    <row r="140" spans="1:7" x14ac:dyDescent="0.25">
      <c r="A140" s="5">
        <v>2011</v>
      </c>
      <c r="B140" s="52">
        <f>'Usage &amp; Cust. Count'!O176</f>
        <v>1289817</v>
      </c>
      <c r="G140" s="197">
        <f>'Usage &amp; Cust. Count'!AG176</f>
        <v>19704.916666666668</v>
      </c>
    </row>
    <row r="141" spans="1:7" x14ac:dyDescent="0.25">
      <c r="A141" s="5">
        <v>2010</v>
      </c>
      <c r="B141" s="52">
        <f>'Usage &amp; Cust. Count'!O177</f>
        <v>1297941</v>
      </c>
      <c r="G141" s="197">
        <f>'Usage &amp; Cust. Count'!AG177</f>
        <v>20934.583333333332</v>
      </c>
    </row>
    <row r="142" spans="1:7" x14ac:dyDescent="0.25">
      <c r="A142" s="5">
        <v>2009</v>
      </c>
      <c r="B142" s="52">
        <f>'Usage &amp; Cust. Count'!O178</f>
        <v>1258387</v>
      </c>
      <c r="G142" s="197">
        <f>'Usage &amp; Cust. Count'!AG178</f>
        <v>20869.916666666668</v>
      </c>
    </row>
    <row r="143" spans="1:7" x14ac:dyDescent="0.25">
      <c r="A143" s="5">
        <v>2008</v>
      </c>
      <c r="B143" s="52">
        <f>'Usage &amp; Cust. Count'!O179</f>
        <v>1241931</v>
      </c>
      <c r="G143" s="197">
        <f>'Usage &amp; Cust. Count'!AG179</f>
        <v>20666</v>
      </c>
    </row>
    <row r="144" spans="1:7" x14ac:dyDescent="0.25">
      <c r="A144" s="5">
        <v>2007</v>
      </c>
      <c r="B144" s="52">
        <f>'Usage &amp; Cust. Count'!O180</f>
        <v>787429.17000000016</v>
      </c>
      <c r="G144" s="197">
        <f>'Usage &amp; Cust. Count'!AG180</f>
        <v>20439.583333333332</v>
      </c>
    </row>
    <row r="145" spans="1:7" x14ac:dyDescent="0.25">
      <c r="A145" s="5"/>
    </row>
    <row r="147" spans="1:7" ht="45" x14ac:dyDescent="0.25">
      <c r="A147" s="165" t="s">
        <v>24</v>
      </c>
      <c r="G147" s="215" t="s">
        <v>167</v>
      </c>
    </row>
    <row r="148" spans="1:7" x14ac:dyDescent="0.25">
      <c r="A148" s="195">
        <v>2023</v>
      </c>
      <c r="B148" s="52">
        <f>'Usage &amp; Cust. Count'!O187</f>
        <v>450850.56700000004</v>
      </c>
      <c r="G148" s="197">
        <f>'Usage &amp; Cust. Count'!AG187</f>
        <v>9089.5</v>
      </c>
    </row>
    <row r="149" spans="1:7" x14ac:dyDescent="0.25">
      <c r="A149" s="195">
        <v>2022</v>
      </c>
      <c r="B149" s="52">
        <f>'Usage &amp; Cust. Count'!O188</f>
        <v>423166.53100000002</v>
      </c>
      <c r="G149" s="197">
        <f>'Usage &amp; Cust. Count'!AG188</f>
        <v>9082.4166666666661</v>
      </c>
    </row>
    <row r="150" spans="1:7" x14ac:dyDescent="0.25">
      <c r="A150" s="196">
        <v>2021</v>
      </c>
      <c r="B150" s="52">
        <f>'Usage &amp; Cust. Count'!O189</f>
        <v>427910.685</v>
      </c>
      <c r="G150" s="197">
        <f>'Usage &amp; Cust. Count'!AG189</f>
        <v>9077.5</v>
      </c>
    </row>
    <row r="151" spans="1:7" x14ac:dyDescent="0.25">
      <c r="A151" s="196">
        <v>2020</v>
      </c>
      <c r="B151" s="52">
        <f>'Usage &amp; Cust. Count'!O190</f>
        <v>424417.31</v>
      </c>
      <c r="G151" s="197">
        <f>'Usage &amp; Cust. Count'!AG190</f>
        <v>9058</v>
      </c>
    </row>
    <row r="152" spans="1:7" x14ac:dyDescent="0.25">
      <c r="A152" s="5">
        <v>2019</v>
      </c>
      <c r="B152" s="52">
        <f>'Usage &amp; Cust. Count'!O191</f>
        <v>416411.1</v>
      </c>
      <c r="G152" s="197">
        <f>'Usage &amp; Cust. Count'!AG191</f>
        <v>9062.4166666666661</v>
      </c>
    </row>
    <row r="153" spans="1:7" x14ac:dyDescent="0.25">
      <c r="A153" s="5">
        <v>2018</v>
      </c>
      <c r="B153" s="52">
        <f>'Usage &amp; Cust. Count'!O192</f>
        <v>452413.7</v>
      </c>
      <c r="G153" s="197">
        <f>'Usage &amp; Cust. Count'!AG192</f>
        <v>9078.0833333333339</v>
      </c>
    </row>
    <row r="154" spans="1:7" x14ac:dyDescent="0.25">
      <c r="A154" s="5">
        <v>2017</v>
      </c>
      <c r="B154" s="52">
        <f>'Usage &amp; Cust. Count'!O193</f>
        <v>432925.35800000001</v>
      </c>
      <c r="G154" s="197">
        <f>'Usage &amp; Cust. Count'!AG193</f>
        <v>9072.9166666666661</v>
      </c>
    </row>
    <row r="155" spans="1:7" x14ac:dyDescent="0.25">
      <c r="A155" s="5">
        <v>2016</v>
      </c>
      <c r="B155" s="52">
        <f>'Usage &amp; Cust. Count'!O194</f>
        <v>434870.48700000002</v>
      </c>
      <c r="G155" s="197">
        <f>'Usage &amp; Cust. Count'!AG194</f>
        <v>9033.9166666666661</v>
      </c>
    </row>
    <row r="156" spans="1:7" x14ac:dyDescent="0.25">
      <c r="A156" s="5">
        <v>2015</v>
      </c>
      <c r="B156" s="52">
        <f>'Usage &amp; Cust. Count'!O195</f>
        <v>434183.23300000001</v>
      </c>
      <c r="G156" s="197">
        <f>'Usage &amp; Cust. Count'!AG195</f>
        <v>9014.9166666666661</v>
      </c>
    </row>
    <row r="157" spans="1:7" x14ac:dyDescent="0.25">
      <c r="A157" s="5">
        <v>2014</v>
      </c>
      <c r="B157" s="52">
        <f>'Usage &amp; Cust. Count'!O196</f>
        <v>440290.00400000007</v>
      </c>
      <c r="G157" s="197">
        <f>'Usage &amp; Cust. Count'!AG196</f>
        <v>9000.25</v>
      </c>
    </row>
    <row r="158" spans="1:7" x14ac:dyDescent="0.25">
      <c r="A158" s="5">
        <v>2013</v>
      </c>
      <c r="B158" s="52">
        <f>'Usage &amp; Cust. Count'!O197</f>
        <v>444754.79399999999</v>
      </c>
      <c r="G158" s="197">
        <f>'Usage &amp; Cust. Count'!AG197</f>
        <v>9034.4166666666661</v>
      </c>
    </row>
    <row r="159" spans="1:7" x14ac:dyDescent="0.25">
      <c r="A159" s="5">
        <v>2012</v>
      </c>
      <c r="B159" s="52">
        <f>'Usage &amp; Cust. Count'!O198</f>
        <v>509509</v>
      </c>
      <c r="G159" s="197">
        <f>'Usage &amp; Cust. Count'!AG198</f>
        <v>9036.1666666666661</v>
      </c>
    </row>
    <row r="160" spans="1:7" x14ac:dyDescent="0.25">
      <c r="A160" s="5">
        <v>2011</v>
      </c>
      <c r="B160" s="52">
        <f>'Usage &amp; Cust. Count'!O199</f>
        <v>468014</v>
      </c>
      <c r="G160" s="197">
        <f>'Usage &amp; Cust. Count'!AG199</f>
        <v>8957.5833333333339</v>
      </c>
    </row>
    <row r="161" spans="1:7" x14ac:dyDescent="0.25">
      <c r="A161" s="5">
        <v>2010</v>
      </c>
      <c r="B161" s="52">
        <f>'Usage &amp; Cust. Count'!O200</f>
        <v>461517</v>
      </c>
      <c r="G161" s="197">
        <f>'Usage &amp; Cust. Count'!AG200</f>
        <v>8957.0833333333339</v>
      </c>
    </row>
    <row r="162" spans="1:7" x14ac:dyDescent="0.25">
      <c r="A162" s="5">
        <v>2009</v>
      </c>
      <c r="B162" s="52">
        <f>'Usage &amp; Cust. Count'!O201</f>
        <v>468068</v>
      </c>
      <c r="G162" s="197">
        <f>'Usage &amp; Cust. Count'!AG201</f>
        <v>8947.3333333333339</v>
      </c>
    </row>
    <row r="163" spans="1:7" x14ac:dyDescent="0.25">
      <c r="A163" s="5">
        <v>2008</v>
      </c>
      <c r="B163" s="52">
        <f>'Usage &amp; Cust. Count'!O202</f>
        <v>462321</v>
      </c>
      <c r="G163" s="197">
        <f>'Usage &amp; Cust. Count'!AG202</f>
        <v>8913.6666666666661</v>
      </c>
    </row>
    <row r="164" spans="1:7" x14ac:dyDescent="0.25">
      <c r="A164" s="5">
        <v>2007</v>
      </c>
      <c r="B164" s="52">
        <f>'Usage &amp; Cust. Count'!O203</f>
        <v>285302.32</v>
      </c>
      <c r="G164" s="197">
        <f>'Usage &amp; Cust. Count'!AG203</f>
        <v>8883.6666666666661</v>
      </c>
    </row>
    <row r="165" spans="1:7" x14ac:dyDescent="0.25">
      <c r="A165" s="5"/>
    </row>
    <row r="166" spans="1:7" x14ac:dyDescent="0.25">
      <c r="A166" s="5"/>
    </row>
    <row r="167" spans="1:7" ht="45" x14ac:dyDescent="0.25">
      <c r="A167" s="165" t="s">
        <v>67</v>
      </c>
      <c r="G167" s="215" t="s">
        <v>167</v>
      </c>
    </row>
    <row r="168" spans="1:7" x14ac:dyDescent="0.25">
      <c r="A168" s="195">
        <v>2023</v>
      </c>
      <c r="B168" s="52">
        <f>'Usage &amp; Cust. Count'!O210</f>
        <v>0</v>
      </c>
      <c r="G168" s="197">
        <f>'Usage &amp; Cust. Count'!AG210</f>
        <v>0</v>
      </c>
    </row>
    <row r="169" spans="1:7" x14ac:dyDescent="0.25">
      <c r="A169" s="195">
        <v>2022</v>
      </c>
      <c r="B169" s="52">
        <f>'Usage &amp; Cust. Count'!O211</f>
        <v>0</v>
      </c>
      <c r="G169" s="197">
        <f>'Usage &amp; Cust. Count'!AG211</f>
        <v>0</v>
      </c>
    </row>
    <row r="170" spans="1:7" x14ac:dyDescent="0.25">
      <c r="A170" s="196">
        <v>2021</v>
      </c>
      <c r="B170" s="52">
        <f>'Usage &amp; Cust. Count'!O212</f>
        <v>0</v>
      </c>
      <c r="G170" s="197">
        <f>'Usage &amp; Cust. Count'!AG212</f>
        <v>0</v>
      </c>
    </row>
    <row r="171" spans="1:7" x14ac:dyDescent="0.25">
      <c r="A171" s="196">
        <v>2020</v>
      </c>
      <c r="B171" s="52">
        <f>'Usage &amp; Cust. Count'!O213</f>
        <v>4918.6500000000005</v>
      </c>
      <c r="G171" s="197">
        <f>'Usage &amp; Cust. Count'!AG213</f>
        <v>126.16666666666667</v>
      </c>
    </row>
    <row r="172" spans="1:7" x14ac:dyDescent="0.25">
      <c r="A172" s="5">
        <v>2019</v>
      </c>
      <c r="B172" s="52">
        <f>'Usage &amp; Cust. Count'!O214</f>
        <v>4660.4000000000005</v>
      </c>
      <c r="D172" s="132"/>
      <c r="G172" s="197">
        <f>'Usage &amp; Cust. Count'!AG214</f>
        <v>119.25</v>
      </c>
    </row>
    <row r="173" spans="1:7" x14ac:dyDescent="0.25">
      <c r="A173" s="5">
        <v>2018</v>
      </c>
      <c r="B173" s="52">
        <f>'Usage &amp; Cust. Count'!O215</f>
        <v>5345.8999999999987</v>
      </c>
      <c r="G173" s="197">
        <f>'Usage &amp; Cust. Count'!AG215</f>
        <v>119.08333333333333</v>
      </c>
    </row>
    <row r="174" spans="1:7" x14ac:dyDescent="0.25">
      <c r="A174" s="5">
        <v>2017</v>
      </c>
      <c r="B174" s="52">
        <f>'Usage &amp; Cust. Count'!O216</f>
        <v>5097.8999999999996</v>
      </c>
      <c r="G174" s="197">
        <f>'Usage &amp; Cust. Count'!AG216</f>
        <v>127.75</v>
      </c>
    </row>
    <row r="175" spans="1:7" x14ac:dyDescent="0.25">
      <c r="A175" s="5">
        <v>2016</v>
      </c>
      <c r="B175" s="52">
        <f>'Usage &amp; Cust. Count'!O217</f>
        <v>4781.7999999999993</v>
      </c>
      <c r="G175" s="197">
        <f>'Usage &amp; Cust. Count'!AG217</f>
        <v>126.5</v>
      </c>
    </row>
    <row r="176" spans="1:7" x14ac:dyDescent="0.25">
      <c r="A176" s="5">
        <v>2015</v>
      </c>
      <c r="B176" s="52">
        <f>'Usage &amp; Cust. Count'!O218</f>
        <v>4986.5999999999995</v>
      </c>
      <c r="G176" s="197">
        <f>'Usage &amp; Cust. Count'!AG218</f>
        <v>131.16666666666666</v>
      </c>
    </row>
    <row r="177" spans="1:11" x14ac:dyDescent="0.25">
      <c r="A177" s="5">
        <v>2014</v>
      </c>
      <c r="B177" s="52">
        <f>'Usage &amp; Cust. Count'!O219</f>
        <v>4907.0999999999995</v>
      </c>
      <c r="G177" s="197">
        <f>'Usage &amp; Cust. Count'!AG219</f>
        <v>133.33333333333334</v>
      </c>
    </row>
    <row r="178" spans="1:11" x14ac:dyDescent="0.25">
      <c r="A178" s="5">
        <v>2013</v>
      </c>
      <c r="B178" s="52">
        <f>'Usage &amp; Cust. Count'!O220</f>
        <v>4654.3013038198415</v>
      </c>
      <c r="G178" s="197">
        <f>'Usage &amp; Cust. Count'!AG220</f>
        <v>133.41666666666666</v>
      </c>
    </row>
    <row r="179" spans="1:11" x14ac:dyDescent="0.25">
      <c r="A179" s="5">
        <v>2012</v>
      </c>
      <c r="B179" s="52">
        <f>'Usage &amp; Cust. Count'!O221</f>
        <v>4925.2402587866854</v>
      </c>
      <c r="G179" s="197">
        <f>'Usage &amp; Cust. Count'!AG221</f>
        <v>131</v>
      </c>
    </row>
    <row r="180" spans="1:11" x14ac:dyDescent="0.25">
      <c r="A180" s="5">
        <v>2011</v>
      </c>
      <c r="B180" s="52">
        <f>'Usage &amp; Cust. Count'!O222</f>
        <v>7384.4379764646692</v>
      </c>
      <c r="G180" s="197">
        <f>'Usage &amp; Cust. Count'!AG222</f>
        <v>131.16666666666666</v>
      </c>
    </row>
    <row r="181" spans="1:11" x14ac:dyDescent="0.25">
      <c r="A181" s="5"/>
    </row>
    <row r="183" spans="1:11" ht="45" x14ac:dyDescent="0.25">
      <c r="A183" s="165" t="s">
        <v>25</v>
      </c>
      <c r="G183" s="215" t="s">
        <v>167</v>
      </c>
    </row>
    <row r="184" spans="1:11" x14ac:dyDescent="0.25">
      <c r="A184" s="195">
        <v>2023</v>
      </c>
      <c r="B184" s="52">
        <f>'Usage &amp; Cust. Count'!O230</f>
        <v>0</v>
      </c>
      <c r="G184" s="197">
        <f>'Usage &amp; Cust. Count'!AG230</f>
        <v>0</v>
      </c>
    </row>
    <row r="185" spans="1:11" x14ac:dyDescent="0.25">
      <c r="A185" s="195">
        <v>2022</v>
      </c>
      <c r="B185" s="52">
        <f>'Usage &amp; Cust. Count'!O231</f>
        <v>0</v>
      </c>
      <c r="G185" s="197">
        <f>'Usage &amp; Cust. Count'!AG231</f>
        <v>0</v>
      </c>
    </row>
    <row r="186" spans="1:11" x14ac:dyDescent="0.25">
      <c r="A186" s="196">
        <v>2021</v>
      </c>
      <c r="B186" s="52">
        <f>'Usage &amp; Cust. Count'!O232</f>
        <v>0</v>
      </c>
      <c r="G186" s="197">
        <f>'Usage &amp; Cust. Count'!AG232</f>
        <v>0</v>
      </c>
    </row>
    <row r="187" spans="1:11" x14ac:dyDescent="0.25">
      <c r="A187" s="196">
        <v>2020</v>
      </c>
      <c r="B187" s="52">
        <f>'Usage &amp; Cust. Count'!O233</f>
        <v>17492.359</v>
      </c>
      <c r="G187" s="197">
        <f>'Usage &amp; Cust. Count'!AG233</f>
        <v>529.83333333333337</v>
      </c>
      <c r="K187" s="52">
        <v>-6</v>
      </c>
    </row>
    <row r="188" spans="1:11" x14ac:dyDescent="0.25">
      <c r="A188" s="5">
        <v>2019</v>
      </c>
      <c r="B188" s="52">
        <f>'Usage &amp; Cust. Count'!O234</f>
        <v>15459.6</v>
      </c>
      <c r="G188" s="197">
        <f>'Usage &amp; Cust. Count'!AG234</f>
        <v>519</v>
      </c>
    </row>
    <row r="189" spans="1:11" x14ac:dyDescent="0.25">
      <c r="A189" s="5">
        <v>2018</v>
      </c>
      <c r="B189" s="52">
        <f>'Usage &amp; Cust. Count'!O235</f>
        <v>16926.399999999998</v>
      </c>
      <c r="G189" s="197">
        <f>'Usage &amp; Cust. Count'!AG235</f>
        <v>514.41666666666663</v>
      </c>
    </row>
    <row r="190" spans="1:11" x14ac:dyDescent="0.25">
      <c r="A190" s="5">
        <v>2017</v>
      </c>
      <c r="B190" s="52">
        <f>'Usage &amp; Cust. Count'!O236</f>
        <v>17314.599999999999</v>
      </c>
      <c r="G190" s="197">
        <f>'Usage &amp; Cust. Count'!AG236</f>
        <v>510.83333333333331</v>
      </c>
    </row>
    <row r="191" spans="1:11" x14ac:dyDescent="0.25">
      <c r="A191" s="5">
        <v>2016</v>
      </c>
      <c r="B191" s="52">
        <f>'Usage &amp; Cust. Count'!O237</f>
        <v>15822.099999999999</v>
      </c>
      <c r="G191" s="197">
        <f>'Usage &amp; Cust. Count'!AG237</f>
        <v>503.08333333333331</v>
      </c>
    </row>
    <row r="192" spans="1:11" x14ac:dyDescent="0.25">
      <c r="A192" s="5">
        <v>2015</v>
      </c>
      <c r="B192" s="52">
        <f>'Usage &amp; Cust. Count'!O238</f>
        <v>15295.100000000002</v>
      </c>
      <c r="G192" s="197">
        <f>'Usage &amp; Cust. Count'!AG238</f>
        <v>495.16666666666669</v>
      </c>
    </row>
    <row r="193" spans="1:11" x14ac:dyDescent="0.25">
      <c r="A193" s="5">
        <v>2014</v>
      </c>
      <c r="B193" s="52">
        <f>'Usage &amp; Cust. Count'!O239</f>
        <v>16229.1</v>
      </c>
      <c r="G193" s="197">
        <f>'Usage &amp; Cust. Count'!AG239</f>
        <v>493.25</v>
      </c>
    </row>
    <row r="194" spans="1:11" x14ac:dyDescent="0.25">
      <c r="A194" s="5">
        <v>2013</v>
      </c>
      <c r="B194" s="52">
        <f>'Usage &amp; Cust. Count'!O240</f>
        <v>15416.534250335759</v>
      </c>
      <c r="G194" s="197">
        <f>'Usage &amp; Cust. Count'!AG240</f>
        <v>493.25</v>
      </c>
    </row>
    <row r="195" spans="1:11" x14ac:dyDescent="0.25">
      <c r="A195" s="5">
        <v>2012</v>
      </c>
      <c r="B195" s="52">
        <f>'Usage &amp; Cust. Count'!O241</f>
        <v>16289.09471660961</v>
      </c>
      <c r="G195" s="197">
        <f>'Usage &amp; Cust. Count'!AG241</f>
        <v>515.66666666666663</v>
      </c>
    </row>
    <row r="196" spans="1:11" x14ac:dyDescent="0.25">
      <c r="A196" s="5">
        <v>2011</v>
      </c>
      <c r="B196" s="52">
        <f>'Usage &amp; Cust. Count'!O242</f>
        <v>24540.687688707156</v>
      </c>
      <c r="G196" s="197">
        <f>'Usage &amp; Cust. Count'!AG242</f>
        <v>518.80000000000007</v>
      </c>
    </row>
    <row r="197" spans="1:11" x14ac:dyDescent="0.25">
      <c r="A197" s="5"/>
    </row>
    <row r="199" spans="1:11" ht="60" x14ac:dyDescent="0.25">
      <c r="A199" s="165" t="s">
        <v>141</v>
      </c>
      <c r="G199" s="215" t="s">
        <v>167</v>
      </c>
    </row>
    <row r="200" spans="1:11" x14ac:dyDescent="0.25">
      <c r="A200" s="195">
        <v>2023</v>
      </c>
      <c r="B200" s="52">
        <f>'Usage &amp; Cust. Count'!O250</f>
        <v>0</v>
      </c>
      <c r="G200" s="197">
        <f>'Usage &amp; Cust. Count'!AG250</f>
        <v>0</v>
      </c>
    </row>
    <row r="201" spans="1:11" x14ac:dyDescent="0.25">
      <c r="A201" s="195">
        <v>2022</v>
      </c>
      <c r="B201" s="52">
        <f>'Usage &amp; Cust. Count'!O251</f>
        <v>0</v>
      </c>
      <c r="G201" s="197">
        <f>'Usage &amp; Cust. Count'!AG251</f>
        <v>0</v>
      </c>
    </row>
    <row r="202" spans="1:11" x14ac:dyDescent="0.25">
      <c r="A202" s="196">
        <v>2021</v>
      </c>
      <c r="B202" s="52">
        <f>'Usage &amp; Cust. Count'!O252</f>
        <v>0</v>
      </c>
      <c r="G202" s="197">
        <f>'Usage &amp; Cust. Count'!AG252</f>
        <v>0</v>
      </c>
    </row>
    <row r="203" spans="1:11" x14ac:dyDescent="0.25">
      <c r="A203" s="196">
        <v>2020</v>
      </c>
      <c r="B203" s="52">
        <f>'Usage &amp; Cust. Count'!O253</f>
        <v>69952.826000000015</v>
      </c>
      <c r="G203" s="197">
        <f>'Usage &amp; Cust. Count'!AG253</f>
        <v>1391.4166666666667</v>
      </c>
      <c r="K203" s="52">
        <v>-93</v>
      </c>
    </row>
    <row r="204" spans="1:11" x14ac:dyDescent="0.25">
      <c r="A204" s="5">
        <v>2019</v>
      </c>
      <c r="B204" s="52">
        <f>'Usage &amp; Cust. Count'!O254</f>
        <v>65431.199999999997</v>
      </c>
      <c r="G204" s="197">
        <f>'Usage &amp; Cust. Count'!AG254</f>
        <v>1381.5</v>
      </c>
    </row>
    <row r="205" spans="1:11" x14ac:dyDescent="0.25">
      <c r="A205" s="5">
        <v>2018</v>
      </c>
      <c r="B205" s="52">
        <f>'Usage &amp; Cust. Count'!O255</f>
        <v>69593.299999999988</v>
      </c>
      <c r="G205" s="197">
        <f>'Usage &amp; Cust. Count'!AG255</f>
        <v>1361.0833333333333</v>
      </c>
    </row>
    <row r="206" spans="1:11" x14ac:dyDescent="0.25">
      <c r="A206" s="5">
        <v>2017</v>
      </c>
      <c r="B206" s="52">
        <f>'Usage &amp; Cust. Count'!O256</f>
        <v>67377.320000000007</v>
      </c>
      <c r="G206" s="197">
        <f>'Usage &amp; Cust. Count'!AG256</f>
        <v>1340.9166666666667</v>
      </c>
    </row>
    <row r="207" spans="1:11" x14ac:dyDescent="0.25">
      <c r="A207" s="5">
        <v>2016</v>
      </c>
      <c r="B207" s="52">
        <f>'Usage &amp; Cust. Count'!O257</f>
        <v>69778.304000000004</v>
      </c>
      <c r="G207" s="197">
        <f>'Usage &amp; Cust. Count'!AG257</f>
        <v>1311.5833333333333</v>
      </c>
    </row>
    <row r="208" spans="1:11" x14ac:dyDescent="0.25">
      <c r="A208" s="5">
        <v>2015</v>
      </c>
      <c r="B208" s="52">
        <f>'Usage &amp; Cust. Count'!O258</f>
        <v>63433.788</v>
      </c>
      <c r="G208" s="197">
        <f>'Usage &amp; Cust. Count'!AG258</f>
        <v>1294.9166666666667</v>
      </c>
    </row>
    <row r="209" spans="1:7" x14ac:dyDescent="0.25">
      <c r="A209" s="5">
        <v>2014</v>
      </c>
      <c r="B209" s="52">
        <f>'Usage &amp; Cust. Count'!O259</f>
        <v>63251.168000000005</v>
      </c>
      <c r="G209" s="197">
        <f>'Usage &amp; Cust. Count'!AG259</f>
        <v>1277.8333333333333</v>
      </c>
    </row>
    <row r="210" spans="1:7" x14ac:dyDescent="0.25">
      <c r="A210" s="5">
        <v>2013</v>
      </c>
      <c r="B210" s="52">
        <f>'Usage &amp; Cust. Count'!O260</f>
        <v>64512.503009787419</v>
      </c>
      <c r="G210" s="197">
        <f>'Usage &amp; Cust. Count'!AG260</f>
        <v>1234.75</v>
      </c>
    </row>
    <row r="211" spans="1:7" x14ac:dyDescent="0.25">
      <c r="A211" s="5">
        <v>2012</v>
      </c>
      <c r="B211" s="52">
        <f>'Usage &amp; Cust. Count'!O261</f>
        <v>63484.990941468524</v>
      </c>
      <c r="G211" s="197">
        <f>'Usage &amp; Cust. Count'!AG261</f>
        <v>1132.8333333333333</v>
      </c>
    </row>
    <row r="212" spans="1:7" x14ac:dyDescent="0.25">
      <c r="A212" s="5">
        <v>2011</v>
      </c>
      <c r="B212" s="52">
        <f>'Usage &amp; Cust. Count'!O262</f>
        <v>95644.685154071864</v>
      </c>
      <c r="G212" s="197">
        <f>'Usage &amp; Cust. Count'!AG262</f>
        <v>1269.0333333333333</v>
      </c>
    </row>
    <row r="213" spans="1:7" x14ac:dyDescent="0.25">
      <c r="A213" s="5"/>
    </row>
    <row r="215" spans="1:7" ht="45" x14ac:dyDescent="0.25">
      <c r="A215" s="165" t="s">
        <v>26</v>
      </c>
      <c r="G215" s="215" t="s">
        <v>167</v>
      </c>
    </row>
    <row r="216" spans="1:7" x14ac:dyDescent="0.25">
      <c r="A216" s="195">
        <v>2023</v>
      </c>
      <c r="B216" s="52">
        <f>'Usage &amp; Cust. Count'!O270</f>
        <v>0</v>
      </c>
      <c r="G216" s="197">
        <f>'Usage &amp; Cust. Count'!AG270</f>
        <v>0</v>
      </c>
    </row>
    <row r="217" spans="1:7" x14ac:dyDescent="0.25">
      <c r="A217" s="195">
        <v>2022</v>
      </c>
      <c r="B217" s="52">
        <f>'Usage &amp; Cust. Count'!O271</f>
        <v>0</v>
      </c>
      <c r="G217" s="197">
        <f>'Usage &amp; Cust. Count'!AG271</f>
        <v>0</v>
      </c>
    </row>
    <row r="218" spans="1:7" x14ac:dyDescent="0.25">
      <c r="A218" s="196">
        <v>2021</v>
      </c>
      <c r="B218" s="52">
        <f>'Usage &amp; Cust. Count'!O272</f>
        <v>0</v>
      </c>
      <c r="G218" s="197">
        <f>'Usage &amp; Cust. Count'!AG272</f>
        <v>0</v>
      </c>
    </row>
    <row r="219" spans="1:7" x14ac:dyDescent="0.25">
      <c r="A219" s="196">
        <v>2020</v>
      </c>
      <c r="B219" s="52">
        <f>'Usage &amp; Cust. Count'!O273</f>
        <v>13445.427999999998</v>
      </c>
      <c r="G219" s="197">
        <f>'Usage &amp; Cust. Count'!AG273</f>
        <v>123.5</v>
      </c>
    </row>
    <row r="220" spans="1:7" x14ac:dyDescent="0.25">
      <c r="A220" s="5">
        <v>2019</v>
      </c>
      <c r="B220" s="52">
        <f>'Usage &amp; Cust. Count'!O274</f>
        <v>8926.2999999999993</v>
      </c>
      <c r="G220" s="197">
        <f>'Usage &amp; Cust. Count'!AG274</f>
        <v>115.08333333333333</v>
      </c>
    </row>
    <row r="221" spans="1:7" x14ac:dyDescent="0.25">
      <c r="A221" s="5">
        <v>2018</v>
      </c>
      <c r="B221" s="52">
        <f>'Usage &amp; Cust. Count'!O275</f>
        <v>11289.6</v>
      </c>
      <c r="G221" s="197">
        <f>'Usage &amp; Cust. Count'!AG275</f>
        <v>111.66666666666667</v>
      </c>
    </row>
    <row r="222" spans="1:7" x14ac:dyDescent="0.25">
      <c r="A222" s="5">
        <v>2017</v>
      </c>
      <c r="B222" s="52">
        <f>'Usage &amp; Cust. Count'!O276</f>
        <v>12089.9</v>
      </c>
      <c r="G222" s="197">
        <f>'Usage &amp; Cust. Count'!AG276</f>
        <v>105</v>
      </c>
    </row>
    <row r="223" spans="1:7" x14ac:dyDescent="0.25">
      <c r="A223" s="5">
        <v>2016</v>
      </c>
      <c r="B223" s="52">
        <f>'Usage &amp; Cust. Count'!O277</f>
        <v>12306.3</v>
      </c>
      <c r="G223" s="197">
        <f>'Usage &amp; Cust. Count'!AG277</f>
        <v>96.25</v>
      </c>
    </row>
    <row r="224" spans="1:7" x14ac:dyDescent="0.25">
      <c r="A224" s="5">
        <v>2015</v>
      </c>
      <c r="B224" s="52">
        <f>'Usage &amp; Cust. Count'!O278</f>
        <v>10904</v>
      </c>
      <c r="G224" s="197">
        <f>'Usage &amp; Cust. Count'!AG278</f>
        <v>90.666666666666671</v>
      </c>
    </row>
    <row r="225" spans="1:11" x14ac:dyDescent="0.25">
      <c r="A225" s="5">
        <v>2014</v>
      </c>
      <c r="B225" s="52">
        <f>'Usage &amp; Cust. Count'!O279</f>
        <v>11056.800000000001</v>
      </c>
      <c r="G225" s="197">
        <f>'Usage &amp; Cust. Count'!AG279</f>
        <v>87.916666666666671</v>
      </c>
    </row>
    <row r="226" spans="1:11" x14ac:dyDescent="0.25">
      <c r="A226" s="5">
        <v>2013</v>
      </c>
      <c r="B226" s="52">
        <f>'Usage &amp; Cust. Count'!O280</f>
        <v>13720.053436056984</v>
      </c>
      <c r="G226" s="197">
        <f>'Usage &amp; Cust. Count'!AG280</f>
        <v>85.833333333333329</v>
      </c>
    </row>
    <row r="227" spans="1:11" x14ac:dyDescent="0.25">
      <c r="A227" s="5">
        <v>2012</v>
      </c>
      <c r="B227" s="52">
        <f>'Usage &amp; Cust. Count'!O281</f>
        <v>14628.072923219364</v>
      </c>
      <c r="G227" s="197">
        <f>'Usage &amp; Cust. Count'!AG281</f>
        <v>84</v>
      </c>
    </row>
    <row r="228" spans="1:11" x14ac:dyDescent="0.25">
      <c r="A228" s="5"/>
    </row>
    <row r="230" spans="1:11" ht="45" x14ac:dyDescent="0.25">
      <c r="A230" s="166" t="s">
        <v>27</v>
      </c>
      <c r="G230" s="215" t="s">
        <v>167</v>
      </c>
    </row>
    <row r="231" spans="1:11" x14ac:dyDescent="0.25">
      <c r="A231" s="195">
        <v>2023</v>
      </c>
      <c r="B231" s="52">
        <f>'Usage &amp; Cust. Count'!O290</f>
        <v>0</v>
      </c>
      <c r="G231" s="197">
        <f>'Usage &amp; Cust. Count'!AG290</f>
        <v>0</v>
      </c>
    </row>
    <row r="232" spans="1:11" x14ac:dyDescent="0.25">
      <c r="A232" s="195">
        <v>2022</v>
      </c>
      <c r="B232" s="52">
        <f>'Usage &amp; Cust. Count'!O291</f>
        <v>0</v>
      </c>
      <c r="G232" s="197">
        <f>'Usage &amp; Cust. Count'!AG291</f>
        <v>0</v>
      </c>
    </row>
    <row r="233" spans="1:11" x14ac:dyDescent="0.25">
      <c r="A233" s="196">
        <v>2021</v>
      </c>
      <c r="B233" s="52">
        <f>'Usage &amp; Cust. Count'!O292</f>
        <v>0</v>
      </c>
      <c r="G233" s="197">
        <f>'Usage &amp; Cust. Count'!AG292</f>
        <v>0</v>
      </c>
    </row>
    <row r="234" spans="1:11" x14ac:dyDescent="0.25">
      <c r="A234" s="196">
        <v>2020</v>
      </c>
      <c r="B234" s="52">
        <f>'Usage &amp; Cust. Count'!O293</f>
        <v>107601.624</v>
      </c>
      <c r="G234" s="197">
        <f>'Usage &amp; Cust. Count'!AG293</f>
        <v>3077.3333333333335</v>
      </c>
      <c r="K234" s="52">
        <v>-132</v>
      </c>
    </row>
    <row r="235" spans="1:11" x14ac:dyDescent="0.25">
      <c r="A235" s="5">
        <v>2019</v>
      </c>
      <c r="B235" s="52">
        <f>'Usage &amp; Cust. Count'!O294</f>
        <v>106067.79999999999</v>
      </c>
      <c r="G235" s="197">
        <f>'Usage &amp; Cust. Count'!AG294</f>
        <v>3066.0833333333335</v>
      </c>
    </row>
    <row r="236" spans="1:11" x14ac:dyDescent="0.25">
      <c r="A236" s="5">
        <v>2018</v>
      </c>
      <c r="B236" s="52">
        <f>'Usage &amp; Cust. Count'!O295</f>
        <v>114096.49999999999</v>
      </c>
      <c r="G236" s="197">
        <f>'Usage &amp; Cust. Count'!AG295</f>
        <v>3061.25</v>
      </c>
    </row>
    <row r="237" spans="1:11" x14ac:dyDescent="0.25">
      <c r="A237" s="5">
        <v>2017</v>
      </c>
      <c r="B237" s="52">
        <f>'Usage &amp; Cust. Count'!O296</f>
        <v>114585.5</v>
      </c>
      <c r="G237" s="197">
        <f>'Usage &amp; Cust. Count'!AG296</f>
        <v>2998</v>
      </c>
    </row>
    <row r="238" spans="1:11" x14ac:dyDescent="0.25">
      <c r="A238" s="5">
        <v>2016</v>
      </c>
      <c r="B238" s="52">
        <f>'Usage &amp; Cust. Count'!O297</f>
        <v>118650.04</v>
      </c>
      <c r="G238" s="197">
        <f>'Usage &amp; Cust. Count'!AG297</f>
        <v>2983.4166666666665</v>
      </c>
    </row>
    <row r="239" spans="1:11" x14ac:dyDescent="0.25">
      <c r="A239" s="5">
        <v>2015</v>
      </c>
      <c r="B239" s="52">
        <f>'Usage &amp; Cust. Count'!O298</f>
        <v>93142.002999999997</v>
      </c>
      <c r="G239" s="197">
        <f>'Usage &amp; Cust. Count'!AG298</f>
        <v>2946.4166666666665</v>
      </c>
    </row>
    <row r="240" spans="1:11" x14ac:dyDescent="0.25">
      <c r="A240" s="5">
        <v>2014</v>
      </c>
      <c r="B240" s="52">
        <f>'Usage &amp; Cust. Count'!O299</f>
        <v>93254.5</v>
      </c>
      <c r="G240" s="197">
        <f>'Usage &amp; Cust. Count'!AG299</f>
        <v>2928.9166666666665</v>
      </c>
    </row>
    <row r="241" spans="1:11" x14ac:dyDescent="0.25">
      <c r="A241" s="5">
        <v>2013</v>
      </c>
      <c r="B241" s="52">
        <f>'Usage &amp; Cust. Count'!O300</f>
        <v>98873.700000000012</v>
      </c>
      <c r="G241" s="197">
        <f>'Usage &amp; Cust. Count'!AG300</f>
        <v>2937.9444444444448</v>
      </c>
    </row>
    <row r="242" spans="1:11" x14ac:dyDescent="0.25">
      <c r="A242" s="5"/>
    </row>
    <row r="244" spans="1:11" ht="45" x14ac:dyDescent="0.25">
      <c r="A244" s="165" t="s">
        <v>28</v>
      </c>
      <c r="G244" s="215" t="s">
        <v>167</v>
      </c>
    </row>
    <row r="245" spans="1:11" x14ac:dyDescent="0.25">
      <c r="A245" s="195">
        <v>2023</v>
      </c>
      <c r="B245" s="52">
        <f>'Usage &amp; Cust. Count'!O310</f>
        <v>0</v>
      </c>
      <c r="G245" s="197">
        <f>'Usage &amp; Cust. Count'!AG310</f>
        <v>0</v>
      </c>
    </row>
    <row r="246" spans="1:11" x14ac:dyDescent="0.25">
      <c r="A246" s="195">
        <v>2022</v>
      </c>
      <c r="B246" s="52">
        <f>'Usage &amp; Cust. Count'!O311</f>
        <v>0</v>
      </c>
      <c r="G246" s="197">
        <f>'Usage &amp; Cust. Count'!AG311</f>
        <v>0</v>
      </c>
    </row>
    <row r="247" spans="1:11" x14ac:dyDescent="0.25">
      <c r="A247" s="196">
        <v>2021</v>
      </c>
      <c r="B247" s="52">
        <f>'Usage &amp; Cust. Count'!O312</f>
        <v>0</v>
      </c>
      <c r="G247" s="197">
        <f>'Usage &amp; Cust. Count'!AG312</f>
        <v>0</v>
      </c>
    </row>
    <row r="248" spans="1:11" x14ac:dyDescent="0.25">
      <c r="A248" s="196">
        <v>2020</v>
      </c>
      <c r="B248" s="52">
        <f>'Usage &amp; Cust. Count'!O313</f>
        <v>21879.226999999999</v>
      </c>
      <c r="G248" s="197">
        <f>'Usage &amp; Cust. Count'!AG313</f>
        <v>423.75</v>
      </c>
      <c r="K248" s="52">
        <v>-88</v>
      </c>
    </row>
    <row r="249" spans="1:11" x14ac:dyDescent="0.25">
      <c r="A249" s="5">
        <v>2019</v>
      </c>
      <c r="B249" s="52">
        <f>'Usage &amp; Cust. Count'!O314</f>
        <v>20797.800000000003</v>
      </c>
      <c r="G249" s="197">
        <f>'Usage &amp; Cust. Count'!AG314</f>
        <v>421.08333333333331</v>
      </c>
    </row>
    <row r="250" spans="1:11" x14ac:dyDescent="0.25">
      <c r="A250" s="5">
        <v>2018</v>
      </c>
      <c r="B250" s="52">
        <f>'Usage &amp; Cust. Count'!O315</f>
        <v>22764.900000000005</v>
      </c>
      <c r="G250" s="197">
        <f>'Usage &amp; Cust. Count'!AG315</f>
        <v>414.58333333333331</v>
      </c>
    </row>
    <row r="251" spans="1:11" x14ac:dyDescent="0.25">
      <c r="A251" s="5">
        <v>2017</v>
      </c>
      <c r="B251" s="52">
        <f>'Usage &amp; Cust. Count'!O316</f>
        <v>21788.7</v>
      </c>
      <c r="G251" s="197">
        <f>'Usage &amp; Cust. Count'!AG316</f>
        <v>405.08333333333331</v>
      </c>
    </row>
    <row r="252" spans="1:11" x14ac:dyDescent="0.25">
      <c r="A252" s="5">
        <v>2016</v>
      </c>
      <c r="B252" s="52">
        <f>'Usage &amp; Cust. Count'!O317</f>
        <v>18227</v>
      </c>
      <c r="G252" s="197">
        <f>'Usage &amp; Cust. Count'!AG317</f>
        <v>378.08333333333331</v>
      </c>
    </row>
    <row r="253" spans="1:11" x14ac:dyDescent="0.25">
      <c r="A253" s="5">
        <v>2015</v>
      </c>
      <c r="B253" s="52">
        <f>'Usage &amp; Cust. Count'!O318</f>
        <v>16644</v>
      </c>
      <c r="G253" s="197">
        <f>'Usage &amp; Cust. Count'!AG318</f>
        <v>355.08333333333331</v>
      </c>
    </row>
    <row r="254" spans="1:11" x14ac:dyDescent="0.25">
      <c r="A254" s="5">
        <v>2014</v>
      </c>
      <c r="B254" s="52">
        <f>'Usage &amp; Cust. Count'!O319</f>
        <v>20518</v>
      </c>
      <c r="G254" s="197">
        <f>'Usage &amp; Cust. Count'!AG319</f>
        <v>350.66666666666669</v>
      </c>
    </row>
    <row r="255" spans="1:11" x14ac:dyDescent="0.25">
      <c r="A255" s="5"/>
    </row>
    <row r="257" spans="1:22" ht="45" x14ac:dyDescent="0.25">
      <c r="A257" s="165" t="s">
        <v>30</v>
      </c>
      <c r="G257" s="215" t="s">
        <v>167</v>
      </c>
    </row>
    <row r="258" spans="1:22" x14ac:dyDescent="0.25">
      <c r="A258" s="195">
        <v>2023</v>
      </c>
      <c r="B258" s="52">
        <f>'Usage &amp; Cust. Count'!O328</f>
        <v>2731.8</v>
      </c>
      <c r="G258" s="197">
        <f>'Usage &amp; Cust. Count'!AG328</f>
        <v>26.5</v>
      </c>
    </row>
    <row r="259" spans="1:22" x14ac:dyDescent="0.25">
      <c r="A259" s="195">
        <v>2022</v>
      </c>
      <c r="B259" s="52">
        <f>'Usage &amp; Cust. Count'!O329</f>
        <v>2400.1999999999998</v>
      </c>
      <c r="G259" s="197">
        <f>'Usage &amp; Cust. Count'!AG329</f>
        <v>24.916666666666668</v>
      </c>
    </row>
    <row r="260" spans="1:22" s="106" customFormat="1" x14ac:dyDescent="0.25">
      <c r="A260" s="196">
        <v>2021</v>
      </c>
      <c r="B260" s="52">
        <f>'Usage &amp; Cust. Count'!O330</f>
        <v>1809.1</v>
      </c>
      <c r="C260" s="162"/>
      <c r="D260" s="162"/>
      <c r="E260" s="162"/>
      <c r="F260" s="162"/>
      <c r="G260" s="197">
        <f>'Usage &amp; Cust. Count'!AG330</f>
        <v>23.25</v>
      </c>
      <c r="H260" s="162"/>
      <c r="I260" s="162"/>
      <c r="J260" s="162"/>
      <c r="K260" s="162"/>
      <c r="L260" s="162"/>
      <c r="M260" s="162"/>
      <c r="N260" s="162"/>
      <c r="O260" s="162"/>
      <c r="P260" s="163"/>
      <c r="Q260" s="164"/>
      <c r="S260" s="34"/>
      <c r="T260" s="34"/>
      <c r="V260" s="34"/>
    </row>
    <row r="261" spans="1:22" x14ac:dyDescent="0.25">
      <c r="A261" s="196">
        <v>2020</v>
      </c>
      <c r="B261" s="52">
        <f>'Usage &amp; Cust. Count'!O331</f>
        <v>1703.8520000000003</v>
      </c>
      <c r="G261" s="197">
        <f>'Usage &amp; Cust. Count'!AG331</f>
        <v>19.5</v>
      </c>
    </row>
    <row r="262" spans="1:22" x14ac:dyDescent="0.25">
      <c r="A262" s="5">
        <v>2019</v>
      </c>
      <c r="B262" s="52">
        <f>'Usage &amp; Cust. Count'!O332</f>
        <v>1415.3999999999996</v>
      </c>
      <c r="G262" s="197">
        <f>'Usage &amp; Cust. Count'!AG332</f>
        <v>18.333333333333332</v>
      </c>
    </row>
    <row r="263" spans="1:22" x14ac:dyDescent="0.25">
      <c r="A263" s="5">
        <v>2018</v>
      </c>
      <c r="B263" s="52">
        <f>'Usage &amp; Cust. Count'!O333</f>
        <v>1514.9</v>
      </c>
      <c r="G263" s="197">
        <f>'Usage &amp; Cust. Count'!AG333</f>
        <v>18</v>
      </c>
    </row>
    <row r="264" spans="1:22" x14ac:dyDescent="0.25">
      <c r="A264" s="5">
        <v>2017</v>
      </c>
      <c r="B264" s="52">
        <f>'Usage &amp; Cust. Count'!O334</f>
        <v>1260.8400000000001</v>
      </c>
      <c r="G264" s="197">
        <f>'Usage &amp; Cust. Count'!AG334</f>
        <v>18</v>
      </c>
    </row>
    <row r="265" spans="1:22" x14ac:dyDescent="0.25">
      <c r="A265" s="5">
        <v>2016</v>
      </c>
      <c r="B265" s="52">
        <f>'Usage &amp; Cust. Count'!O335</f>
        <v>1169.0600000000002</v>
      </c>
      <c r="G265" s="197">
        <f>'Usage &amp; Cust. Count'!AG335</f>
        <v>16.666666666666668</v>
      </c>
    </row>
    <row r="266" spans="1:22" x14ac:dyDescent="0.25">
      <c r="A266" s="5">
        <v>2015</v>
      </c>
      <c r="B266" s="52">
        <f>'Usage &amp; Cust. Count'!O336</f>
        <v>1606.9279999999999</v>
      </c>
      <c r="G266" s="197">
        <f>'Usage &amp; Cust. Count'!AG336</f>
        <v>16</v>
      </c>
    </row>
    <row r="267" spans="1:22" x14ac:dyDescent="0.25">
      <c r="A267" s="5"/>
    </row>
    <row r="269" spans="1:22" ht="45" x14ac:dyDescent="0.25">
      <c r="A269" s="165" t="s">
        <v>32</v>
      </c>
      <c r="G269" s="215" t="s">
        <v>167</v>
      </c>
    </row>
    <row r="270" spans="1:22" x14ac:dyDescent="0.25">
      <c r="A270" s="195">
        <v>2023</v>
      </c>
      <c r="B270" s="52">
        <f>'Usage &amp; Cust. Count'!O344</f>
        <v>2780.25</v>
      </c>
      <c r="G270" s="217">
        <f>'Usage &amp; Cust. Count'!AG344</f>
        <v>48.916666666666664</v>
      </c>
    </row>
    <row r="271" spans="1:22" x14ac:dyDescent="0.25">
      <c r="A271" s="195">
        <v>2022</v>
      </c>
      <c r="B271" s="52">
        <f>'Usage &amp; Cust. Count'!O345</f>
        <v>2691.3</v>
      </c>
      <c r="G271" s="217">
        <f>'Usage &amp; Cust. Count'!AG345</f>
        <v>48.916666666666664</v>
      </c>
    </row>
    <row r="272" spans="1:22" x14ac:dyDescent="0.25">
      <c r="A272" s="196">
        <v>2021</v>
      </c>
      <c r="B272" s="52">
        <f>'Usage &amp; Cust. Count'!O346</f>
        <v>2286.5</v>
      </c>
      <c r="G272" s="217">
        <f>'Usage &amp; Cust. Count'!AG346</f>
        <v>48.25</v>
      </c>
    </row>
    <row r="273" spans="1:11" x14ac:dyDescent="0.25">
      <c r="A273" s="196">
        <v>2020</v>
      </c>
      <c r="B273" s="52">
        <f>'Usage &amp; Cust. Count'!O347</f>
        <v>2626.183</v>
      </c>
      <c r="G273" s="217">
        <f>'Usage &amp; Cust. Count'!AG347</f>
        <v>48.25</v>
      </c>
    </row>
    <row r="274" spans="1:11" x14ac:dyDescent="0.25">
      <c r="A274" s="5">
        <v>2019</v>
      </c>
      <c r="B274" s="52">
        <f>'Usage &amp; Cust. Count'!O348</f>
        <v>2214</v>
      </c>
      <c r="G274" s="217">
        <f>'Usage &amp; Cust. Count'!AG348</f>
        <v>46.75</v>
      </c>
    </row>
    <row r="275" spans="1:11" x14ac:dyDescent="0.25">
      <c r="A275" s="5">
        <v>2018</v>
      </c>
      <c r="B275" s="52">
        <f>'Usage &amp; Cust. Count'!O349</f>
        <v>2411.2000000000003</v>
      </c>
      <c r="G275" s="217">
        <f>'Usage &amp; Cust. Count'!AG349</f>
        <v>47.583333333333336</v>
      </c>
    </row>
    <row r="276" spans="1:11" x14ac:dyDescent="0.25">
      <c r="A276" s="5">
        <v>2017</v>
      </c>
      <c r="B276" s="52">
        <f>'Usage &amp; Cust. Count'!O350</f>
        <v>2432.4760000000001</v>
      </c>
      <c r="G276" s="217">
        <f>'Usage &amp; Cust. Count'!AG350</f>
        <v>48</v>
      </c>
    </row>
    <row r="277" spans="1:11" x14ac:dyDescent="0.25">
      <c r="A277" s="5">
        <v>2016</v>
      </c>
      <c r="B277" s="52">
        <f>'Usage &amp; Cust. Count'!O351</f>
        <v>2147.1760000000004</v>
      </c>
      <c r="G277" s="217">
        <f>'Usage &amp; Cust. Count'!AG351</f>
        <v>47.75</v>
      </c>
    </row>
    <row r="278" spans="1:11" x14ac:dyDescent="0.25">
      <c r="A278" s="5"/>
    </row>
    <row r="280" spans="1:11" ht="45" x14ac:dyDescent="0.25">
      <c r="A280" s="165" t="s">
        <v>33</v>
      </c>
      <c r="G280" s="215" t="s">
        <v>167</v>
      </c>
    </row>
    <row r="281" spans="1:11" x14ac:dyDescent="0.25">
      <c r="A281" s="195">
        <v>2023</v>
      </c>
      <c r="B281" s="52">
        <f>'Usage &amp; Cust. Count'!O359</f>
        <v>0</v>
      </c>
      <c r="G281" s="197">
        <f>'Usage &amp; Cust. Count'!AG359</f>
        <v>0</v>
      </c>
    </row>
    <row r="282" spans="1:11" x14ac:dyDescent="0.25">
      <c r="A282" s="195">
        <v>2022</v>
      </c>
      <c r="B282" s="52">
        <f>'Usage &amp; Cust. Count'!O360</f>
        <v>0</v>
      </c>
      <c r="G282" s="197">
        <f>'Usage &amp; Cust. Count'!AG360</f>
        <v>0</v>
      </c>
    </row>
    <row r="283" spans="1:11" x14ac:dyDescent="0.25">
      <c r="A283" s="196">
        <v>2021</v>
      </c>
      <c r="B283" s="52">
        <f>'Usage &amp; Cust. Count'!O361</f>
        <v>0</v>
      </c>
      <c r="G283" s="197">
        <f>'Usage &amp; Cust. Count'!AG361</f>
        <v>0</v>
      </c>
    </row>
    <row r="284" spans="1:11" ht="15.75" thickBot="1" x14ac:dyDescent="0.3">
      <c r="A284" s="196">
        <v>2020</v>
      </c>
      <c r="B284" s="52">
        <f>'Usage &amp; Cust. Count'!O362</f>
        <v>5518.4109999999991</v>
      </c>
      <c r="G284" s="197">
        <f>'Usage &amp; Cust. Count'!AG362</f>
        <v>172.66666666666666</v>
      </c>
      <c r="K284" s="259">
        <v>-113</v>
      </c>
    </row>
    <row r="285" spans="1:11" ht="15.75" thickTop="1" x14ac:dyDescent="0.25">
      <c r="A285" s="5">
        <v>2019</v>
      </c>
      <c r="B285" s="52">
        <f>'Usage &amp; Cust. Count'!O363</f>
        <v>4560.8999999999996</v>
      </c>
      <c r="G285" s="197">
        <f>'Usage &amp; Cust. Count'!AG363</f>
        <v>164.83333333333334</v>
      </c>
      <c r="K285" s="52">
        <f>SUM(K284+K248+K234+K203+K187)</f>
        <v>-432</v>
      </c>
    </row>
    <row r="286" spans="1:11" x14ac:dyDescent="0.25">
      <c r="A286" s="5">
        <v>2018</v>
      </c>
      <c r="B286" s="52">
        <f>'Usage &amp; Cust. Count'!O364</f>
        <v>4108.6000000000004</v>
      </c>
      <c r="G286" s="197">
        <f>'Usage &amp; Cust. Count'!AG364</f>
        <v>135.91666666666666</v>
      </c>
    </row>
    <row r="287" spans="1:11" x14ac:dyDescent="0.25">
      <c r="A287" s="5">
        <v>2017</v>
      </c>
      <c r="B287" s="52">
        <f>'Usage &amp; Cust. Count'!O365</f>
        <v>4644.5999999999995</v>
      </c>
      <c r="G287" s="197">
        <f>'Usage &amp; Cust. Count'!AG365</f>
        <v>135.83333333333334</v>
      </c>
    </row>
    <row r="288" spans="1:11" x14ac:dyDescent="0.25">
      <c r="A288" s="5">
        <v>2016</v>
      </c>
      <c r="B288" s="52">
        <f>'Usage &amp; Cust. Count'!O366</f>
        <v>4736.2</v>
      </c>
      <c r="G288" s="197">
        <f>'Usage &amp; Cust. Count'!AG366</f>
        <v>130.57142857142858</v>
      </c>
    </row>
    <row r="289" spans="1:7" x14ac:dyDescent="0.25">
      <c r="A289" s="5"/>
    </row>
    <row r="291" spans="1:7" ht="45" x14ac:dyDescent="0.25">
      <c r="A291" s="165" t="s">
        <v>31</v>
      </c>
      <c r="G291" s="216" t="str">
        <f>'Usage &amp; Cust. Count'!AG289</f>
        <v>Avg Customer Count/Month Calendar Year</v>
      </c>
    </row>
    <row r="292" spans="1:7" x14ac:dyDescent="0.25">
      <c r="A292" s="195">
        <v>2023</v>
      </c>
      <c r="B292" s="52">
        <f>'Usage &amp; Cust. Count'!O391</f>
        <v>0</v>
      </c>
      <c r="G292" s="197">
        <f>'Usage &amp; Cust. Count'!AG391</f>
        <v>16.166666666666668</v>
      </c>
    </row>
    <row r="293" spans="1:7" x14ac:dyDescent="0.25">
      <c r="A293" s="195">
        <v>2022</v>
      </c>
      <c r="B293" s="52">
        <f>'Usage &amp; Cust. Count'!O392</f>
        <v>8685.7000000000007</v>
      </c>
      <c r="G293" s="197">
        <f>'Usage &amp; Cust. Count'!AG392</f>
        <v>177.58333333333334</v>
      </c>
    </row>
    <row r="294" spans="1:7" x14ac:dyDescent="0.25">
      <c r="A294" s="196">
        <v>2021</v>
      </c>
      <c r="B294" s="52">
        <f>'Usage &amp; Cust. Count'!O393</f>
        <v>7774.5999999999995</v>
      </c>
      <c r="G294" s="197">
        <f>'Usage &amp; Cust. Count'!AG393</f>
        <v>156.16666666666666</v>
      </c>
    </row>
    <row r="295" spans="1:7" x14ac:dyDescent="0.25">
      <c r="A295" s="196">
        <v>2020</v>
      </c>
      <c r="B295" s="52">
        <f>'Usage &amp; Cust. Count'!O394</f>
        <v>7108.3999999999987</v>
      </c>
      <c r="G295" s="197">
        <f>'Usage &amp; Cust. Count'!AG394</f>
        <v>141.41666666666666</v>
      </c>
    </row>
    <row r="296" spans="1:7" x14ac:dyDescent="0.25">
      <c r="A296" s="5">
        <v>2019</v>
      </c>
      <c r="B296" s="52">
        <f>'Usage &amp; Cust. Count'!O395</f>
        <v>4757.8999999999996</v>
      </c>
      <c r="G296" s="197">
        <f>'Usage &amp; Cust. Count'!AG395</f>
        <v>117.75</v>
      </c>
    </row>
    <row r="297" spans="1:7" x14ac:dyDescent="0.25">
      <c r="A297" s="5">
        <v>2018</v>
      </c>
      <c r="B297" s="52">
        <f>'Usage &amp; Cust. Count'!O396</f>
        <v>6110.4</v>
      </c>
      <c r="G297" s="197">
        <f>'Usage &amp; Cust. Count'!AG396</f>
        <v>100.08333333333333</v>
      </c>
    </row>
    <row r="298" spans="1:7" x14ac:dyDescent="0.25">
      <c r="A298" s="5"/>
    </row>
    <row r="300" spans="1:7" ht="45" x14ac:dyDescent="0.25">
      <c r="A300" s="165" t="s">
        <v>29</v>
      </c>
      <c r="G300" s="215" t="s">
        <v>167</v>
      </c>
    </row>
    <row r="301" spans="1:7" x14ac:dyDescent="0.25">
      <c r="A301" s="195">
        <v>2023</v>
      </c>
      <c r="B301" s="52">
        <f>'Usage &amp; Cust. Count'!O404</f>
        <v>0</v>
      </c>
      <c r="G301" s="197">
        <f>'Usage &amp; Cust. Count'!AG404</f>
        <v>13.166666666666666</v>
      </c>
    </row>
    <row r="302" spans="1:7" x14ac:dyDescent="0.25">
      <c r="A302" s="195">
        <v>2022</v>
      </c>
      <c r="B302" s="52">
        <f>'Usage &amp; Cust. Count'!O405</f>
        <v>8764.0999999999985</v>
      </c>
      <c r="G302" s="197">
        <f>'Usage &amp; Cust. Count'!AG405</f>
        <v>158</v>
      </c>
    </row>
    <row r="303" spans="1:7" x14ac:dyDescent="0.25">
      <c r="A303" s="196">
        <v>2021</v>
      </c>
      <c r="B303" s="52">
        <f>'Usage &amp; Cust. Count'!O406</f>
        <v>8128.9000000000005</v>
      </c>
      <c r="G303" s="197">
        <f>'Usage &amp; Cust. Count'!AG406</f>
        <v>158</v>
      </c>
    </row>
    <row r="304" spans="1:7" x14ac:dyDescent="0.25">
      <c r="A304" s="196">
        <v>2020</v>
      </c>
      <c r="B304" s="52">
        <f>'Usage &amp; Cust. Count'!O407</f>
        <v>8192.3000000000011</v>
      </c>
      <c r="G304" s="197">
        <f>'Usage &amp; Cust. Count'!AG407</f>
        <v>157.91666666666666</v>
      </c>
    </row>
    <row r="305" spans="1:7" x14ac:dyDescent="0.25">
      <c r="A305" s="5">
        <v>2019</v>
      </c>
      <c r="B305" s="52">
        <f>'Usage &amp; Cust. Count'!O408</f>
        <v>7710.9</v>
      </c>
      <c r="G305" s="197">
        <f>'Usage &amp; Cust. Count'!AG408</f>
        <v>157.83333333333334</v>
      </c>
    </row>
    <row r="306" spans="1:7" x14ac:dyDescent="0.25">
      <c r="A306" s="5">
        <v>2018</v>
      </c>
      <c r="B306" s="52">
        <f>'Usage &amp; Cust. Count'!O409</f>
        <v>9369.7499999999982</v>
      </c>
      <c r="G306" s="197">
        <f>'Usage &amp; Cust. Count'!AG409</f>
        <v>156.58333333333334</v>
      </c>
    </row>
    <row r="307" spans="1:7" x14ac:dyDescent="0.25">
      <c r="A307" s="5"/>
    </row>
    <row r="309" spans="1:7" ht="45" x14ac:dyDescent="0.25">
      <c r="A309" s="165" t="s">
        <v>75</v>
      </c>
      <c r="G309" s="216" t="str">
        <f>'Usage &amp; Cust. Count'!AG327</f>
        <v>Avg Customer Count/Month Calendar Year</v>
      </c>
    </row>
    <row r="310" spans="1:7" x14ac:dyDescent="0.25">
      <c r="A310" s="195">
        <v>2023</v>
      </c>
      <c r="B310" s="52">
        <f>'Usage &amp; Cust. Count'!O437</f>
        <v>42202.535000000003</v>
      </c>
      <c r="G310" s="197">
        <f>'Usage &amp; Cust. Count'!AG437</f>
        <v>917.41666666666663</v>
      </c>
    </row>
    <row r="311" spans="1:7" x14ac:dyDescent="0.25">
      <c r="A311" s="195">
        <v>2022</v>
      </c>
      <c r="B311" s="52">
        <f>'Usage &amp; Cust. Count'!O438</f>
        <v>41895.910000000011</v>
      </c>
      <c r="G311" s="197">
        <f>'Usage &amp; Cust. Count'!AG438</f>
        <v>913.75</v>
      </c>
    </row>
    <row r="312" spans="1:7" x14ac:dyDescent="0.25">
      <c r="A312" s="196">
        <v>2021</v>
      </c>
      <c r="B312" s="52">
        <f>'Usage &amp; Cust. Count'!O439</f>
        <v>40086.152000000009</v>
      </c>
      <c r="G312" s="197">
        <f>'Usage &amp; Cust. Count'!AG439</f>
        <v>904.58333333333337</v>
      </c>
    </row>
    <row r="313" spans="1:7" x14ac:dyDescent="0.25">
      <c r="A313" s="196">
        <v>2020</v>
      </c>
      <c r="B313" s="52">
        <f>'Usage &amp; Cust. Count'!O440</f>
        <v>42368.574999999997</v>
      </c>
      <c r="G313" s="197">
        <f>'Usage &amp; Cust. Count'!AG440</f>
        <v>896.08333333333337</v>
      </c>
    </row>
    <row r="314" spans="1:7" x14ac:dyDescent="0.25">
      <c r="A314" s="5">
        <v>2019</v>
      </c>
      <c r="B314" s="52">
        <f>'Usage &amp; Cust. Count'!O441</f>
        <v>39192.035999999993</v>
      </c>
      <c r="G314" s="197">
        <f>'Usage &amp; Cust. Count'!AG441</f>
        <v>890.66666666666663</v>
      </c>
    </row>
    <row r="315" spans="1:7" x14ac:dyDescent="0.25">
      <c r="A315" s="5">
        <v>2018</v>
      </c>
      <c r="B315" s="52">
        <f>'Usage &amp; Cust. Count'!O442</f>
        <v>35895.899999999994</v>
      </c>
      <c r="G315" s="197">
        <f>'Usage &amp; Cust. Count'!AG442</f>
        <v>888.66666666666663</v>
      </c>
    </row>
    <row r="316" spans="1:7" x14ac:dyDescent="0.25">
      <c r="A316" s="5"/>
    </row>
    <row r="318" spans="1:7" ht="45" x14ac:dyDescent="0.25">
      <c r="A318" s="165" t="s">
        <v>76</v>
      </c>
      <c r="G318" s="215" t="s">
        <v>167</v>
      </c>
    </row>
    <row r="319" spans="1:7" x14ac:dyDescent="0.25">
      <c r="A319" s="195">
        <v>2023</v>
      </c>
      <c r="B319" s="52">
        <f>'Usage &amp; Cust. Count'!O448</f>
        <v>3443.4159999999997</v>
      </c>
      <c r="G319" s="197">
        <f>'Usage &amp; Cust. Count'!AG448</f>
        <v>85.333333333333329</v>
      </c>
    </row>
    <row r="320" spans="1:7" x14ac:dyDescent="0.25">
      <c r="A320" s="195">
        <v>2022</v>
      </c>
      <c r="B320" s="52">
        <f>'Usage &amp; Cust. Count'!O449</f>
        <v>2756.1259999999997</v>
      </c>
      <c r="G320" s="197">
        <f>'Usage &amp; Cust. Count'!AG449</f>
        <v>82.916666666666671</v>
      </c>
    </row>
    <row r="321" spans="1:7" x14ac:dyDescent="0.25">
      <c r="A321" s="196">
        <v>2021</v>
      </c>
      <c r="B321" s="52">
        <f>'Usage &amp; Cust. Count'!O450</f>
        <v>3010.5680000000002</v>
      </c>
      <c r="G321" s="197">
        <f>'Usage &amp; Cust. Count'!AG450</f>
        <v>80.75</v>
      </c>
    </row>
    <row r="322" spans="1:7" x14ac:dyDescent="0.25">
      <c r="A322" s="196">
        <v>2020</v>
      </c>
      <c r="B322" s="52">
        <f>'Usage &amp; Cust. Count'!O451</f>
        <v>3191.0620000000004</v>
      </c>
      <c r="G322" s="197">
        <f>'Usage &amp; Cust. Count'!AG451</f>
        <v>75.166666666666671</v>
      </c>
    </row>
    <row r="323" spans="1:7" x14ac:dyDescent="0.25">
      <c r="A323" s="5">
        <v>2019</v>
      </c>
      <c r="B323" s="52">
        <f>'Usage &amp; Cust. Count'!O452</f>
        <v>2806.7000000000007</v>
      </c>
      <c r="G323" s="197">
        <f>'Usage &amp; Cust. Count'!AG452</f>
        <v>67.5</v>
      </c>
    </row>
    <row r="324" spans="1:7" x14ac:dyDescent="0.25">
      <c r="A324" s="5"/>
    </row>
    <row r="326" spans="1:7" ht="45" x14ac:dyDescent="0.25">
      <c r="A326" s="165" t="s">
        <v>74</v>
      </c>
      <c r="G326" s="215" t="s">
        <v>167</v>
      </c>
    </row>
    <row r="327" spans="1:7" x14ac:dyDescent="0.25">
      <c r="A327" s="195">
        <v>2023</v>
      </c>
      <c r="B327" s="52">
        <f>'Usage &amp; Cust. Count'!O467</f>
        <v>36487.826000000008</v>
      </c>
      <c r="G327" s="197">
        <f>'Usage &amp; Cust. Count'!AG467</f>
        <v>482.58333333333331</v>
      </c>
    </row>
    <row r="328" spans="1:7" x14ac:dyDescent="0.25">
      <c r="A328" s="195">
        <v>2022</v>
      </c>
      <c r="B328" s="52">
        <f>'Usage &amp; Cust. Count'!O468</f>
        <v>33187.948000000004</v>
      </c>
      <c r="G328" s="197">
        <f>'Usage &amp; Cust. Count'!AG468</f>
        <v>478.91666666666669</v>
      </c>
    </row>
    <row r="329" spans="1:7" x14ac:dyDescent="0.25">
      <c r="A329" s="196">
        <v>2021</v>
      </c>
      <c r="B329" s="52">
        <f>'Usage &amp; Cust. Count'!O469</f>
        <v>32619.095000000001</v>
      </c>
      <c r="G329" s="197">
        <f>'Usage &amp; Cust. Count'!AG469</f>
        <v>476.91666666666669</v>
      </c>
    </row>
    <row r="330" spans="1:7" x14ac:dyDescent="0.25">
      <c r="A330" s="196">
        <v>2020</v>
      </c>
      <c r="B330" s="52">
        <f>'Usage &amp; Cust. Count'!O470</f>
        <v>32248.059999999998</v>
      </c>
      <c r="G330" s="197">
        <f>'Usage &amp; Cust. Count'!AG470</f>
        <v>475.41666666666669</v>
      </c>
    </row>
    <row r="331" spans="1:7" x14ac:dyDescent="0.25">
      <c r="A331" s="5">
        <v>2019</v>
      </c>
      <c r="B331" s="52">
        <f>'Usage &amp; Cust. Count'!O471</f>
        <v>30138.199999999997</v>
      </c>
      <c r="G331" s="197">
        <f>'Usage &amp; Cust. Count'!AG471</f>
        <v>469.83333333333331</v>
      </c>
    </row>
    <row r="332" spans="1:7" x14ac:dyDescent="0.25">
      <c r="A332" s="5">
        <v>2018</v>
      </c>
      <c r="B332" s="52">
        <f>'Usage &amp; Cust. Count'!O472</f>
        <v>34189.099999999991</v>
      </c>
      <c r="G332" s="197">
        <f>'Usage &amp; Cust. Count'!AG472</f>
        <v>468.66666666666669</v>
      </c>
    </row>
    <row r="333" spans="1:7" x14ac:dyDescent="0.25">
      <c r="A333" s="5">
        <v>2017</v>
      </c>
      <c r="B333" s="52">
        <f>'Usage &amp; Cust. Count'!O473</f>
        <v>34167.106285714282</v>
      </c>
      <c r="G333" s="197">
        <f>'Usage &amp; Cust. Count'!AG473</f>
        <v>464.25</v>
      </c>
    </row>
    <row r="334" spans="1:7" x14ac:dyDescent="0.25">
      <c r="A334" s="5"/>
    </row>
    <row r="336" spans="1:7" ht="45" x14ac:dyDescent="0.25">
      <c r="A336" s="165" t="s">
        <v>108</v>
      </c>
      <c r="G336" s="215" t="s">
        <v>167</v>
      </c>
    </row>
    <row r="337" spans="1:7" x14ac:dyDescent="0.25">
      <c r="A337" s="195">
        <v>2023</v>
      </c>
      <c r="B337" s="52">
        <f>'Usage &amp; Cust. Count'!O481</f>
        <v>3124.9</v>
      </c>
      <c r="G337" s="197">
        <f>'Usage &amp; Cust. Count'!AG481</f>
        <v>66.75</v>
      </c>
    </row>
    <row r="338" spans="1:7" x14ac:dyDescent="0.25">
      <c r="A338" s="195">
        <v>2022</v>
      </c>
      <c r="B338" s="52">
        <f>'Usage &amp; Cust. Count'!O482</f>
        <v>3049.3780000000002</v>
      </c>
      <c r="G338" s="197">
        <f>'Usage &amp; Cust. Count'!AG482</f>
        <v>66.666666666666671</v>
      </c>
    </row>
    <row r="339" spans="1:7" x14ac:dyDescent="0.25">
      <c r="A339" s="196">
        <v>2021</v>
      </c>
      <c r="B339" s="52">
        <f>'Usage &amp; Cust. Count'!O483</f>
        <v>2840.3999999999996</v>
      </c>
      <c r="G339" s="197">
        <f>'Usage &amp; Cust. Count'!AG483</f>
        <v>63.416666666666664</v>
      </c>
    </row>
    <row r="340" spans="1:7" x14ac:dyDescent="0.25">
      <c r="A340" s="5"/>
    </row>
    <row r="342" spans="1:7" ht="45" x14ac:dyDescent="0.25">
      <c r="A342" s="165" t="s">
        <v>111</v>
      </c>
      <c r="G342" s="215" t="s">
        <v>167</v>
      </c>
    </row>
    <row r="343" spans="1:7" x14ac:dyDescent="0.25">
      <c r="A343" s="195">
        <v>2023</v>
      </c>
      <c r="B343" s="52">
        <f>'Usage &amp; Cust. Count'!O489</f>
        <v>22339.388999999999</v>
      </c>
      <c r="G343" s="197">
        <f>'Usage &amp; Cust. Count'!AG489</f>
        <v>554.58333333333337</v>
      </c>
    </row>
    <row r="344" spans="1:7" x14ac:dyDescent="0.25">
      <c r="A344" s="195">
        <v>2022</v>
      </c>
      <c r="B344" s="52">
        <f>'Usage &amp; Cust. Count'!O490</f>
        <v>14491.623000000001</v>
      </c>
      <c r="G344" s="197">
        <f>'Usage &amp; Cust. Count'!AG490</f>
        <v>361.08333333333331</v>
      </c>
    </row>
    <row r="345" spans="1:7" x14ac:dyDescent="0.25">
      <c r="A345" s="196">
        <v>2021</v>
      </c>
      <c r="B345" s="52">
        <f>'Usage &amp; Cust. Count'!O491</f>
        <v>14804.634758280108</v>
      </c>
      <c r="G345" s="197">
        <f>'Usage &amp; Cust. Count'!AG491</f>
        <v>358.16666666666669</v>
      </c>
    </row>
    <row r="346" spans="1:7" x14ac:dyDescent="0.25">
      <c r="A346" s="5"/>
    </row>
    <row r="348" spans="1:7" ht="45" x14ac:dyDescent="0.25">
      <c r="A348" s="165" t="s">
        <v>114</v>
      </c>
      <c r="G348" s="215" t="s">
        <v>167</v>
      </c>
    </row>
    <row r="349" spans="1:7" x14ac:dyDescent="0.25">
      <c r="A349" s="195">
        <v>2023</v>
      </c>
      <c r="B349" s="52">
        <f>'Usage &amp; Cust. Count'!O497</f>
        <v>239946.94800000003</v>
      </c>
      <c r="G349" s="197">
        <f>'Usage &amp; Cust. Count'!AG497</f>
        <v>5649.333333333333</v>
      </c>
    </row>
    <row r="350" spans="1:7" x14ac:dyDescent="0.25">
      <c r="A350" s="195">
        <v>2022</v>
      </c>
      <c r="B350" s="52">
        <f>'Usage &amp; Cust. Count'!O498</f>
        <v>253971.86952776578</v>
      </c>
      <c r="G350" s="197">
        <f>'Usage &amp; Cust. Count'!AG498</f>
        <v>5592.416666666667</v>
      </c>
    </row>
    <row r="351" spans="1:7" x14ac:dyDescent="0.25">
      <c r="A351" s="196">
        <v>2021</v>
      </c>
      <c r="B351" s="52">
        <f>'Usage &amp; Cust. Count'!O499</f>
        <v>240864.69922731275</v>
      </c>
      <c r="G351" s="197">
        <f>'Usage &amp; Cust. Count'!AG499</f>
        <v>5497</v>
      </c>
    </row>
    <row r="354" spans="1:7" ht="53.25" customHeight="1" x14ac:dyDescent="0.25">
      <c r="A354" s="165" t="str">
        <f>'Usage &amp; Cust. Count'!A504</f>
        <v>Garden City Residential Usage (1000 Gallons)</v>
      </c>
      <c r="G354" s="215" t="s">
        <v>167</v>
      </c>
    </row>
    <row r="355" spans="1:7" x14ac:dyDescent="0.25">
      <c r="A355" s="195">
        <v>2023</v>
      </c>
      <c r="B355" s="52">
        <f>'Usage &amp; Cust. Count'!O505</f>
        <v>25195.52</v>
      </c>
      <c r="G355" s="7">
        <f>'Usage &amp; Cust. Count'!AG505</f>
        <v>654.41666666666663</v>
      </c>
    </row>
    <row r="356" spans="1:7" x14ac:dyDescent="0.25">
      <c r="A356" s="195">
        <v>2022</v>
      </c>
      <c r="B356" s="52">
        <f>'Usage &amp; Cust. Count'!O506</f>
        <v>24211.072999999997</v>
      </c>
      <c r="G356" s="7">
        <f>'Usage &amp; Cust. Count'!AG506</f>
        <v>647.16666666666663</v>
      </c>
    </row>
    <row r="359" spans="1:7" ht="56.25" customHeight="1" x14ac:dyDescent="0.25">
      <c r="A359" s="165" t="str">
        <f>'Usage &amp; Cust. Count'!A512</f>
        <v>Orrick Residential Usage (1000 Gallons)</v>
      </c>
      <c r="G359" s="215" t="s">
        <v>167</v>
      </c>
    </row>
    <row r="360" spans="1:7" x14ac:dyDescent="0.25">
      <c r="A360" s="195">
        <v>2023</v>
      </c>
      <c r="B360" s="52">
        <f>'Usage &amp; Cust. Count'!O513</f>
        <v>11217.124000000002</v>
      </c>
      <c r="G360" s="7">
        <f>'Usage &amp; Cust. Count'!AG513</f>
        <v>293.83333333333331</v>
      </c>
    </row>
    <row r="361" spans="1:7" x14ac:dyDescent="0.25">
      <c r="A361" s="195">
        <v>2022</v>
      </c>
      <c r="B361" s="52">
        <f>'Usage &amp; Cust. Count'!O514</f>
        <v>10305.143773711761</v>
      </c>
      <c r="G361" s="7">
        <f>'Usage &amp; Cust. Count'!AG514</f>
        <v>271.66666666666669</v>
      </c>
    </row>
    <row r="364" spans="1:7" ht="63" customHeight="1" x14ac:dyDescent="0.25">
      <c r="A364" s="165" t="str">
        <f>'Usage &amp; Cust. Count'!A520</f>
        <v>Purcell Residential Usage (1000 Gallons)</v>
      </c>
      <c r="G364" s="215" t="s">
        <v>167</v>
      </c>
    </row>
    <row r="365" spans="1:7" x14ac:dyDescent="0.25">
      <c r="A365" s="195">
        <v>2023</v>
      </c>
      <c r="B365" s="52">
        <f>'Usage &amp; Cust. Count'!O521</f>
        <v>6738.7000000000007</v>
      </c>
      <c r="G365" s="7">
        <f>'Usage &amp; Cust. Count'!AG521</f>
        <v>181.66666666666666</v>
      </c>
    </row>
    <row r="366" spans="1:7" x14ac:dyDescent="0.25">
      <c r="A366" s="195">
        <v>2022</v>
      </c>
      <c r="B366" s="52">
        <f>'Usage &amp; Cust. Count'!O522</f>
        <v>16590</v>
      </c>
      <c r="G366" s="7">
        <f>'Usage &amp; Cust. Count'!AG522</f>
        <v>171.5</v>
      </c>
    </row>
    <row r="369" spans="1:7" ht="52.5" customHeight="1" x14ac:dyDescent="0.25">
      <c r="A369" s="165" t="str">
        <f>'Usage &amp; Cust. Count'!A528</f>
        <v>Stewartsville Residential Usage (1000 Gallons)</v>
      </c>
      <c r="G369" s="215" t="s">
        <v>167</v>
      </c>
    </row>
    <row r="370" spans="1:7" x14ac:dyDescent="0.25">
      <c r="A370" s="195">
        <v>2023</v>
      </c>
      <c r="B370" s="52">
        <f>'Usage &amp; Cust. Count'!O529</f>
        <v>11309.539199999999</v>
      </c>
      <c r="G370" s="7">
        <f>'Usage &amp; Cust. Count'!AG529</f>
        <v>292.58333333333331</v>
      </c>
    </row>
    <row r="373" spans="1:7" ht="66" customHeight="1" x14ac:dyDescent="0.25">
      <c r="A373" s="165" t="str">
        <f>'Usage &amp; Cust. Count'!A536</f>
        <v>Wood Heights Residential Usage (1000 Gallons)</v>
      </c>
      <c r="G373" s="215" t="s">
        <v>167</v>
      </c>
    </row>
    <row r="374" spans="1:7" ht="16.5" customHeight="1" x14ac:dyDescent="0.25">
      <c r="A374" s="195">
        <v>2023</v>
      </c>
      <c r="B374" s="52">
        <f>'Usage &amp; Cust. Count'!O537</f>
        <v>10939.919999999998</v>
      </c>
      <c r="G374" s="218">
        <f>'Usage &amp; Cust. Count'!AG537</f>
        <v>254.5</v>
      </c>
    </row>
    <row r="377" spans="1:7" ht="62.25" customHeight="1" x14ac:dyDescent="0.25">
      <c r="A377" s="165" t="str">
        <f>'Usage &amp; Cust. Count'!A544</f>
        <v>Ironton Residential Usage (1000 Gallons)</v>
      </c>
      <c r="G377" s="215" t="s">
        <v>167</v>
      </c>
    </row>
    <row r="378" spans="1:7" x14ac:dyDescent="0.25">
      <c r="A378" s="195">
        <v>2023</v>
      </c>
      <c r="B378" s="52">
        <f>'Usage &amp; Cust. Count'!O545</f>
        <v>0</v>
      </c>
      <c r="G378" s="7">
        <f>'Usage &amp; Cust. Count'!AG545</f>
        <v>571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110" zoomScaleNormal="110" workbookViewId="0">
      <selection activeCell="G1" sqref="G1"/>
    </sheetView>
  </sheetViews>
  <sheetFormatPr defaultRowHeight="15" x14ac:dyDescent="0.25"/>
  <cols>
    <col min="1" max="1" width="42.28515625" customWidth="1"/>
    <col min="2" max="2" width="9" style="188" customWidth="1"/>
    <col min="3" max="3" width="26.140625" style="4" customWidth="1"/>
    <col min="4" max="4" width="18" customWidth="1"/>
    <col min="5" max="5" width="18.42578125" style="4" customWidth="1"/>
    <col min="7" max="7" width="17.42578125" customWidth="1"/>
    <col min="8" max="8" width="5.28515625" customWidth="1"/>
    <col min="9" max="9" width="5.42578125" style="4" customWidth="1"/>
    <col min="10" max="10" width="9.28515625" style="320" customWidth="1"/>
    <col min="11" max="11" width="2.85546875" customWidth="1"/>
    <col min="12" max="12" width="5.5703125" style="4" customWidth="1"/>
    <col min="13" max="13" width="9.5703125" customWidth="1"/>
  </cols>
  <sheetData>
    <row r="1" spans="1:12" ht="21.75" customHeight="1" thickBot="1" x14ac:dyDescent="0.35">
      <c r="A1" s="287" t="s">
        <v>196</v>
      </c>
      <c r="B1" s="282"/>
      <c r="C1" s="282"/>
      <c r="D1" s="288"/>
      <c r="E1" s="282"/>
      <c r="F1" s="297"/>
      <c r="G1" s="3" t="s">
        <v>198</v>
      </c>
    </row>
    <row r="2" spans="1:12" ht="15.75" thickBot="1" x14ac:dyDescent="0.3">
      <c r="A2" s="299" t="s">
        <v>122</v>
      </c>
      <c r="B2" s="285"/>
      <c r="C2" s="262"/>
      <c r="D2" s="261"/>
      <c r="E2" s="282"/>
      <c r="F2" s="297"/>
    </row>
    <row r="3" spans="1:12" ht="15.75" thickBot="1" x14ac:dyDescent="0.3">
      <c r="A3" s="300" t="s">
        <v>129</v>
      </c>
      <c r="B3" s="301" t="s">
        <v>130</v>
      </c>
      <c r="C3" s="298" t="s">
        <v>131</v>
      </c>
      <c r="D3" s="298" t="s">
        <v>132</v>
      </c>
      <c r="E3" s="298" t="s">
        <v>133</v>
      </c>
      <c r="F3" s="298" t="s">
        <v>190</v>
      </c>
    </row>
    <row r="4" spans="1:12" ht="36.75" customHeight="1" thickBot="1" x14ac:dyDescent="0.3">
      <c r="A4" s="275"/>
      <c r="B4" s="300" t="s">
        <v>123</v>
      </c>
      <c r="C4" s="273" t="s">
        <v>127</v>
      </c>
      <c r="D4" s="265" t="s">
        <v>128</v>
      </c>
      <c r="E4" s="273" t="s">
        <v>189</v>
      </c>
      <c r="F4" s="305" t="s">
        <v>191</v>
      </c>
    </row>
    <row r="5" spans="1:12" x14ac:dyDescent="0.25">
      <c r="A5" s="275" t="s">
        <v>171</v>
      </c>
      <c r="B5" s="302">
        <v>-1407</v>
      </c>
      <c r="C5" s="267" t="s">
        <v>173</v>
      </c>
      <c r="D5" s="266" t="s">
        <v>183</v>
      </c>
      <c r="E5" s="270">
        <f>-3483156369.84/1000</f>
        <v>-3483156.3698400003</v>
      </c>
      <c r="F5" s="272">
        <f>SUM(E5/319003)</f>
        <v>-10.91888279997367</v>
      </c>
      <c r="G5" s="294"/>
    </row>
    <row r="6" spans="1:12" ht="15.75" thickBot="1" x14ac:dyDescent="0.3">
      <c r="A6" s="275" t="s">
        <v>172</v>
      </c>
      <c r="B6" s="280">
        <v>-1000</v>
      </c>
      <c r="C6" s="267" t="s">
        <v>174</v>
      </c>
      <c r="D6" s="267" t="s">
        <v>184</v>
      </c>
      <c r="E6" s="271">
        <f>-2500951868.4/1000</f>
        <v>-2500951.8684</v>
      </c>
      <c r="F6" s="272">
        <f>SUM(E6/322271)</f>
        <v>-7.7603999999999997</v>
      </c>
      <c r="G6" s="294"/>
    </row>
    <row r="7" spans="1:12" ht="16.5" thickTop="1" thickBot="1" x14ac:dyDescent="0.3">
      <c r="A7" s="276"/>
      <c r="B7" s="281">
        <v>-407</v>
      </c>
      <c r="C7" s="274"/>
      <c r="D7" s="268">
        <f>C7/1000</f>
        <v>0</v>
      </c>
      <c r="E7" s="317">
        <f>(E5-E6)*-1</f>
        <v>982204.50144000025</v>
      </c>
      <c r="F7" s="304">
        <f>SUM(F5-F6)</f>
        <v>-3.1584827999736698</v>
      </c>
      <c r="G7" s="294"/>
    </row>
    <row r="8" spans="1:12" ht="15.75" thickBot="1" x14ac:dyDescent="0.3">
      <c r="A8" s="303"/>
      <c r="B8" s="262"/>
      <c r="C8" s="263"/>
      <c r="D8" s="264"/>
      <c r="E8" s="286"/>
      <c r="F8" s="297"/>
      <c r="G8" s="284"/>
    </row>
    <row r="9" spans="1:12" ht="15.75" thickBot="1" x14ac:dyDescent="0.3">
      <c r="A9" s="299" t="s">
        <v>124</v>
      </c>
      <c r="B9" s="283"/>
      <c r="C9" s="278"/>
      <c r="D9" s="269"/>
      <c r="E9" s="286"/>
      <c r="F9" s="297"/>
      <c r="G9" s="284"/>
    </row>
    <row r="10" spans="1:12" ht="15.75" thickBot="1" x14ac:dyDescent="0.3">
      <c r="A10" s="300" t="s">
        <v>129</v>
      </c>
      <c r="B10" s="300" t="s">
        <v>130</v>
      </c>
      <c r="C10" s="298" t="s">
        <v>131</v>
      </c>
      <c r="D10" s="298" t="s">
        <v>132</v>
      </c>
      <c r="E10" s="298" t="s">
        <v>133</v>
      </c>
      <c r="F10" s="298" t="s">
        <v>190</v>
      </c>
      <c r="G10" s="284"/>
    </row>
    <row r="11" spans="1:12" ht="38.25" customHeight="1" thickBot="1" x14ac:dyDescent="0.3">
      <c r="A11" s="275"/>
      <c r="B11" s="300" t="s">
        <v>123</v>
      </c>
      <c r="C11" s="273" t="s">
        <v>187</v>
      </c>
      <c r="D11" s="265" t="s">
        <v>128</v>
      </c>
      <c r="E11" s="273" t="s">
        <v>189</v>
      </c>
      <c r="F11" s="305" t="s">
        <v>191</v>
      </c>
      <c r="G11" s="284"/>
    </row>
    <row r="12" spans="1:12" x14ac:dyDescent="0.25">
      <c r="A12" s="275" t="s">
        <v>195</v>
      </c>
      <c r="B12" s="309">
        <v>-431</v>
      </c>
      <c r="C12" s="266" t="s">
        <v>193</v>
      </c>
      <c r="D12" s="266" t="s">
        <v>194</v>
      </c>
      <c r="E12" s="316">
        <f>-421496000.65/1000</f>
        <v>-421496.00065</v>
      </c>
      <c r="F12" s="318">
        <f>SUM(E12/130609)</f>
        <v>-3.2271589297062224</v>
      </c>
      <c r="G12" s="295"/>
      <c r="H12" s="289"/>
      <c r="I12" s="253"/>
      <c r="J12" s="321"/>
      <c r="K12" s="289"/>
      <c r="L12" s="253"/>
    </row>
    <row r="13" spans="1:12" ht="15.75" thickBot="1" x14ac:dyDescent="0.3">
      <c r="A13" s="275" t="s">
        <v>172</v>
      </c>
      <c r="B13" s="277">
        <v>-600</v>
      </c>
      <c r="C13" s="267" t="s">
        <v>185</v>
      </c>
      <c r="D13" s="267" t="s">
        <v>186</v>
      </c>
      <c r="E13" s="272">
        <f>-599608887.66/1000</f>
        <v>-599608.88766000001</v>
      </c>
      <c r="F13" s="272">
        <f>SUM(E13/119281)</f>
        <v>-5.0268600000000001</v>
      </c>
      <c r="G13" s="296"/>
      <c r="H13" s="175"/>
      <c r="I13" s="253"/>
      <c r="J13" s="321"/>
      <c r="K13" s="175"/>
      <c r="L13" s="253"/>
    </row>
    <row r="14" spans="1:12" ht="16.5" thickTop="1" thickBot="1" x14ac:dyDescent="0.3">
      <c r="A14" s="276"/>
      <c r="B14" s="315">
        <f>SUM(B13-B12)</f>
        <v>-169</v>
      </c>
      <c r="C14" s="279"/>
      <c r="D14" s="268">
        <f>C14/1000</f>
        <v>0</v>
      </c>
      <c r="E14" s="324">
        <f>SUM(E13-E12)*-1</f>
        <v>178112.88701000001</v>
      </c>
      <c r="F14" s="319">
        <f>SUM(F13-F12)</f>
        <v>-1.7997010702937777</v>
      </c>
      <c r="G14" s="295"/>
      <c r="H14" s="284"/>
      <c r="I14" s="188"/>
      <c r="J14" s="321"/>
      <c r="K14" s="284"/>
      <c r="L14" s="188"/>
    </row>
    <row r="15" spans="1:12" x14ac:dyDescent="0.25">
      <c r="H15" s="284"/>
      <c r="I15" s="188"/>
      <c r="J15" s="321"/>
      <c r="K15" s="284"/>
      <c r="L15" s="188"/>
    </row>
    <row r="16" spans="1:12" x14ac:dyDescent="0.25">
      <c r="A16" s="252" t="s">
        <v>175</v>
      </c>
      <c r="B16" s="253"/>
      <c r="C16" s="5"/>
      <c r="D16" s="3"/>
      <c r="H16" s="284"/>
      <c r="I16" s="188"/>
      <c r="J16" s="321"/>
      <c r="K16" s="284"/>
      <c r="L16" s="188"/>
    </row>
    <row r="17" spans="1:13" x14ac:dyDescent="0.25">
      <c r="A17" s="3"/>
      <c r="B17" s="5" t="s">
        <v>69</v>
      </c>
      <c r="C17" s="5" t="s">
        <v>177</v>
      </c>
      <c r="D17" s="5" t="s">
        <v>170</v>
      </c>
      <c r="G17" s="260"/>
      <c r="H17" s="284"/>
      <c r="I17" s="188"/>
      <c r="J17" s="321"/>
      <c r="K17" s="284"/>
      <c r="L17" s="188"/>
    </row>
    <row r="18" spans="1:13" x14ac:dyDescent="0.25">
      <c r="A18">
        <v>2023</v>
      </c>
      <c r="B18" s="15">
        <v>207.07023946660718</v>
      </c>
      <c r="C18" s="4">
        <v>0.86898230475458149</v>
      </c>
      <c r="D18" s="4">
        <v>317.39578681161089</v>
      </c>
      <c r="H18" s="284"/>
      <c r="I18" s="188"/>
      <c r="J18" s="321"/>
      <c r="K18" s="284"/>
      <c r="L18" s="188"/>
    </row>
    <row r="19" spans="1:13" x14ac:dyDescent="0.25">
      <c r="A19">
        <v>2022</v>
      </c>
      <c r="B19" s="15">
        <v>206.2012571618526</v>
      </c>
      <c r="C19" s="4">
        <v>5.2487631998504867</v>
      </c>
      <c r="D19" s="4">
        <v>1917.1107587453903</v>
      </c>
      <c r="I19" s="289"/>
      <c r="J19" s="322"/>
      <c r="K19" s="284"/>
      <c r="L19" s="289"/>
      <c r="M19" s="253"/>
    </row>
    <row r="20" spans="1:13" x14ac:dyDescent="0.25">
      <c r="A20">
        <v>2021</v>
      </c>
      <c r="B20" s="15">
        <v>200.95249396200211</v>
      </c>
      <c r="C20" s="171">
        <v>-10.356587555199098</v>
      </c>
      <c r="D20" s="171">
        <v>-3782.7436045364707</v>
      </c>
      <c r="E20" s="171">
        <v>-1407.0579</v>
      </c>
      <c r="I20" s="175"/>
      <c r="J20" s="322"/>
      <c r="K20" s="284"/>
      <c r="L20" s="175"/>
      <c r="M20" s="253"/>
    </row>
    <row r="21" spans="1:13" x14ac:dyDescent="0.25">
      <c r="A21">
        <v>2020</v>
      </c>
      <c r="B21" s="15">
        <v>211.30908151720121</v>
      </c>
      <c r="C21" s="4">
        <v>13.342371410970031</v>
      </c>
      <c r="D21" s="4">
        <v>4873.3011578568039</v>
      </c>
      <c r="I21" s="284"/>
      <c r="J21" s="323"/>
      <c r="K21" s="284"/>
      <c r="L21" s="284"/>
      <c r="M21" s="325"/>
    </row>
    <row r="22" spans="1:13" x14ac:dyDescent="0.25">
      <c r="A22">
        <v>2019</v>
      </c>
      <c r="B22" s="15">
        <v>197.96671010623118</v>
      </c>
      <c r="C22" s="171">
        <v>-28.365102404965683</v>
      </c>
      <c r="D22" s="171">
        <v>-10360.353653413715</v>
      </c>
      <c r="I22" s="284"/>
      <c r="J22" s="323"/>
      <c r="K22" s="284"/>
      <c r="L22" s="284"/>
      <c r="M22" s="325"/>
    </row>
    <row r="23" spans="1:13" x14ac:dyDescent="0.25">
      <c r="D23" s="4"/>
      <c r="I23" s="284"/>
      <c r="J23" s="323"/>
      <c r="K23" s="284"/>
      <c r="L23" s="284"/>
      <c r="M23" s="325"/>
    </row>
    <row r="24" spans="1:13" x14ac:dyDescent="0.25">
      <c r="A24" s="252" t="s">
        <v>176</v>
      </c>
      <c r="B24" s="253"/>
      <c r="C24" s="5"/>
      <c r="D24" s="5"/>
      <c r="I24" s="284"/>
      <c r="J24" s="323"/>
      <c r="K24" s="284"/>
      <c r="L24" s="284"/>
      <c r="M24" s="325"/>
    </row>
    <row r="25" spans="1:13" x14ac:dyDescent="0.25">
      <c r="A25" s="3"/>
      <c r="B25" s="253" t="s">
        <v>69</v>
      </c>
      <c r="C25" s="5" t="s">
        <v>177</v>
      </c>
      <c r="D25" s="30" t="s">
        <v>170</v>
      </c>
      <c r="I25" s="284"/>
      <c r="J25" s="323"/>
      <c r="K25" s="284"/>
      <c r="L25" s="284"/>
      <c r="M25" s="325"/>
    </row>
    <row r="26" spans="1:13" x14ac:dyDescent="0.25">
      <c r="A26">
        <v>2023</v>
      </c>
      <c r="B26" s="312">
        <v>154.69633063728929</v>
      </c>
      <c r="C26" s="314">
        <v>-0.21776481291448135</v>
      </c>
      <c r="D26" s="311">
        <v>-79.538597917014314</v>
      </c>
      <c r="G26" s="310"/>
    </row>
    <row r="27" spans="1:13" x14ac:dyDescent="0.25">
      <c r="A27">
        <v>2022</v>
      </c>
      <c r="B27" s="312">
        <v>154.91409545020377</v>
      </c>
      <c r="C27" s="5">
        <v>2.4429695940195586</v>
      </c>
      <c r="D27" s="313">
        <v>892.29464421564376</v>
      </c>
      <c r="G27" s="310"/>
    </row>
    <row r="28" spans="1:13" x14ac:dyDescent="0.25">
      <c r="A28">
        <v>2021</v>
      </c>
      <c r="B28" s="312">
        <v>152.47112585618422</v>
      </c>
      <c r="C28" s="314">
        <v>-3.0404145970192076</v>
      </c>
      <c r="D28" s="311">
        <v>-1110.5114315612655</v>
      </c>
      <c r="E28" s="311">
        <v>-431.47513166046656</v>
      </c>
      <c r="G28" s="310"/>
    </row>
    <row r="29" spans="1:13" x14ac:dyDescent="0.25">
      <c r="A29">
        <v>2020</v>
      </c>
      <c r="B29" s="312">
        <v>155.51154045320342</v>
      </c>
      <c r="C29" s="5">
        <v>10.973896459794219</v>
      </c>
      <c r="D29" s="313">
        <v>4008.2156819398383</v>
      </c>
      <c r="G29" s="310"/>
    </row>
    <row r="30" spans="1:13" x14ac:dyDescent="0.25">
      <c r="A30">
        <v>2019</v>
      </c>
      <c r="B30" s="312">
        <v>144.5376439934092</v>
      </c>
      <c r="C30" s="314">
        <v>-16.065259288102766</v>
      </c>
      <c r="D30" s="311">
        <v>-5867.835954979535</v>
      </c>
      <c r="G30" s="3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Usage &amp; Cust. Count</vt:lpstr>
      <vt:lpstr>Tariff District #1</vt:lpstr>
      <vt:lpstr>Tariff District #2</vt:lpstr>
      <vt:lpstr>Usage Trend Comparison</vt:lpstr>
    </vt:vector>
  </TitlesOfParts>
  <Company>MOPSC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Robertson, Jarrod</dc:creator>
  <cp:lastModifiedBy>Hildebrand, Tiffany</cp:lastModifiedBy>
  <cp:lastPrinted>2022-12-19T21:02:32Z</cp:lastPrinted>
  <dcterms:created xsi:type="dcterms:W3CDTF">2017-10-13T16:28:44Z</dcterms:created>
  <dcterms:modified xsi:type="dcterms:W3CDTF">2025-01-24T18:29:02Z</dcterms:modified>
</cp:coreProperties>
</file>