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C96EF1B9-CF48-471F-A13D-C6254502E1E4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C29" i="16" l="1"/>
  <c r="C26" i="16" l="1"/>
  <c r="C26" i="15" l="1"/>
  <c r="C4" i="16"/>
  <c r="A5" i="5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<sst xmlns="http://schemas.openxmlformats.org/spreadsheetml/2006/main" count="158" uniqueCount="81">
  <si>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</si>
  <si>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</si>
  <si>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</si>
  <si>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</si>
  <si>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</si>
  <si>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</si>
  <si>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</si>
  <si>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</si>
  <si>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</si>
  <si>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</si>
  <si>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</si>
  <si>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</si>
  <si>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</si>
  <si>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</si>
  <si>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</si>
  <si>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</si>
  <si>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</si>
  <si>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</si>
  <si>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</si>
  <si>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</si>
  <si>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</si>
  <si>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</si>
  <si>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</si>
  <si>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</si>
  <si>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</si>
  <si>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</si>
  <si>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</si>
  <si>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</si>
  <si>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</si>
  <si>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</si>
  <si>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</si>
  <si>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</si>
  <si>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</si>
  <si>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</si>
  <si>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</si>
  <si>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</si>
  <si>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</si>
  <si>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</si>
  <si>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</si>
  <si>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</si>
  <si>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</si>
  <si>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</si>
  <si>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</si>
  <si>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</si>
  <si>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</si>
  <si>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</si>
  <si>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</si>
  <si>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</si>
  <si>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</si>
  <si>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</si>
  <si>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</si>
  <si>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</si>
  <si>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</si>
  <si>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6</t>
  </si>
  <si>
    <t>RESRAM Amt in Base Rates/Test Year kWh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</si>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</sst>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D28" sqref="D28"/>
      <selection pane="bottomLeft" activeCell="G12" sqref="G1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45869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57</v>
      </c>
      <c r="B6" s="6"/>
      <c r="C6" s="40"/>
      <c r="D6" s="56"/>
      <c r="E6" s="57"/>
    </row>
    <row r="7" spans="1:13" x14ac:dyDescent="0.25">
      <c r="A7" s="5" t="s">
        <v>58</v>
      </c>
      <c r="B7" s="6"/>
      <c r="C7" s="40"/>
      <c r="D7" s="56"/>
      <c r="E7" s="57"/>
    </row>
    <row r="8" spans="1:13" x14ac:dyDescent="0.25">
      <c r="A8" s="5" t="s">
        <v>56</v>
      </c>
      <c r="B8" s="6"/>
      <c r="C8" s="40"/>
      <c r="D8" s="56"/>
      <c r="E8" s="57"/>
    </row>
    <row r="9" spans="1:13" x14ac:dyDescent="0.25">
      <c r="A9" s="5" t="s">
        <v>59</v>
      </c>
      <c r="B9" s="6"/>
      <c r="C9" s="40"/>
      <c r="D9" s="56"/>
      <c r="E9" s="57"/>
    </row>
    <row r="10" spans="1:13" x14ac:dyDescent="0.25">
      <c r="A10" s="5" t="s">
        <v>55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-4331591.43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4">
        <f>SUM(C22:C25)</f>
        <v>-4331591.43</v>
      </c>
    </row>
    <row r="27" spans="1:6" ht="15.75" thickBot="1" x14ac:dyDescent="0.3">
      <c r="A27" s="12" t="s">
        <v>7</v>
      </c>
      <c r="B27" s="22"/>
      <c r="C27" s="66">
        <f>SUM(C26)+C20</f>
        <v>-4331591.43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3.8358683333333337E-3</v>
      </c>
    </row>
    <row r="30" spans="1:6" x14ac:dyDescent="0.25">
      <c r="A30" s="15" t="s">
        <v>9</v>
      </c>
      <c r="B30" s="43"/>
      <c r="C30" s="43">
        <f>(C27+B34)*C29</f>
        <v>74338.081889055131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6">
        <v>23711318.633633196</v>
      </c>
      <c r="C34" s="66">
        <f>C27+C30+B34+C32</f>
        <v>19454065.285522252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activeCell="D28" sqref="D28"/>
      <selection pane="bottomLeft" activeCell="C14" sqref="C1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64</v>
      </c>
    </row>
    <row r="4" spans="1:13" x14ac:dyDescent="0.25">
      <c r="A4" s="1"/>
      <c r="B4" s="2" t="s">
        <v>21</v>
      </c>
      <c r="C4" s="2">
        <f>'Monthly Cost Tracker AP6'!C4</f>
        <v>45869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65</v>
      </c>
      <c r="B6" s="6"/>
      <c r="C6" s="40">
        <v>160210.41999999998</v>
      </c>
      <c r="D6" s="56"/>
      <c r="E6" s="57"/>
    </row>
    <row r="7" spans="1:13" x14ac:dyDescent="0.25">
      <c r="A7" s="5" t="s">
        <v>66</v>
      </c>
      <c r="B7" s="6"/>
      <c r="C7" s="40">
        <v>2343.62</v>
      </c>
      <c r="D7" s="56"/>
      <c r="E7" s="57"/>
    </row>
    <row r="8" spans="1:13" x14ac:dyDescent="0.25">
      <c r="A8" s="5" t="s">
        <v>67</v>
      </c>
      <c r="B8" s="6"/>
      <c r="C8" s="40">
        <v>0</v>
      </c>
      <c r="D8" s="56"/>
      <c r="E8" s="57"/>
    </row>
    <row r="9" spans="1:13" x14ac:dyDescent="0.25">
      <c r="A9" s="5" t="s">
        <v>68</v>
      </c>
      <c r="B9" s="6"/>
      <c r="C9" s="40">
        <v>0</v>
      </c>
      <c r="D9" s="56"/>
      <c r="E9" s="57"/>
    </row>
    <row r="10" spans="1:13" x14ac:dyDescent="0.25">
      <c r="A10" s="5" t="s">
        <v>69</v>
      </c>
      <c r="B10" s="6"/>
      <c r="C10" s="40">
        <v>0</v>
      </c>
      <c r="D10" s="56"/>
      <c r="E10" s="57"/>
    </row>
    <row r="11" spans="1:13" x14ac:dyDescent="0.25">
      <c r="A11" s="5" t="s">
        <v>60</v>
      </c>
      <c r="B11" s="6"/>
      <c r="C11" s="40">
        <v>0</v>
      </c>
      <c r="D11" s="56"/>
      <c r="E11" s="57"/>
    </row>
    <row r="12" spans="1:13" x14ac:dyDescent="0.25">
      <c r="A12" s="5" t="s">
        <v>61</v>
      </c>
      <c r="B12" s="7"/>
      <c r="C12" s="40">
        <v>0</v>
      </c>
      <c r="D12" s="56"/>
      <c r="E12" s="57"/>
      <c r="F12" s="58"/>
    </row>
    <row r="13" spans="1:13" x14ac:dyDescent="0.25">
      <c r="A13" s="5" t="s">
        <v>62</v>
      </c>
      <c r="B13" s="6"/>
      <c r="C13" s="40">
        <v>-19663597.555772409</v>
      </c>
      <c r="D13" s="56"/>
      <c r="E13" s="57"/>
      <c r="F13" s="58"/>
    </row>
    <row r="14" spans="1:13" x14ac:dyDescent="0.25">
      <c r="A14" s="5" t="s">
        <v>63</v>
      </c>
      <c r="B14" s="6"/>
      <c r="C14" s="40">
        <v>-9989918.9500000216</v>
      </c>
      <c r="D14" s="56"/>
      <c r="E14" s="57"/>
      <c r="F14" s="58"/>
    </row>
    <row r="15" spans="1:13" x14ac:dyDescent="0.25">
      <c r="A15" s="5" t="s">
        <v>2</v>
      </c>
      <c r="B15" s="6"/>
      <c r="C15" s="40">
        <v>8516241.2549342569</v>
      </c>
      <c r="D15" s="56"/>
      <c r="E15" s="57"/>
      <c r="F15" s="58"/>
    </row>
    <row r="16" spans="1:13" x14ac:dyDescent="0.25">
      <c r="A16" s="5" t="s">
        <v>3</v>
      </c>
      <c r="B16" s="6"/>
      <c r="C16" s="40">
        <v>4554552.6140330834</v>
      </c>
      <c r="D16" s="56"/>
      <c r="E16" s="57"/>
      <c r="F16" s="58"/>
    </row>
    <row r="17" spans="1:6" x14ac:dyDescent="0.25">
      <c r="A17" s="5" t="s">
        <v>4</v>
      </c>
      <c r="B17" s="6"/>
      <c r="C17" s="40">
        <v>2332544.13</v>
      </c>
      <c r="D17" s="56"/>
      <c r="E17" s="57"/>
      <c r="F17" s="58"/>
    </row>
    <row r="18" spans="1:6" x14ac:dyDescent="0.25">
      <c r="A18" s="5" t="s">
        <v>49</v>
      </c>
      <c r="B18" s="6"/>
      <c r="C18" s="40">
        <v>216148.92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-13079808.880138427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0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4">
        <f>C24+C25</f>
        <v>198408.62274531857</v>
      </c>
    </row>
    <row r="27" spans="1:6" ht="15.75" thickBot="1" x14ac:dyDescent="0.3">
      <c r="A27" s="12" t="s">
        <v>7</v>
      </c>
      <c r="B27" s="22"/>
      <c r="C27" s="66">
        <f>-C26+C20</f>
        <v>-13278217.502883745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3.8358683333333337E-3</v>
      </c>
    </row>
    <row r="30" spans="1:6" x14ac:dyDescent="0.25">
      <c r="A30" s="15" t="s">
        <v>9</v>
      </c>
      <c r="B30" s="43"/>
      <c r="C30" s="43">
        <f>(C27+B32)*C29</f>
        <v>47817.203019193083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25744026.770544499</v>
      </c>
      <c r="C32" s="66">
        <f>C27+C30+B32</f>
        <v>12513626.470679946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D28" sqref="D28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3">
        <f>'Monthly Cost Tracker AP6'!C4</f>
        <v>45869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1929533.31</v>
      </c>
    </row>
    <row r="10" spans="1:4" x14ac:dyDescent="0.25">
      <c r="A10" s="35" t="s">
        <v>31</v>
      </c>
      <c r="B10" s="27" t="s">
        <v>30</v>
      </c>
      <c r="C10" s="36">
        <v>442266.32</v>
      </c>
      <c r="D10" s="8"/>
    </row>
    <row r="11" spans="1:4" x14ac:dyDescent="0.25">
      <c r="A11" s="35" t="s">
        <v>32</v>
      </c>
      <c r="B11" s="27" t="s">
        <v>30</v>
      </c>
      <c r="C11" s="36">
        <v>970802.71</v>
      </c>
      <c r="D11" s="8"/>
    </row>
    <row r="12" spans="1:4" x14ac:dyDescent="0.25">
      <c r="A12" s="35" t="s">
        <v>33</v>
      </c>
      <c r="B12" s="27" t="s">
        <v>34</v>
      </c>
      <c r="C12" s="36">
        <v>477914.72</v>
      </c>
      <c r="D12" s="8"/>
    </row>
    <row r="13" spans="1:4" x14ac:dyDescent="0.25">
      <c r="A13" s="35" t="s">
        <v>35</v>
      </c>
      <c r="B13" s="27" t="s">
        <v>30</v>
      </c>
      <c r="C13" s="36">
        <v>10449.57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18538.5</v>
      </c>
      <c r="D15" s="25"/>
    </row>
    <row r="16" spans="1:4" x14ac:dyDescent="0.25">
      <c r="A16" s="37" t="s">
        <v>38</v>
      </c>
      <c r="B16" s="27" t="s">
        <v>34</v>
      </c>
      <c r="C16" s="36">
        <v>261794.05000000002</v>
      </c>
      <c r="D16" s="25"/>
    </row>
    <row r="17" spans="1:4" x14ac:dyDescent="0.25">
      <c r="A17" s="37" t="s">
        <v>39</v>
      </c>
      <c r="B17" s="27" t="s">
        <v>34</v>
      </c>
      <c r="C17" s="36">
        <v>220292.25000000003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4331591.43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L54" sqref="L54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45869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Jul-2025 kWh</v>
      </c>
      <c r="D10" s="59" t="s">
        <v>54</v>
      </c>
      <c r="E10" s="59" t="s">
        <v>51</v>
      </c>
    </row>
    <row r="11" spans="1:5" x14ac:dyDescent="0.25">
      <c r="A11" s="35" t="s">
        <v>29</v>
      </c>
      <c r="B11" s="27" t="s">
        <v>30</v>
      </c>
      <c r="C11" s="69">
        <v>1549498956.2373836</v>
      </c>
      <c r="D11" s="62">
        <f>($E$38/$E$57)</f>
        <v>7.6966043691179155E-5</v>
      </c>
      <c r="E11" s="49">
        <f>C11*D11</f>
        <v>119258.80436520296</v>
      </c>
    </row>
    <row r="12" spans="1:5" x14ac:dyDescent="0.25">
      <c r="A12" s="35" t="s">
        <v>31</v>
      </c>
      <c r="B12" s="27" t="s">
        <v>30</v>
      </c>
      <c r="C12" s="69">
        <v>343937349.15657127</v>
      </c>
      <c r="D12" s="62">
        <f>($E$38/$E$57)</f>
        <v>7.6966043691179155E-5</v>
      </c>
      <c r="E12" s="49">
        <f>C12*D12</f>
        <v>26471.497042213003</v>
      </c>
    </row>
    <row r="13" spans="1:5" x14ac:dyDescent="0.25">
      <c r="A13" s="35" t="s">
        <v>32</v>
      </c>
      <c r="B13" s="27" t="s">
        <v>30</v>
      </c>
      <c r="C13" s="69">
        <v>746592679.45835817</v>
      </c>
      <c r="D13" s="62">
        <f>($E$38/$E$57)</f>
        <v>7.6966043691179155E-5</v>
      </c>
      <c r="E13" s="49">
        <f t="shared" ref="E13:E19" si="0">C13*D13</f>
        <v>57462.284786706507</v>
      </c>
    </row>
    <row r="14" spans="1:5" x14ac:dyDescent="0.25">
      <c r="A14" s="35" t="s">
        <v>33</v>
      </c>
      <c r="B14" s="27" t="s">
        <v>34</v>
      </c>
      <c r="C14" s="69">
        <v>357480668.30001742</v>
      </c>
      <c r="D14" s="62">
        <f>($E$38/$E$57)</f>
        <v>7.6966043691179155E-5</v>
      </c>
      <c r="E14" s="49">
        <f t="shared" si="0"/>
        <v>27513.872735131063</v>
      </c>
    </row>
    <row r="15" spans="1:5" x14ac:dyDescent="0.25">
      <c r="A15" s="35" t="s">
        <v>35</v>
      </c>
      <c r="B15" s="27" t="s">
        <v>30</v>
      </c>
      <c r="C15" s="69">
        <v>7859194.1981156152</v>
      </c>
      <c r="D15" s="62">
        <f>($E$38/$E$57)</f>
        <v>7.6966043691179155E-5</v>
      </c>
      <c r="E15" s="49">
        <f t="shared" si="0"/>
        <v>604.89108402962813</v>
      </c>
    </row>
    <row r="16" spans="1:5" x14ac:dyDescent="0.25">
      <c r="A16" s="35" t="s">
        <v>36</v>
      </c>
      <c r="B16" s="27"/>
      <c r="C16" s="69"/>
      <c r="D16" s="62"/>
      <c r="E16" s="49"/>
    </row>
    <row r="17" spans="1:5" x14ac:dyDescent="0.25">
      <c r="A17" s="37" t="s">
        <v>37</v>
      </c>
      <c r="B17" s="27" t="s">
        <v>34</v>
      </c>
      <c r="C17" s="69">
        <v>14608719.234354954</v>
      </c>
      <c r="D17" s="62">
        <f>($E$38/$E$57)</f>
        <v>7.6966043691179155E-5</v>
      </c>
      <c r="E17" s="49">
        <f t="shared" si="0"/>
        <v>1124.3753228635328</v>
      </c>
    </row>
    <row r="18" spans="1:5" x14ac:dyDescent="0.25">
      <c r="A18" s="37" t="s">
        <v>38</v>
      </c>
      <c r="B18" s="27" t="s">
        <v>34</v>
      </c>
      <c r="C18" s="69">
        <v>201636168.51396593</v>
      </c>
      <c r="D18" s="62">
        <f>($E$38/$E$57)</f>
        <v>7.6966043691179155E-5</v>
      </c>
      <c r="E18" s="49">
        <f t="shared" si="0"/>
        <v>15519.138155567865</v>
      </c>
    </row>
    <row r="19" spans="1:5" x14ac:dyDescent="0.25">
      <c r="A19" s="37" t="s">
        <v>39</v>
      </c>
      <c r="B19" s="27" t="s">
        <v>34</v>
      </c>
      <c r="C19" s="69">
        <v>168522643.90123302</v>
      </c>
      <c r="D19" s="62">
        <f>($E$38/$E$57)</f>
        <v>7.6966043691179155E-5</v>
      </c>
      <c r="E19" s="49">
        <f t="shared" si="0"/>
        <v>12970.521173455327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3390136379.0000005</v>
      </c>
      <c r="D21" s="51"/>
      <c r="E21" s="51">
        <f t="shared" ref="E21" si="1">SUM(E11:E20)</f>
        <v>260925.3846651699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71</v>
      </c>
      <c r="B30" s="52"/>
      <c r="C30" s="52"/>
      <c r="D30" s="52"/>
      <c r="E30" s="52"/>
    </row>
    <row r="38" spans="1:7" x14ac:dyDescent="0.25">
      <c r="E38" s="56">
        <v>2380903</v>
      </c>
      <c r="G38" s="8"/>
    </row>
    <row r="40" spans="1:7" x14ac:dyDescent="0.25">
      <c r="A40" s="52" t="s">
        <v>70</v>
      </c>
      <c r="B40" s="52"/>
      <c r="C40" s="52"/>
      <c r="D40" s="52"/>
      <c r="E40" s="52"/>
    </row>
    <row r="50" spans="5:6" x14ac:dyDescent="0.25">
      <c r="E50" s="70">
        <v>13282878801</v>
      </c>
      <c r="F50" s="67" t="s">
        <v>72</v>
      </c>
    </row>
    <row r="51" spans="5:6" x14ac:dyDescent="0.25">
      <c r="E51" s="70">
        <v>3231277025</v>
      </c>
      <c r="F51" s="67" t="s">
        <v>73</v>
      </c>
    </row>
    <row r="52" spans="5:6" x14ac:dyDescent="0.25">
      <c r="E52" s="70">
        <v>7212371801</v>
      </c>
      <c r="F52" s="67" t="s">
        <v>74</v>
      </c>
    </row>
    <row r="53" spans="5:6" x14ac:dyDescent="0.25">
      <c r="E53" s="70">
        <v>3399414455</v>
      </c>
      <c r="F53" s="67" t="s">
        <v>75</v>
      </c>
    </row>
    <row r="54" spans="5:6" x14ac:dyDescent="0.25">
      <c r="E54" s="70">
        <v>3684171231</v>
      </c>
      <c r="F54" s="67" t="s">
        <v>76</v>
      </c>
    </row>
    <row r="55" spans="5:6" x14ac:dyDescent="0.25">
      <c r="E55" s="70">
        <v>79712880</v>
      </c>
      <c r="F55" s="67" t="s">
        <v>77</v>
      </c>
    </row>
    <row r="56" spans="5:6" x14ac:dyDescent="0.25">
      <c r="E56" s="70">
        <v>44633808</v>
      </c>
      <c r="F56" s="67" t="s">
        <v>78</v>
      </c>
    </row>
    <row r="57" spans="5:6" ht="15.75" thickBot="1" x14ac:dyDescent="0.3">
      <c r="E57" s="71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45869</v>
      </c>
    </row>
    <row r="6" spans="1:8" x14ac:dyDescent="0.25">
      <c r="A6" s="17"/>
      <c r="B6" s="16"/>
      <c r="D6" s="8"/>
    </row>
    <row r="7" spans="1:8" ht="15" customHeight="1" x14ac:dyDescent="0.25">
      <c r="A7" t="s">
        <v>79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G30" sqref="G30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45869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80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1929533.31</v>
      </c>
      <c r="D8" s="39">
        <v>1318184000</v>
      </c>
      <c r="E8" s="68">
        <v>1.3255806890709791E-3</v>
      </c>
      <c r="F8" s="36">
        <f>D8*E8</f>
        <v>1747359.2550423394</v>
      </c>
      <c r="G8" s="36">
        <f>F8-C8</f>
        <v>-182174.05495766061</v>
      </c>
    </row>
    <row r="9" spans="1:7" x14ac:dyDescent="0.25">
      <c r="A9" s="27" t="s">
        <v>31</v>
      </c>
      <c r="B9" s="27" t="s">
        <v>30</v>
      </c>
      <c r="C9" s="36">
        <f>'18A'!C10</f>
        <v>442266.32</v>
      </c>
      <c r="D9" s="39">
        <v>289248420.00000006</v>
      </c>
      <c r="E9" s="68">
        <v>1.3255806890709791E-3</v>
      </c>
      <c r="F9" s="36">
        <f t="shared" ref="F9:F16" si="0">D9*E9</f>
        <v>383422.11989629205</v>
      </c>
      <c r="G9" s="36">
        <f t="shared" ref="G9:G16" si="1">F9-C9</f>
        <v>-58844.200103707961</v>
      </c>
    </row>
    <row r="10" spans="1:7" x14ac:dyDescent="0.25">
      <c r="A10" s="27" t="s">
        <v>32</v>
      </c>
      <c r="B10" s="27" t="s">
        <v>30</v>
      </c>
      <c r="C10" s="36">
        <f>'18A'!C11</f>
        <v>970802.71</v>
      </c>
      <c r="D10" s="39">
        <v>689388860</v>
      </c>
      <c r="E10" s="68">
        <v>1.3255806890709791E-3</v>
      </c>
      <c r="F10" s="36">
        <f t="shared" si="0"/>
        <v>913840.56007665675</v>
      </c>
      <c r="G10" s="36">
        <f t="shared" si="1"/>
        <v>-56962.149923343211</v>
      </c>
    </row>
    <row r="11" spans="1:7" x14ac:dyDescent="0.25">
      <c r="A11" s="27" t="s">
        <v>33</v>
      </c>
      <c r="B11" s="27" t="s">
        <v>34</v>
      </c>
      <c r="C11" s="36">
        <f>'18A'!C12</f>
        <v>477914.72</v>
      </c>
      <c r="D11" s="39">
        <v>320040660.00000006</v>
      </c>
      <c r="E11" s="68">
        <v>1.3255806890709791E-3</v>
      </c>
      <c r="F11" s="36">
        <f t="shared" si="0"/>
        <v>424239.71861353103</v>
      </c>
      <c r="G11" s="36">
        <f t="shared" si="1"/>
        <v>-53675.001386468939</v>
      </c>
    </row>
    <row r="12" spans="1:7" x14ac:dyDescent="0.25">
      <c r="A12" s="27" t="s">
        <v>42</v>
      </c>
      <c r="B12" s="27" t="s">
        <v>30</v>
      </c>
      <c r="C12" s="36">
        <f>'18A'!C13</f>
        <v>10449.57</v>
      </c>
      <c r="D12" s="39">
        <v>9056909.574500002</v>
      </c>
      <c r="E12" s="68">
        <v>1.3255806890709791E-3</v>
      </c>
      <c r="F12" s="36">
        <f t="shared" si="0"/>
        <v>12005.664434619261</v>
      </c>
      <c r="G12" s="36">
        <f t="shared" si="1"/>
        <v>1556.0944346192609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18538.5</v>
      </c>
      <c r="D14" s="39">
        <v>14360073.386275319</v>
      </c>
      <c r="E14" s="68">
        <v>1.3255806890709791E-3</v>
      </c>
      <c r="F14" s="36">
        <f t="shared" si="0"/>
        <v>19035.435974488668</v>
      </c>
      <c r="G14" s="36">
        <f t="shared" si="1"/>
        <v>496.93597448866785</v>
      </c>
    </row>
    <row r="15" spans="1:7" x14ac:dyDescent="0.25">
      <c r="A15" s="28" t="s">
        <v>38</v>
      </c>
      <c r="B15" s="27" t="s">
        <v>34</v>
      </c>
      <c r="C15" s="36">
        <f>'18A'!C16</f>
        <v>261794.05000000002</v>
      </c>
      <c r="D15" s="39">
        <v>171732948.15318501</v>
      </c>
      <c r="E15" s="68">
        <v>1.3255806890709791E-3</v>
      </c>
      <c r="F15" s="36">
        <f t="shared" si="0"/>
        <v>227645.87974908971</v>
      </c>
      <c r="G15" s="36">
        <f t="shared" si="1"/>
        <v>-34148.170250910305</v>
      </c>
    </row>
    <row r="16" spans="1:7" x14ac:dyDescent="0.25">
      <c r="A16" s="28" t="s">
        <v>39</v>
      </c>
      <c r="B16" s="27" t="s">
        <v>34</v>
      </c>
      <c r="C16" s="36">
        <f>'18A'!C17</f>
        <v>220292.25000000003</v>
      </c>
      <c r="D16" s="39">
        <v>164099338.46053967</v>
      </c>
      <c r="E16" s="68">
        <v>1.3255806890709791E-3</v>
      </c>
      <c r="F16" s="36">
        <f t="shared" si="0"/>
        <v>217526.91415261402</v>
      </c>
      <c r="G16" s="36">
        <f t="shared" si="1"/>
        <v>-2765.3358473860135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4331591.43</v>
      </c>
      <c r="D18" s="41">
        <f>SUM(D8:D17)</f>
        <v>2976111209.5745001</v>
      </c>
      <c r="E18" s="30"/>
      <c r="F18" s="34">
        <f>SUM(F8:F17)</f>
        <v>3945075.5479396302</v>
      </c>
      <c r="G18" s="34">
        <f>SUM(G8:G17)</f>
        <v>-386515.88206036913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D28" sqref="D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45869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D28" sqref="D28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45869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2025-08-19T18:19:02Z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