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defaultThemeVersion="124226"/>
  <mc:AlternateContent xmlns:mc="http://schemas.openxmlformats.org/markup-compatibility/2006">
    <mc:Choice Requires="x15">
      <x15ac:absPath xmlns:x15ac="http://schemas.microsoft.com/office/spreadsheetml/2010/11/ac" url="https://gppower.sharepoint.com/sites/FinAcct/Shared Documents/NetworkDrives/Old Genactg shared/Migrated CorpAcctg/Energy Efficiency/MEEIA/Missouri West MEEIA DSIM Rider/20251201 Filing/"/>
    </mc:Choice>
  </mc:AlternateContent>
  <xr:revisionPtr revIDLastSave="63" documentId="8_{B983945E-CB9F-429C-93CC-9B0CEA873051}" xr6:coauthVersionLast="47" xr6:coauthVersionMax="47" xr10:uidLastSave="{CF8F1FFF-C70F-4C05-B456-A19115EBE00C}"/>
  <bookViews>
    <workbookView xWindow="-120" yWindow="-120" windowWidth="29040" windowHeight="15720" tabRatio="910" activeTab="1" xr2:uid="{8690212B-B535-4FDF-9D1C-29C7613AE015}"/>
  </bookViews>
  <sheets>
    <sheet name="Index Table of Contents" sheetId="32" r:id="rId1"/>
    <sheet name="Tariff Tables" sheetId="5" r:id="rId2"/>
    <sheet name="DSIM Cycle Tables" sheetId="20" r:id="rId3"/>
    <sheet name="PPC Cycle 4" sheetId="38" r:id="rId4"/>
    <sheet name="PCR Cycle 3" sheetId="22" r:id="rId5"/>
    <sheet name="PCR Cycle 4" sheetId="35" r:id="rId6"/>
    <sheet name="PTD Cycle 3" sheetId="19" r:id="rId7"/>
    <sheet name="PTD Cycle 4" sheetId="37" r:id="rId8"/>
    <sheet name="TDR Cycle 2" sheetId="16" r:id="rId9"/>
    <sheet name="TDR Cycle 3" sheetId="24" r:id="rId10"/>
    <sheet name="TDR Cycle 4" sheetId="40" r:id="rId11"/>
    <sheet name="EO Cycle 2" sheetId="8" r:id="rId12"/>
    <sheet name="EO Cycle 3" sheetId="28" r:id="rId13"/>
    <sheet name="EO Cycle 4" sheetId="36" r:id="rId14"/>
    <sheet name="EOR Cycle 2" sheetId="23" r:id="rId15"/>
    <sheet name="EOR Cycle 3" sheetId="29" r:id="rId16"/>
    <sheet name="OA Cycle 3" sheetId="30" r:id="rId17"/>
    <sheet name="OAR Cycle 3" sheetId="31"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xlnm._FilterDatabase" localSheetId="11" hidden="1">'EO Cycle 2'!$A$4:$K$89</definedName>
    <definedName name="_xlnm._FilterDatabase" localSheetId="12" hidden="1">'EO Cycle 3'!$A$5:$O$155</definedName>
    <definedName name="_xlnm._FilterDatabase" localSheetId="13" hidden="1">'EO Cycle 4'!$A$5:$O$57</definedName>
    <definedName name="_xlnm._FilterDatabase" localSheetId="0" hidden="1">'Index Table of Contents'!$A$4:$F$72</definedName>
    <definedName name="_xlnm.Print_Area" localSheetId="4">'PCR Cycle 3'!$A$1:$O$64</definedName>
    <definedName name="_xlnm.Print_Area" localSheetId="5">'PCR Cycle 4'!$A$1:$O$64</definedName>
    <definedName name="ServClassMapping">#REF!</definedName>
    <definedName name="solver_adj" localSheetId="4" hidden="1">'PCR Cycle 3'!$F$45</definedName>
    <definedName name="solver_adj" localSheetId="5" hidden="1">'PCR Cycle 4'!$F$45</definedName>
    <definedName name="solver_adj" localSheetId="8" hidden="1">'TDR Cycle 2'!#REF!</definedName>
    <definedName name="solver_adj" localSheetId="9" hidden="1">'TDR Cycle 3'!#REF!</definedName>
    <definedName name="solver_adj" localSheetId="10" hidden="1">'TDR Cycle 4'!#REF!</definedName>
    <definedName name="solver_cvg" localSheetId="4" hidden="1">0.0001</definedName>
    <definedName name="solver_cvg" localSheetId="5" hidden="1">0.0001</definedName>
    <definedName name="solver_cvg" localSheetId="8" hidden="1">0.0001</definedName>
    <definedName name="solver_cvg" localSheetId="9" hidden="1">0.0001</definedName>
    <definedName name="solver_cvg" localSheetId="10" hidden="1">0.0001</definedName>
    <definedName name="solver_drv" localSheetId="4" hidden="1">1</definedName>
    <definedName name="solver_drv" localSheetId="5" hidden="1">1</definedName>
    <definedName name="solver_drv" localSheetId="8" hidden="1">2</definedName>
    <definedName name="solver_drv" localSheetId="9" hidden="1">2</definedName>
    <definedName name="solver_drv" localSheetId="10" hidden="1">2</definedName>
    <definedName name="solver_eng" localSheetId="4" hidden="1">1</definedName>
    <definedName name="solver_eng" localSheetId="5" hidden="1">1</definedName>
    <definedName name="solver_eng" localSheetId="8" hidden="1">1</definedName>
    <definedName name="solver_eng" localSheetId="9" hidden="1">1</definedName>
    <definedName name="solver_eng" localSheetId="10" hidden="1">1</definedName>
    <definedName name="solver_est" localSheetId="4" hidden="1">1</definedName>
    <definedName name="solver_est" localSheetId="5" hidden="1">1</definedName>
    <definedName name="solver_est" localSheetId="8" hidden="1">1</definedName>
    <definedName name="solver_est" localSheetId="9" hidden="1">1</definedName>
    <definedName name="solver_est" localSheetId="10" hidden="1">1</definedName>
    <definedName name="solver_itr" localSheetId="4" hidden="1">2147483647</definedName>
    <definedName name="solver_itr" localSheetId="5" hidden="1">2147483647</definedName>
    <definedName name="solver_itr" localSheetId="8" hidden="1">2147483647</definedName>
    <definedName name="solver_itr" localSheetId="9" hidden="1">2147483647</definedName>
    <definedName name="solver_itr" localSheetId="10" hidden="1">2147483647</definedName>
    <definedName name="solver_mip" localSheetId="4" hidden="1">2147483647</definedName>
    <definedName name="solver_mip" localSheetId="5" hidden="1">2147483647</definedName>
    <definedName name="solver_mip" localSheetId="8" hidden="1">2147483647</definedName>
    <definedName name="solver_mip" localSheetId="9" hidden="1">2147483647</definedName>
    <definedName name="solver_mip" localSheetId="10" hidden="1">2147483647</definedName>
    <definedName name="solver_mni" localSheetId="4" hidden="1">30</definedName>
    <definedName name="solver_mni" localSheetId="5" hidden="1">30</definedName>
    <definedName name="solver_mni" localSheetId="8" hidden="1">30</definedName>
    <definedName name="solver_mni" localSheetId="9" hidden="1">30</definedName>
    <definedName name="solver_mni" localSheetId="10" hidden="1">30</definedName>
    <definedName name="solver_mrt" localSheetId="4" hidden="1">0.075</definedName>
    <definedName name="solver_mrt" localSheetId="5" hidden="1">0.075</definedName>
    <definedName name="solver_mrt" localSheetId="8" hidden="1">0.075</definedName>
    <definedName name="solver_mrt" localSheetId="9" hidden="1">0.075</definedName>
    <definedName name="solver_mrt" localSheetId="10" hidden="1">0.075</definedName>
    <definedName name="solver_msl" localSheetId="4" hidden="1">2</definedName>
    <definedName name="solver_msl" localSheetId="5" hidden="1">2</definedName>
    <definedName name="solver_msl" localSheetId="8" hidden="1">2</definedName>
    <definedName name="solver_msl" localSheetId="9" hidden="1">2</definedName>
    <definedName name="solver_msl" localSheetId="10" hidden="1">2</definedName>
    <definedName name="solver_neg" localSheetId="4" hidden="1">1</definedName>
    <definedName name="solver_neg" localSheetId="5" hidden="1">1</definedName>
    <definedName name="solver_neg" localSheetId="8" hidden="1">1</definedName>
    <definedName name="solver_neg" localSheetId="9" hidden="1">1</definedName>
    <definedName name="solver_neg" localSheetId="10" hidden="1">1</definedName>
    <definedName name="solver_nod" localSheetId="4" hidden="1">2147483647</definedName>
    <definedName name="solver_nod" localSheetId="5" hidden="1">2147483647</definedName>
    <definedName name="solver_nod" localSheetId="8" hidden="1">2147483647</definedName>
    <definedName name="solver_nod" localSheetId="9" hidden="1">2147483647</definedName>
    <definedName name="solver_nod" localSheetId="10" hidden="1">2147483647</definedName>
    <definedName name="solver_num" localSheetId="4" hidden="1">0</definedName>
    <definedName name="solver_num" localSheetId="5" hidden="1">0</definedName>
    <definedName name="solver_num" localSheetId="8" hidden="1">0</definedName>
    <definedName name="solver_num" localSheetId="9" hidden="1">0</definedName>
    <definedName name="solver_num" localSheetId="10" hidden="1">0</definedName>
    <definedName name="solver_nwt" localSheetId="4" hidden="1">1</definedName>
    <definedName name="solver_nwt" localSheetId="5" hidden="1">1</definedName>
    <definedName name="solver_nwt" localSheetId="8" hidden="1">1</definedName>
    <definedName name="solver_nwt" localSheetId="9" hidden="1">1</definedName>
    <definedName name="solver_nwt" localSheetId="10" hidden="1">1</definedName>
    <definedName name="solver_opt" localSheetId="4" hidden="1">'PCR Cycle 3'!$F$52</definedName>
    <definedName name="solver_opt" localSheetId="5" hidden="1">'PCR Cycle 4'!$F$52</definedName>
    <definedName name="solver_opt" localSheetId="8" hidden="1">'TDR Cycle 2'!#REF!</definedName>
    <definedName name="solver_opt" localSheetId="9" hidden="1">'TDR Cycle 3'!#REF!</definedName>
    <definedName name="solver_opt" localSheetId="10" hidden="1">'TDR Cycle 4'!#REF!</definedName>
    <definedName name="solver_pre" localSheetId="4" hidden="1">0.000001</definedName>
    <definedName name="solver_pre" localSheetId="5" hidden="1">0.000001</definedName>
    <definedName name="solver_pre" localSheetId="8" hidden="1">0.000001</definedName>
    <definedName name="solver_pre" localSheetId="9" hidden="1">0.000001</definedName>
    <definedName name="solver_pre" localSheetId="10" hidden="1">0.000001</definedName>
    <definedName name="solver_rbv" localSheetId="4" hidden="1">1</definedName>
    <definedName name="solver_rbv" localSheetId="5" hidden="1">1</definedName>
    <definedName name="solver_rbv" localSheetId="8" hidden="1">2</definedName>
    <definedName name="solver_rbv" localSheetId="9" hidden="1">2</definedName>
    <definedName name="solver_rbv" localSheetId="10" hidden="1">2</definedName>
    <definedName name="solver_rlx" localSheetId="4" hidden="1">2</definedName>
    <definedName name="solver_rlx" localSheetId="5" hidden="1">2</definedName>
    <definedName name="solver_rlx" localSheetId="8" hidden="1">2</definedName>
    <definedName name="solver_rlx" localSheetId="9" hidden="1">2</definedName>
    <definedName name="solver_rlx" localSheetId="10" hidden="1">2</definedName>
    <definedName name="solver_rsd" localSheetId="4" hidden="1">0</definedName>
    <definedName name="solver_rsd" localSheetId="5" hidden="1">0</definedName>
    <definedName name="solver_rsd" localSheetId="8" hidden="1">0</definedName>
    <definedName name="solver_rsd" localSheetId="9" hidden="1">0</definedName>
    <definedName name="solver_rsd" localSheetId="10" hidden="1">0</definedName>
    <definedName name="solver_scl" localSheetId="4" hidden="1">1</definedName>
    <definedName name="solver_scl" localSheetId="5" hidden="1">1</definedName>
    <definedName name="solver_scl" localSheetId="8" hidden="1">2</definedName>
    <definedName name="solver_scl" localSheetId="9" hidden="1">2</definedName>
    <definedName name="solver_scl" localSheetId="10" hidden="1">2</definedName>
    <definedName name="solver_sho" localSheetId="4" hidden="1">2</definedName>
    <definedName name="solver_sho" localSheetId="5" hidden="1">2</definedName>
    <definedName name="solver_sho" localSheetId="8" hidden="1">2</definedName>
    <definedName name="solver_sho" localSheetId="9" hidden="1">2</definedName>
    <definedName name="solver_sho" localSheetId="10" hidden="1">2</definedName>
    <definedName name="solver_ssz" localSheetId="4" hidden="1">100</definedName>
    <definedName name="solver_ssz" localSheetId="5" hidden="1">100</definedName>
    <definedName name="solver_ssz" localSheetId="8" hidden="1">100</definedName>
    <definedName name="solver_ssz" localSheetId="9" hidden="1">100</definedName>
    <definedName name="solver_ssz" localSheetId="10" hidden="1">100</definedName>
    <definedName name="solver_tim" localSheetId="4" hidden="1">2147483647</definedName>
    <definedName name="solver_tim" localSheetId="5" hidden="1">2147483647</definedName>
    <definedName name="solver_tim" localSheetId="8" hidden="1">2147483647</definedName>
    <definedName name="solver_tim" localSheetId="9" hidden="1">2147483647</definedName>
    <definedName name="solver_tim" localSheetId="10" hidden="1">2147483647</definedName>
    <definedName name="solver_tol" localSheetId="4" hidden="1">0.01</definedName>
    <definedName name="solver_tol" localSheetId="5" hidden="1">0.01</definedName>
    <definedName name="solver_tol" localSheetId="8" hidden="1">0.01</definedName>
    <definedName name="solver_tol" localSheetId="9" hidden="1">0.01</definedName>
    <definedName name="solver_tol" localSheetId="10" hidden="1">0.01</definedName>
    <definedName name="solver_typ" localSheetId="4" hidden="1">3</definedName>
    <definedName name="solver_typ" localSheetId="5" hidden="1">3</definedName>
    <definedName name="solver_typ" localSheetId="8" hidden="1">3</definedName>
    <definedName name="solver_typ" localSheetId="9" hidden="1">3</definedName>
    <definedName name="solver_typ" localSheetId="10" hidden="1">3</definedName>
    <definedName name="solver_val" localSheetId="4" hidden="1">0</definedName>
    <definedName name="solver_val" localSheetId="5" hidden="1">0</definedName>
    <definedName name="solver_val" localSheetId="8" hidden="1">23888.44</definedName>
    <definedName name="solver_val" localSheetId="9" hidden="1">23888.44</definedName>
    <definedName name="solver_val" localSheetId="10" hidden="1">23888.44</definedName>
    <definedName name="solver_ver" localSheetId="4" hidden="1">3</definedName>
    <definedName name="solver_ver" localSheetId="5" hidden="1">3</definedName>
    <definedName name="solver_ver" localSheetId="8" hidden="1">3</definedName>
    <definedName name="solver_ver" localSheetId="9" hidden="1">3</definedName>
    <definedName name="solver_ver" localSheetId="10"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0" i="28" l="1"/>
  <c r="B79" i="28"/>
  <c r="B78" i="28"/>
  <c r="B74" i="28"/>
  <c r="L17" i="35" l="1"/>
  <c r="K17" i="35"/>
  <c r="P17" i="35" s="1"/>
  <c r="L16" i="35"/>
  <c r="K16" i="35"/>
  <c r="L15" i="35"/>
  <c r="K15" i="35"/>
  <c r="P15" i="35" s="1"/>
  <c r="L14" i="35"/>
  <c r="K14" i="35"/>
  <c r="P14" i="35" s="1"/>
  <c r="D8" i="38"/>
  <c r="D7" i="38"/>
  <c r="D6" i="38"/>
  <c r="D5" i="38"/>
  <c r="P16" i="35" l="1"/>
  <c r="H31" i="22"/>
  <c r="J17" i="22"/>
  <c r="J16" i="22"/>
  <c r="J15" i="22"/>
  <c r="J14" i="22"/>
  <c r="I17" i="22"/>
  <c r="I16" i="22"/>
  <c r="I15" i="22"/>
  <c r="I14" i="22"/>
  <c r="H17" i="22"/>
  <c r="H16" i="22"/>
  <c r="H15" i="22"/>
  <c r="H14" i="22"/>
  <c r="G17" i="22"/>
  <c r="G16" i="22"/>
  <c r="G15" i="22"/>
  <c r="G14" i="22"/>
  <c r="F17" i="22"/>
  <c r="F16" i="22"/>
  <c r="F15" i="22"/>
  <c r="F14" i="22"/>
  <c r="E17" i="22"/>
  <c r="E16" i="22"/>
  <c r="E15" i="22"/>
  <c r="E14" i="22"/>
  <c r="J27" i="22"/>
  <c r="J28" i="22"/>
  <c r="J29" i="22"/>
  <c r="J26" i="22"/>
  <c r="B8" i="19" l="1"/>
  <c r="B6" i="19"/>
  <c r="B7" i="19"/>
  <c r="B9" i="19"/>
  <c r="D8" i="19" l="1"/>
  <c r="D7" i="19"/>
  <c r="D9" i="19"/>
  <c r="D6" i="19" l="1"/>
  <c r="B6" i="37" l="1"/>
  <c r="D6" i="37" l="1"/>
  <c r="B9" i="37" l="1"/>
  <c r="B8" i="37"/>
  <c r="D9" i="37" l="1"/>
  <c r="D8" i="37"/>
  <c r="B7" i="37" l="1"/>
  <c r="D7" i="37" l="1"/>
  <c r="G35" i="16" l="1"/>
  <c r="F35" i="16"/>
  <c r="E35" i="16"/>
  <c r="B10" i="16" l="1"/>
  <c r="B10" i="24"/>
  <c r="B10" i="40"/>
  <c r="B10" i="23"/>
  <c r="B10" i="29"/>
  <c r="B10" i="31"/>
  <c r="B10" i="22"/>
  <c r="H32" i="24"/>
  <c r="G32" i="24"/>
  <c r="F32" i="24"/>
  <c r="E24" i="24" l="1"/>
  <c r="E23" i="24"/>
  <c r="E22" i="24"/>
  <c r="E21" i="24"/>
  <c r="F21" i="24" l="1"/>
  <c r="F22" i="24"/>
  <c r="F23" i="24"/>
  <c r="F24" i="24"/>
  <c r="E28" i="24"/>
  <c r="F30" i="24" l="1"/>
  <c r="G24" i="24"/>
  <c r="G23" i="24"/>
  <c r="F29" i="24"/>
  <c r="H23" i="24"/>
  <c r="G22" i="24"/>
  <c r="H21" i="24"/>
  <c r="H22" i="24"/>
  <c r="G21" i="24"/>
  <c r="E30" i="24"/>
  <c r="E29" i="24"/>
  <c r="E27" i="24"/>
  <c r="F27" i="24"/>
  <c r="F28" i="24" l="1"/>
  <c r="G29" i="24"/>
  <c r="I22" i="24"/>
  <c r="H24" i="24"/>
  <c r="G30" i="24"/>
  <c r="G28" i="24"/>
  <c r="G27" i="24" l="1"/>
  <c r="H28" i="24"/>
  <c r="I24" i="24"/>
  <c r="J23" i="24"/>
  <c r="I23" i="24"/>
  <c r="H29" i="24"/>
  <c r="H30" i="24"/>
  <c r="I21" i="24"/>
  <c r="H27" i="24"/>
  <c r="I28" i="24"/>
  <c r="I27" i="24"/>
  <c r="I29" i="24"/>
  <c r="J24" i="24" l="1"/>
  <c r="I30" i="24"/>
  <c r="J22" i="24"/>
  <c r="K24" i="24"/>
  <c r="J21" i="24"/>
  <c r="J30" i="24"/>
  <c r="J29" i="24"/>
  <c r="J27" i="24" l="1"/>
  <c r="K23" i="24"/>
  <c r="K22" i="24"/>
  <c r="K21" i="24"/>
  <c r="K29" i="24"/>
  <c r="K28" i="24" l="1"/>
  <c r="J28" i="24"/>
  <c r="L23" i="24"/>
  <c r="L21" i="24"/>
  <c r="L24" i="24"/>
  <c r="K30" i="24"/>
  <c r="L22" i="24"/>
  <c r="K27" i="24" l="1"/>
  <c r="L27" i="24" l="1"/>
  <c r="L29" i="24" l="1"/>
  <c r="L30" i="24"/>
  <c r="L28" i="24"/>
  <c r="J18" i="24" l="1"/>
  <c r="J17" i="24"/>
  <c r="J16" i="24"/>
  <c r="J15" i="24"/>
  <c r="F23" i="40" l="1"/>
  <c r="F24" i="40"/>
  <c r="E29" i="40"/>
  <c r="E30" i="40"/>
  <c r="F29" i="40" l="1"/>
  <c r="F30" i="40"/>
  <c r="F21" i="40"/>
  <c r="F22" i="40"/>
  <c r="F27" i="40" l="1"/>
  <c r="E27" i="40"/>
  <c r="F28" i="40" l="1"/>
  <c r="E28" i="40"/>
  <c r="G21" i="40" l="1"/>
  <c r="L21" i="40" l="1"/>
  <c r="I21" i="40"/>
  <c r="H21" i="40"/>
  <c r="J21" i="40"/>
  <c r="K21" i="40"/>
  <c r="G27" i="40" l="1"/>
  <c r="J27" i="40"/>
  <c r="L27" i="40" l="1"/>
  <c r="H27" i="40"/>
  <c r="K27" i="40"/>
  <c r="I27" i="40"/>
  <c r="H23" i="40" l="1"/>
  <c r="I24" i="40"/>
  <c r="G23" i="40"/>
  <c r="K24" i="40"/>
  <c r="K23" i="40"/>
  <c r="J23" i="40"/>
  <c r="L23" i="40"/>
  <c r="G24" i="40"/>
  <c r="J24" i="40"/>
  <c r="I23" i="40"/>
  <c r="L24" i="40"/>
  <c r="H24" i="40"/>
  <c r="L30" i="40" l="1"/>
  <c r="L29" i="40"/>
  <c r="I29" i="40"/>
  <c r="J29" i="40"/>
  <c r="G22" i="40"/>
  <c r="H29" i="40"/>
  <c r="I30" i="40"/>
  <c r="J30" i="40"/>
  <c r="K29" i="40"/>
  <c r="H30" i="40"/>
  <c r="K30" i="40"/>
  <c r="H22" i="40" l="1"/>
  <c r="G29" i="40"/>
  <c r="G28" i="40"/>
  <c r="L22" i="40"/>
  <c r="G30" i="40"/>
  <c r="K22" i="40"/>
  <c r="I22" i="40"/>
  <c r="J22" i="40"/>
  <c r="J28" i="40" l="1"/>
  <c r="I28" i="40"/>
  <c r="L28" i="40"/>
  <c r="K28" i="40"/>
  <c r="H28" i="40"/>
  <c r="E24" i="40" l="1"/>
  <c r="E23" i="40"/>
  <c r="E22" i="40"/>
  <c r="E21" i="40"/>
  <c r="J16" i="40"/>
  <c r="J17" i="40"/>
  <c r="J18" i="40"/>
  <c r="J15" i="40"/>
  <c r="I18" i="40"/>
  <c r="I17" i="40"/>
  <c r="I16" i="40"/>
  <c r="I15" i="40"/>
  <c r="H18" i="40"/>
  <c r="H17" i="40"/>
  <c r="H16" i="40"/>
  <c r="H15" i="40"/>
  <c r="G18" i="40"/>
  <c r="G17" i="40"/>
  <c r="G16" i="40"/>
  <c r="G15" i="40"/>
  <c r="J26" i="29" l="1"/>
  <c r="I26" i="29"/>
  <c r="H26" i="29"/>
  <c r="G26" i="29"/>
  <c r="F26" i="29"/>
  <c r="E26" i="29"/>
  <c r="E147" i="28"/>
  <c r="E141" i="28" s="1"/>
  <c r="D147" i="28"/>
  <c r="D141" i="28" s="1"/>
  <c r="D142" i="28" s="1"/>
  <c r="C147" i="28"/>
  <c r="C141" i="28" s="1"/>
  <c r="C142" i="28" s="1"/>
  <c r="E142" i="28"/>
  <c r="B146" i="28" l="1"/>
  <c r="F146" i="28" s="1"/>
  <c r="G146" i="28" s="1"/>
  <c r="B144" i="28"/>
  <c r="B145" i="28"/>
  <c r="F145" i="28" s="1"/>
  <c r="G145" i="28" s="1"/>
  <c r="B140" i="28"/>
  <c r="F140" i="28" l="1"/>
  <c r="F144" i="28"/>
  <c r="B147" i="28"/>
  <c r="B141" i="28" s="1"/>
  <c r="F141" i="28" s="1"/>
  <c r="G144" i="28" l="1"/>
  <c r="G147" i="28" s="1"/>
  <c r="G141" i="28" s="1"/>
  <c r="F147" i="28"/>
  <c r="B142" i="28"/>
  <c r="G140" i="28"/>
  <c r="F142" i="28"/>
  <c r="G142" i="28" l="1"/>
  <c r="J18" i="29"/>
  <c r="J17" i="29"/>
  <c r="J16" i="29"/>
  <c r="J15" i="29"/>
  <c r="H29" i="23"/>
  <c r="G29" i="23"/>
  <c r="F29" i="23"/>
  <c r="E29" i="23"/>
  <c r="D29" i="23"/>
  <c r="I21" i="23"/>
  <c r="I20" i="23"/>
  <c r="I19" i="23"/>
  <c r="I18" i="23"/>
  <c r="I21" i="31" l="1"/>
  <c r="I22" i="31"/>
  <c r="I23" i="31"/>
  <c r="I20" i="31"/>
  <c r="J21" i="16"/>
  <c r="J20" i="16"/>
  <c r="J19" i="16"/>
  <c r="J18" i="16"/>
  <c r="H23" i="31"/>
  <c r="H22" i="31"/>
  <c r="H21" i="31"/>
  <c r="H20" i="31"/>
  <c r="I18" i="29"/>
  <c r="I17" i="29"/>
  <c r="I16" i="29"/>
  <c r="I15" i="29"/>
  <c r="H21" i="23"/>
  <c r="H20" i="23"/>
  <c r="H19" i="23"/>
  <c r="H18" i="23"/>
  <c r="I18" i="24"/>
  <c r="I17" i="24"/>
  <c r="I16" i="24"/>
  <c r="I15" i="24"/>
  <c r="I21" i="16"/>
  <c r="I20" i="16"/>
  <c r="I19" i="16"/>
  <c r="I18" i="16"/>
  <c r="I29" i="22"/>
  <c r="I28" i="22"/>
  <c r="I27" i="22"/>
  <c r="I26" i="22"/>
  <c r="H29" i="22"/>
  <c r="H28" i="22"/>
  <c r="H27" i="22"/>
  <c r="H26" i="22"/>
  <c r="H21" i="16"/>
  <c r="H20" i="16"/>
  <c r="H19" i="16"/>
  <c r="H18" i="16"/>
  <c r="H18" i="24"/>
  <c r="H17" i="24"/>
  <c r="H16" i="24"/>
  <c r="H15" i="24"/>
  <c r="G21" i="23"/>
  <c r="G20" i="23"/>
  <c r="G19" i="23"/>
  <c r="G18" i="23"/>
  <c r="H18" i="29"/>
  <c r="H17" i="29"/>
  <c r="H16" i="29"/>
  <c r="H15" i="29"/>
  <c r="G23" i="31"/>
  <c r="G22" i="31"/>
  <c r="G21" i="31"/>
  <c r="G20" i="31"/>
  <c r="F23" i="31" l="1"/>
  <c r="F22" i="31"/>
  <c r="F21" i="31"/>
  <c r="F20" i="31"/>
  <c r="G18" i="29"/>
  <c r="G17" i="29"/>
  <c r="G16" i="29"/>
  <c r="G15" i="29"/>
  <c r="F21" i="23"/>
  <c r="F20" i="23"/>
  <c r="F19" i="23"/>
  <c r="F18" i="23"/>
  <c r="G18" i="24"/>
  <c r="G17" i="24"/>
  <c r="G16" i="24"/>
  <c r="G15" i="24"/>
  <c r="G21" i="16"/>
  <c r="G20" i="16"/>
  <c r="G19" i="16"/>
  <c r="G18" i="16"/>
  <c r="G29" i="22"/>
  <c r="G28" i="22"/>
  <c r="G27" i="22"/>
  <c r="G26" i="22"/>
  <c r="F29" i="22"/>
  <c r="F28" i="22"/>
  <c r="F27" i="22"/>
  <c r="F26" i="22"/>
  <c r="F21" i="16"/>
  <c r="F20" i="16"/>
  <c r="F19" i="16"/>
  <c r="F18" i="16"/>
  <c r="F18" i="24"/>
  <c r="F17" i="24"/>
  <c r="F16" i="24"/>
  <c r="F15" i="24"/>
  <c r="F18" i="40"/>
  <c r="F17" i="40"/>
  <c r="F16" i="40"/>
  <c r="F15" i="40"/>
  <c r="E21" i="23"/>
  <c r="E20" i="23"/>
  <c r="E19" i="23"/>
  <c r="E18" i="23"/>
  <c r="F18" i="29"/>
  <c r="F17" i="29"/>
  <c r="F16" i="29"/>
  <c r="F15" i="29"/>
  <c r="E23" i="31"/>
  <c r="E22" i="31"/>
  <c r="E21" i="31"/>
  <c r="E20" i="31"/>
  <c r="L16" i="31"/>
  <c r="K16" i="31"/>
  <c r="J16" i="31"/>
  <c r="I16" i="31"/>
  <c r="H16" i="31"/>
  <c r="G16" i="31"/>
  <c r="F16" i="31"/>
  <c r="E16" i="31"/>
  <c r="D23" i="31"/>
  <c r="D22" i="31"/>
  <c r="D21" i="31"/>
  <c r="D20" i="31"/>
  <c r="E18" i="29"/>
  <c r="E17" i="29"/>
  <c r="E16" i="29"/>
  <c r="E15" i="29"/>
  <c r="D21" i="23"/>
  <c r="D20" i="23"/>
  <c r="D19" i="23"/>
  <c r="D18" i="23"/>
  <c r="E18" i="40"/>
  <c r="E17" i="40"/>
  <c r="E16" i="40"/>
  <c r="E15" i="40"/>
  <c r="E18" i="24"/>
  <c r="E17" i="24"/>
  <c r="E16" i="24"/>
  <c r="E15" i="24"/>
  <c r="E21" i="16"/>
  <c r="E20" i="16"/>
  <c r="E19" i="16"/>
  <c r="E18" i="16"/>
  <c r="E29" i="22"/>
  <c r="E28" i="22"/>
  <c r="E27" i="22"/>
  <c r="E26" i="22"/>
  <c r="I31" i="35"/>
  <c r="G31" i="35"/>
  <c r="I45" i="22"/>
  <c r="F45" i="22"/>
  <c r="J45" i="22"/>
  <c r="H45" i="22"/>
  <c r="G45" i="22"/>
  <c r="E45" i="22"/>
  <c r="A12" i="38" l="1"/>
  <c r="I16" i="35" l="1"/>
  <c r="H15" i="35" l="1"/>
  <c r="I15" i="35"/>
  <c r="H16" i="35"/>
  <c r="I14" i="35" l="1"/>
  <c r="H14" i="35"/>
  <c r="I17" i="35" l="1"/>
  <c r="H17" i="35"/>
  <c r="F16" i="35" l="1"/>
  <c r="F15" i="35" l="1"/>
  <c r="F14" i="35"/>
  <c r="F17" i="35" l="1"/>
  <c r="G16" i="35" l="1"/>
  <c r="G15" i="35" l="1"/>
  <c r="G14" i="35" l="1"/>
  <c r="G17" i="35" l="1"/>
  <c r="E16" i="35" l="1"/>
  <c r="E15" i="35" l="1"/>
  <c r="E14" i="35"/>
  <c r="E17" i="35" l="1"/>
  <c r="J15" i="35" l="1"/>
  <c r="J16" i="35" l="1"/>
  <c r="J14" i="35" l="1"/>
  <c r="J17" i="35" l="1"/>
  <c r="J21" i="35" l="1"/>
  <c r="J22" i="35"/>
  <c r="J23" i="35"/>
  <c r="J20" i="35"/>
  <c r="J27" i="35"/>
  <c r="J28" i="35"/>
  <c r="J29" i="35"/>
  <c r="J26" i="35"/>
  <c r="G21" i="35"/>
  <c r="H21" i="35"/>
  <c r="I21" i="35"/>
  <c r="G22" i="35"/>
  <c r="H22" i="35"/>
  <c r="I22" i="35"/>
  <c r="G23" i="35"/>
  <c r="H23" i="35"/>
  <c r="I23" i="35"/>
  <c r="I20" i="35"/>
  <c r="H20" i="35"/>
  <c r="G20" i="35"/>
  <c r="I29" i="35"/>
  <c r="I28" i="35"/>
  <c r="I27" i="35"/>
  <c r="I26" i="35"/>
  <c r="H29" i="35"/>
  <c r="H28" i="35"/>
  <c r="H27" i="35"/>
  <c r="H26" i="35"/>
  <c r="G29" i="35"/>
  <c r="G28" i="35"/>
  <c r="G27" i="35"/>
  <c r="G26" i="35"/>
  <c r="F29" i="35"/>
  <c r="F28" i="35"/>
  <c r="F27" i="35"/>
  <c r="F26" i="35"/>
  <c r="F23" i="35"/>
  <c r="F22" i="35"/>
  <c r="F21" i="35"/>
  <c r="F20" i="35"/>
  <c r="E29" i="35"/>
  <c r="E28" i="35"/>
  <c r="E27" i="35"/>
  <c r="E26" i="35"/>
  <c r="E21" i="35"/>
  <c r="E22" i="35"/>
  <c r="E23" i="35"/>
  <c r="E20" i="35" l="1"/>
  <c r="M20" i="35" l="1"/>
  <c r="L20" i="35"/>
  <c r="K20" i="35"/>
  <c r="L22" i="35" l="1"/>
  <c r="L21" i="35"/>
  <c r="L23" i="35"/>
  <c r="K21" i="35"/>
  <c r="K22" i="35" l="1"/>
  <c r="M22" i="35"/>
  <c r="K23" i="35"/>
  <c r="M23" i="35"/>
  <c r="M21" i="35"/>
  <c r="G4" i="5" l="1"/>
  <c r="G6" i="5" l="1"/>
  <c r="G5" i="5"/>
  <c r="G7" i="5"/>
  <c r="E45" i="35" l="1"/>
  <c r="F45" i="35"/>
  <c r="B135" i="28" l="1"/>
  <c r="B134" i="28"/>
  <c r="B133" i="28"/>
  <c r="B129" i="28"/>
  <c r="A1" i="38" l="1"/>
  <c r="E20" i="22" l="1"/>
  <c r="E22" i="22"/>
  <c r="E21" i="22"/>
  <c r="B114" i="28" l="1"/>
  <c r="B108" i="28" l="1"/>
  <c r="D114" i="28"/>
  <c r="B124" i="28"/>
  <c r="B123" i="28"/>
  <c r="B122" i="28"/>
  <c r="B118" i="28"/>
  <c r="E69" i="28"/>
  <c r="D69" i="28"/>
  <c r="C69" i="28"/>
  <c r="B69" i="28"/>
  <c r="E68" i="28"/>
  <c r="D68" i="28"/>
  <c r="C68" i="28"/>
  <c r="B68" i="28"/>
  <c r="E67" i="28"/>
  <c r="D67" i="28"/>
  <c r="C67" i="28"/>
  <c r="B67" i="28"/>
  <c r="E63" i="28"/>
  <c r="D63" i="28"/>
  <c r="C63" i="28"/>
  <c r="B63" i="28"/>
  <c r="E58" i="28"/>
  <c r="D58" i="28"/>
  <c r="C58" i="28"/>
  <c r="E57" i="28"/>
  <c r="D57" i="28"/>
  <c r="C57" i="28"/>
  <c r="E56" i="28"/>
  <c r="D56" i="28"/>
  <c r="C56" i="28"/>
  <c r="E52" i="28"/>
  <c r="D52" i="28"/>
  <c r="C52" i="28"/>
  <c r="E47" i="28"/>
  <c r="D47" i="28"/>
  <c r="C47" i="28"/>
  <c r="E46" i="28"/>
  <c r="D46" i="28"/>
  <c r="C46" i="28"/>
  <c r="E45" i="28"/>
  <c r="D45" i="28"/>
  <c r="C45" i="28"/>
  <c r="E41" i="28"/>
  <c r="D41" i="28"/>
  <c r="C41" i="28"/>
  <c r="E36" i="28"/>
  <c r="D36" i="28"/>
  <c r="C36" i="28"/>
  <c r="E35" i="28"/>
  <c r="D35" i="28"/>
  <c r="C35" i="28"/>
  <c r="E34" i="28"/>
  <c r="D34" i="28"/>
  <c r="C34" i="28"/>
  <c r="E30" i="28"/>
  <c r="D30" i="28"/>
  <c r="C30" i="28"/>
  <c r="E25" i="28"/>
  <c r="D25" i="28"/>
  <c r="C25" i="28"/>
  <c r="B25" i="28"/>
  <c r="E24" i="28"/>
  <c r="D24" i="28"/>
  <c r="C24" i="28"/>
  <c r="B24" i="28"/>
  <c r="E23" i="28"/>
  <c r="D23" i="28"/>
  <c r="C23" i="28"/>
  <c r="B23" i="28"/>
  <c r="E19" i="28"/>
  <c r="D19" i="28"/>
  <c r="C19" i="28"/>
  <c r="B19" i="28"/>
  <c r="E136" i="28"/>
  <c r="E130" i="28" s="1"/>
  <c r="D136" i="28"/>
  <c r="D130" i="28" s="1"/>
  <c r="C136" i="28"/>
  <c r="C130" i="28" s="1"/>
  <c r="C131" i="28" s="1"/>
  <c r="E131" i="28"/>
  <c r="D131" i="28"/>
  <c r="D108" i="28" l="1"/>
  <c r="D109" i="28" s="1"/>
  <c r="B109" i="28"/>
  <c r="F135" i="28"/>
  <c r="G135" i="28" s="1"/>
  <c r="F133" i="28"/>
  <c r="G133" i="28" s="1"/>
  <c r="F129" i="28"/>
  <c r="G129" i="28" s="1"/>
  <c r="B136" i="28"/>
  <c r="B130" i="28" s="1"/>
  <c r="F130" i="28" s="1"/>
  <c r="F134" i="28"/>
  <c r="G134" i="28" s="1"/>
  <c r="B131" i="28" l="1"/>
  <c r="F136" i="28"/>
  <c r="G136" i="28"/>
  <c r="G130" i="28" s="1"/>
  <c r="G131" i="28" s="1"/>
  <c r="F131" i="28"/>
  <c r="E26" i="36" l="1"/>
  <c r="E20" i="36" s="1"/>
  <c r="D26" i="36"/>
  <c r="D20" i="36" s="1"/>
  <c r="C26" i="36"/>
  <c r="C20" i="36" s="1"/>
  <c r="B26" i="36"/>
  <c r="B20" i="36" s="1"/>
  <c r="F20" i="36" s="1"/>
  <c r="F25" i="36"/>
  <c r="G25" i="36" s="1"/>
  <c r="F24" i="36"/>
  <c r="G24" i="36" s="1"/>
  <c r="F23" i="36"/>
  <c r="G23" i="36" s="1"/>
  <c r="E21" i="36"/>
  <c r="D21" i="36"/>
  <c r="C21" i="36"/>
  <c r="B21" i="36"/>
  <c r="F19" i="36"/>
  <c r="G19" i="36" s="1"/>
  <c r="F26" i="36" l="1"/>
  <c r="F21" i="36"/>
  <c r="G26" i="36"/>
  <c r="G20" i="36" s="1"/>
  <c r="G21" i="36" s="1"/>
  <c r="D14" i="23" l="1"/>
  <c r="L10" i="16"/>
  <c r="J10" i="23" s="1"/>
  <c r="L9" i="16"/>
  <c r="J9" i="23" s="1"/>
  <c r="L8" i="16"/>
  <c r="J8" i="23" s="1"/>
  <c r="J45" i="35"/>
  <c r="I45" i="35"/>
  <c r="H45" i="35"/>
  <c r="G45" i="35"/>
  <c r="L45" i="35" l="1"/>
  <c r="K45" i="35"/>
  <c r="J22" i="22" l="1"/>
  <c r="I20" i="22"/>
  <c r="F20" i="22"/>
  <c r="J23" i="22"/>
  <c r="I21" i="22"/>
  <c r="F21" i="22"/>
  <c r="J20" i="22"/>
  <c r="G20" i="22"/>
  <c r="G21" i="22"/>
  <c r="G23" i="22"/>
  <c r="I22" i="22"/>
  <c r="F22" i="22"/>
  <c r="H23" i="22"/>
  <c r="G22" i="22"/>
  <c r="I23" i="22"/>
  <c r="F23" i="22"/>
  <c r="J21" i="22"/>
  <c r="H20" i="22"/>
  <c r="H21" i="22"/>
  <c r="H22" i="22"/>
  <c r="E23" i="22" l="1"/>
  <c r="D16" i="31" l="1"/>
  <c r="E11" i="29"/>
  <c r="E11" i="40"/>
  <c r="E11" i="24"/>
  <c r="E14" i="16"/>
  <c r="E11" i="22"/>
  <c r="F11" i="35"/>
  <c r="F11" i="29" s="1"/>
  <c r="B55" i="40"/>
  <c r="C55" i="40" s="1"/>
  <c r="D55" i="40" s="1"/>
  <c r="J46" i="40"/>
  <c r="L46" i="40" s="1"/>
  <c r="I46" i="40"/>
  <c r="H46" i="40"/>
  <c r="G46" i="40"/>
  <c r="F46" i="40"/>
  <c r="E46" i="40"/>
  <c r="J38" i="40"/>
  <c r="C38" i="40"/>
  <c r="C44" i="40" s="1"/>
  <c r="J37" i="40"/>
  <c r="I37" i="40"/>
  <c r="D37" i="40"/>
  <c r="C37" i="40"/>
  <c r="C43" i="40" s="1"/>
  <c r="D36" i="40"/>
  <c r="C36" i="40"/>
  <c r="C42" i="40" s="1"/>
  <c r="J35" i="40"/>
  <c r="I35" i="40"/>
  <c r="D35" i="40"/>
  <c r="C35" i="40"/>
  <c r="C41" i="40" s="1"/>
  <c r="P30" i="40"/>
  <c r="I38" i="40"/>
  <c r="H38" i="40"/>
  <c r="E38" i="40"/>
  <c r="D38" i="40"/>
  <c r="P29" i="40"/>
  <c r="H37" i="40"/>
  <c r="G37" i="40"/>
  <c r="F37" i="40"/>
  <c r="I36" i="40"/>
  <c r="H36" i="40"/>
  <c r="H35" i="40"/>
  <c r="G35" i="40"/>
  <c r="F35" i="40"/>
  <c r="E35" i="40"/>
  <c r="P24" i="40"/>
  <c r="N24" i="40"/>
  <c r="F7" i="40" s="1"/>
  <c r="P23" i="40"/>
  <c r="P22" i="40"/>
  <c r="P21" i="40"/>
  <c r="N21" i="40"/>
  <c r="F4" i="40" s="1"/>
  <c r="F36" i="40"/>
  <c r="E36" i="40"/>
  <c r="I12" i="40"/>
  <c r="F12" i="40"/>
  <c r="E12" i="40"/>
  <c r="I7" i="40"/>
  <c r="I6" i="40"/>
  <c r="G6" i="40"/>
  <c r="I5" i="40"/>
  <c r="I4" i="40"/>
  <c r="A1" i="40"/>
  <c r="G11" i="35" l="1"/>
  <c r="E14" i="23"/>
  <c r="F11" i="22"/>
  <c r="F14" i="16"/>
  <c r="F11" i="40"/>
  <c r="F11" i="24"/>
  <c r="D44" i="40"/>
  <c r="E44" i="40" s="1"/>
  <c r="D42" i="40"/>
  <c r="E49" i="40" s="1"/>
  <c r="D41" i="40"/>
  <c r="E48" i="40" s="1"/>
  <c r="I8" i="40"/>
  <c r="E51" i="40"/>
  <c r="J36" i="40"/>
  <c r="J12" i="40"/>
  <c r="P28" i="40"/>
  <c r="K46" i="40"/>
  <c r="G12" i="40"/>
  <c r="H12" i="40"/>
  <c r="G4" i="40"/>
  <c r="G36" i="40"/>
  <c r="G5" i="40"/>
  <c r="D43" i="40"/>
  <c r="N23" i="40"/>
  <c r="F6" i="40" s="1"/>
  <c r="G7" i="40"/>
  <c r="P27" i="40"/>
  <c r="K12" i="40"/>
  <c r="F38" i="40"/>
  <c r="N22" i="40"/>
  <c r="F5" i="40" s="1"/>
  <c r="L12" i="40"/>
  <c r="E37" i="40"/>
  <c r="G38" i="40"/>
  <c r="H11" i="35" l="1"/>
  <c r="F14" i="23"/>
  <c r="G11" i="40"/>
  <c r="G11" i="24"/>
  <c r="G11" i="22"/>
  <c r="G11" i="29"/>
  <c r="G14" i="16"/>
  <c r="E42" i="40"/>
  <c r="F49" i="40" s="1"/>
  <c r="E41" i="40"/>
  <c r="F48" i="40" s="1"/>
  <c r="F8" i="40"/>
  <c r="F51" i="40"/>
  <c r="F44" i="40"/>
  <c r="E43" i="40"/>
  <c r="E50" i="40"/>
  <c r="E55" i="40" s="1"/>
  <c r="G8" i="40"/>
  <c r="P12" i="40"/>
  <c r="I11" i="35" l="1"/>
  <c r="G14" i="23"/>
  <c r="H11" i="29"/>
  <c r="H11" i="22"/>
  <c r="H14" i="16"/>
  <c r="H11" i="24"/>
  <c r="H11" i="40"/>
  <c r="F42" i="40"/>
  <c r="G49" i="40" s="1"/>
  <c r="F41" i="40"/>
  <c r="G48" i="40" s="1"/>
  <c r="E52" i="40"/>
  <c r="F43" i="40"/>
  <c r="F50" i="40"/>
  <c r="F53" i="40" s="1"/>
  <c r="G51" i="40"/>
  <c r="G44" i="40"/>
  <c r="E53" i="40"/>
  <c r="J11" i="35" l="1"/>
  <c r="H14" i="23"/>
  <c r="I11" i="29"/>
  <c r="I11" i="22"/>
  <c r="I11" i="40"/>
  <c r="I14" i="16"/>
  <c r="I11" i="24"/>
  <c r="G41" i="40"/>
  <c r="H41" i="40" s="1"/>
  <c r="G42" i="40"/>
  <c r="H42" i="40" s="1"/>
  <c r="F55" i="40"/>
  <c r="F52" i="40" s="1"/>
  <c r="G43" i="40"/>
  <c r="G50" i="40"/>
  <c r="H51" i="40"/>
  <c r="H44" i="40"/>
  <c r="H49" i="40" l="1"/>
  <c r="I42" i="40" s="1"/>
  <c r="K11" i="35"/>
  <c r="I14" i="23"/>
  <c r="J11" i="29"/>
  <c r="J11" i="22"/>
  <c r="J14" i="16"/>
  <c r="J11" i="40"/>
  <c r="J11" i="24"/>
  <c r="H48" i="40"/>
  <c r="I41" i="40" s="1"/>
  <c r="H43" i="40"/>
  <c r="H50" i="40"/>
  <c r="I51" i="40"/>
  <c r="I44" i="40"/>
  <c r="G53" i="40"/>
  <c r="G55" i="40"/>
  <c r="I49" i="40" l="1"/>
  <c r="J49" i="40" s="1"/>
  <c r="I48" i="40"/>
  <c r="J41" i="40" s="1"/>
  <c r="H53" i="40"/>
  <c r="L11" i="35"/>
  <c r="K11" i="24"/>
  <c r="K14" i="16"/>
  <c r="K11" i="40"/>
  <c r="K11" i="29"/>
  <c r="K11" i="22"/>
  <c r="I43" i="40"/>
  <c r="I50" i="40"/>
  <c r="G52" i="40"/>
  <c r="H55" i="40"/>
  <c r="J44" i="40"/>
  <c r="J51" i="40"/>
  <c r="J42" i="40" l="1"/>
  <c r="J48" i="40"/>
  <c r="I53" i="40"/>
  <c r="M11" i="35"/>
  <c r="L11" i="40"/>
  <c r="L14" i="16"/>
  <c r="L11" i="24"/>
  <c r="L11" i="22"/>
  <c r="L11" i="29"/>
  <c r="H52" i="40"/>
  <c r="I55" i="40"/>
  <c r="J43" i="40"/>
  <c r="J50" i="40"/>
  <c r="J53" i="40" l="1"/>
  <c r="M14" i="16"/>
  <c r="M11" i="24"/>
  <c r="M11" i="29"/>
  <c r="M11" i="40"/>
  <c r="M11" i="22"/>
  <c r="I52" i="40"/>
  <c r="J55" i="40"/>
  <c r="J52" i="40" l="1"/>
  <c r="A2" i="30" l="1"/>
  <c r="A2" i="28"/>
  <c r="A2" i="8"/>
  <c r="A2" i="38"/>
  <c r="A1" i="31"/>
  <c r="A1" i="30"/>
  <c r="A1" i="29"/>
  <c r="A1" i="23"/>
  <c r="A1" i="36"/>
  <c r="A1" i="28"/>
  <c r="A1" i="8"/>
  <c r="A1" i="24"/>
  <c r="A1" i="16"/>
  <c r="A1" i="37"/>
  <c r="A1" i="35"/>
  <c r="A1" i="22"/>
  <c r="A1" i="5"/>
  <c r="A1" i="32"/>
  <c r="A2" i="36" l="1"/>
  <c r="D5" i="37"/>
  <c r="A2" i="37"/>
  <c r="C8" i="38" l="1"/>
  <c r="C15" i="5" s="1"/>
  <c r="C7" i="38"/>
  <c r="C14" i="5" s="1"/>
  <c r="C6" i="38"/>
  <c r="C13" i="5" s="1"/>
  <c r="D9" i="38" l="1"/>
  <c r="C5" i="38"/>
  <c r="C12" i="5" s="1"/>
  <c r="C9" i="38" l="1"/>
  <c r="C12" i="36" l="1"/>
  <c r="D12" i="36"/>
  <c r="E12" i="36"/>
  <c r="C13" i="36"/>
  <c r="D13" i="36"/>
  <c r="E13" i="36"/>
  <c r="C14" i="36"/>
  <c r="D14" i="36"/>
  <c r="E14" i="36"/>
  <c r="B13" i="36"/>
  <c r="B14" i="36"/>
  <c r="C8" i="36"/>
  <c r="D8" i="36"/>
  <c r="E8" i="36"/>
  <c r="E48" i="36"/>
  <c r="E42" i="36" s="1"/>
  <c r="D48" i="36"/>
  <c r="D42" i="36" s="1"/>
  <c r="C48" i="36"/>
  <c r="C42" i="36" s="1"/>
  <c r="B48" i="36"/>
  <c r="B42" i="36" s="1"/>
  <c r="F42" i="36" s="1"/>
  <c r="F47" i="36"/>
  <c r="G47" i="36" s="1"/>
  <c r="F46" i="36"/>
  <c r="G46" i="36" s="1"/>
  <c r="F45" i="36"/>
  <c r="G45" i="36" s="1"/>
  <c r="E43" i="36"/>
  <c r="D43" i="36"/>
  <c r="C43" i="36"/>
  <c r="F41" i="36"/>
  <c r="E37" i="36"/>
  <c r="E31" i="36" s="1"/>
  <c r="D37" i="36"/>
  <c r="D31" i="36" s="1"/>
  <c r="C37" i="36"/>
  <c r="C31" i="36" s="1"/>
  <c r="B37" i="36"/>
  <c r="B31" i="36" s="1"/>
  <c r="F31" i="36" s="1"/>
  <c r="F36" i="36"/>
  <c r="G36" i="36" s="1"/>
  <c r="F35" i="36"/>
  <c r="G35" i="36" s="1"/>
  <c r="F34" i="36"/>
  <c r="G34" i="36" s="1"/>
  <c r="E32" i="36"/>
  <c r="D32" i="36"/>
  <c r="C32" i="36"/>
  <c r="F30" i="36"/>
  <c r="B32" i="36" l="1"/>
  <c r="B43" i="36"/>
  <c r="F32" i="36"/>
  <c r="F43" i="36"/>
  <c r="G37" i="36"/>
  <c r="G31" i="36" s="1"/>
  <c r="G48" i="36"/>
  <c r="G42" i="36" s="1"/>
  <c r="F37" i="36"/>
  <c r="F48" i="36"/>
  <c r="G30" i="36"/>
  <c r="G41" i="36"/>
  <c r="B8" i="36"/>
  <c r="B12" i="36"/>
  <c r="G43" i="36" l="1"/>
  <c r="G32" i="36"/>
  <c r="B15" i="36"/>
  <c r="B9" i="36" s="1"/>
  <c r="B10" i="36" l="1"/>
  <c r="B103" i="28" l="1"/>
  <c r="B97" i="28" l="1"/>
  <c r="B98" i="28" s="1"/>
  <c r="D15" i="36"/>
  <c r="D9" i="36" s="1"/>
  <c r="D10" i="36" s="1"/>
  <c r="C15" i="36" l="1"/>
  <c r="C9" i="36" s="1"/>
  <c r="C10" i="36" l="1"/>
  <c r="D29" i="29" l="1"/>
  <c r="D32" i="29" l="1"/>
  <c r="D31" i="29"/>
  <c r="D30" i="29" l="1"/>
  <c r="F13" i="36" l="1"/>
  <c r="F8" i="36"/>
  <c r="G8" i="36" l="1"/>
  <c r="F14" i="36" l="1"/>
  <c r="E15" i="36" l="1"/>
  <c r="E9" i="36" s="1"/>
  <c r="F12" i="36"/>
  <c r="F15" i="36" s="1"/>
  <c r="G12" i="36" l="1"/>
  <c r="F9" i="36"/>
  <c r="F10" i="36" s="1"/>
  <c r="E10" i="36"/>
  <c r="G14" i="36" l="1"/>
  <c r="G13" i="36"/>
  <c r="G15" i="36" l="1"/>
  <c r="G9" i="36" s="1"/>
  <c r="G10" i="36" s="1"/>
  <c r="F43" i="23"/>
  <c r="G40" i="29"/>
  <c r="F45" i="31"/>
  <c r="H40" i="29"/>
  <c r="G45" i="31"/>
  <c r="G43" i="23"/>
  <c r="I40" i="29"/>
  <c r="H45" i="31"/>
  <c r="H43" i="23"/>
  <c r="D43" i="23"/>
  <c r="E40" i="29"/>
  <c r="D45" i="31"/>
  <c r="E43" i="23"/>
  <c r="E45" i="31"/>
  <c r="F40" i="29"/>
  <c r="J40" i="29"/>
  <c r="I45" i="31"/>
  <c r="J45" i="31" l="1"/>
  <c r="K45" i="31"/>
  <c r="K40" i="29"/>
  <c r="L40" i="29"/>
  <c r="F118" i="28" l="1"/>
  <c r="G118" i="28" s="1"/>
  <c r="D125" i="28"/>
  <c r="D119" i="28" s="1"/>
  <c r="C125" i="28"/>
  <c r="C119" i="28" s="1"/>
  <c r="D120" i="28"/>
  <c r="B125" i="28" l="1"/>
  <c r="B119" i="28" s="1"/>
  <c r="F124" i="28"/>
  <c r="G124" i="28" s="1"/>
  <c r="F123" i="28"/>
  <c r="G123" i="28" s="1"/>
  <c r="F122" i="28"/>
  <c r="G122" i="28" s="1"/>
  <c r="C120" i="28"/>
  <c r="B92" i="28"/>
  <c r="B86" i="28" s="1"/>
  <c r="B120" i="28"/>
  <c r="E125" i="28"/>
  <c r="E119" i="28" s="1"/>
  <c r="E120" i="28" s="1"/>
  <c r="F119" i="28" l="1"/>
  <c r="B87" i="28"/>
  <c r="F125" i="28"/>
  <c r="G125" i="28"/>
  <c r="G119" i="28" s="1"/>
  <c r="G120" i="28" l="1"/>
  <c r="F120" i="28"/>
  <c r="E24" i="20" l="1"/>
  <c r="E23" i="20"/>
  <c r="E22" i="20"/>
  <c r="E21" i="20"/>
  <c r="B54" i="35"/>
  <c r="C54" i="35" s="1"/>
  <c r="M52" i="35"/>
  <c r="H37" i="35"/>
  <c r="G37" i="35"/>
  <c r="D37" i="35"/>
  <c r="C37" i="35"/>
  <c r="C43" i="35" s="1"/>
  <c r="F36" i="35"/>
  <c r="E36" i="35"/>
  <c r="D36" i="35"/>
  <c r="C36" i="35"/>
  <c r="C42" i="35" s="1"/>
  <c r="J35" i="35"/>
  <c r="D35" i="35"/>
  <c r="C35" i="35"/>
  <c r="C41" i="35" s="1"/>
  <c r="I34" i="35"/>
  <c r="E34" i="35"/>
  <c r="D34" i="35"/>
  <c r="C34" i="35"/>
  <c r="C40" i="35" s="1"/>
  <c r="F37" i="35"/>
  <c r="J37" i="35"/>
  <c r="I37" i="35"/>
  <c r="G7" i="35"/>
  <c r="J36" i="35"/>
  <c r="I36" i="35"/>
  <c r="H36" i="35"/>
  <c r="G36" i="35"/>
  <c r="G6" i="35"/>
  <c r="G5" i="35"/>
  <c r="I35" i="35"/>
  <c r="H35" i="35"/>
  <c r="G35" i="35"/>
  <c r="F35" i="35"/>
  <c r="E35" i="35"/>
  <c r="J34" i="35"/>
  <c r="H34" i="35"/>
  <c r="G34" i="35"/>
  <c r="F34" i="35"/>
  <c r="I7" i="35"/>
  <c r="I6" i="35"/>
  <c r="I5" i="35"/>
  <c r="I4" i="35"/>
  <c r="E49" i="35" l="1"/>
  <c r="I8" i="35"/>
  <c r="E48" i="35"/>
  <c r="D41" i="35"/>
  <c r="E41" i="35" s="1"/>
  <c r="E47" i="35"/>
  <c r="D40" i="35"/>
  <c r="E40" i="35" s="1"/>
  <c r="D43" i="35"/>
  <c r="D42" i="35"/>
  <c r="E42" i="35" s="1"/>
  <c r="E37" i="35"/>
  <c r="G4" i="35"/>
  <c r="E50" i="35" l="1"/>
  <c r="E54" i="35" s="1"/>
  <c r="E43" i="35"/>
  <c r="F42" i="35"/>
  <c r="F49" i="35"/>
  <c r="G8" i="35"/>
  <c r="F48" i="35"/>
  <c r="F41" i="35"/>
  <c r="F47" i="35"/>
  <c r="F40" i="35"/>
  <c r="E52" i="35"/>
  <c r="F43" i="35" l="1"/>
  <c r="F50" i="35"/>
  <c r="F52" i="35" s="1"/>
  <c r="G48" i="35"/>
  <c r="G41" i="35"/>
  <c r="G42" i="35"/>
  <c r="G49" i="35"/>
  <c r="E51" i="35"/>
  <c r="F54" i="35"/>
  <c r="G47" i="35"/>
  <c r="G40" i="35"/>
  <c r="G43" i="35" l="1"/>
  <c r="G50" i="35"/>
  <c r="G52" i="35" s="1"/>
  <c r="H42" i="35"/>
  <c r="H49" i="35"/>
  <c r="H47" i="35"/>
  <c r="H40" i="35"/>
  <c r="H48" i="35"/>
  <c r="H41" i="35"/>
  <c r="F51" i="35"/>
  <c r="G54" i="35"/>
  <c r="H43" i="35" l="1"/>
  <c r="H50" i="35"/>
  <c r="I43" i="35" s="1"/>
  <c r="H52" i="35"/>
  <c r="I48" i="35"/>
  <c r="I41" i="35"/>
  <c r="I47" i="35"/>
  <c r="I40" i="35"/>
  <c r="I42" i="35"/>
  <c r="I49" i="35"/>
  <c r="G51" i="35"/>
  <c r="H54" i="35"/>
  <c r="I50" i="35" l="1"/>
  <c r="J42" i="35"/>
  <c r="J49" i="35"/>
  <c r="J48" i="35"/>
  <c r="J41" i="35"/>
  <c r="H51" i="35"/>
  <c r="I54" i="35"/>
  <c r="J40" i="35"/>
  <c r="J47" i="35"/>
  <c r="I52" i="35"/>
  <c r="J43" i="35"/>
  <c r="J50" i="35"/>
  <c r="J52" i="35" l="1"/>
  <c r="I51" i="35"/>
  <c r="J54" i="35"/>
  <c r="J51" i="35" l="1"/>
  <c r="B14" i="28" l="1"/>
  <c r="B13" i="28"/>
  <c r="B12" i="28"/>
  <c r="B8" i="28"/>
  <c r="B15" i="28" l="1"/>
  <c r="B9" i="28" s="1"/>
  <c r="B59" i="28" l="1"/>
  <c r="B53" i="28" s="1"/>
  <c r="F58" i="28"/>
  <c r="F56" i="28"/>
  <c r="D59" i="28"/>
  <c r="D53" i="28" s="1"/>
  <c r="C59" i="28"/>
  <c r="C53" i="28" s="1"/>
  <c r="B54" i="28"/>
  <c r="G56" i="28" l="1"/>
  <c r="G58" i="28"/>
  <c r="D54" i="28"/>
  <c r="C54" i="28"/>
  <c r="F57" i="28"/>
  <c r="F52" i="28"/>
  <c r="E59" i="28"/>
  <c r="E53" i="28" s="1"/>
  <c r="F53" i="28" s="1"/>
  <c r="G57" i="28" l="1"/>
  <c r="G59" i="28" s="1"/>
  <c r="G53" i="28" s="1"/>
  <c r="G52" i="28"/>
  <c r="E54" i="28"/>
  <c r="F59" i="28"/>
  <c r="G54" i="28" l="1"/>
  <c r="F54" i="28"/>
  <c r="P33" i="16" l="1"/>
  <c r="P32" i="16"/>
  <c r="P31" i="16"/>
  <c r="P30" i="16"/>
  <c r="P27" i="16"/>
  <c r="P26" i="16"/>
  <c r="P25" i="16"/>
  <c r="P24" i="16"/>
  <c r="O29" i="31"/>
  <c r="O28" i="31"/>
  <c r="O27" i="31"/>
  <c r="O26" i="31"/>
  <c r="P17" i="22"/>
  <c r="P16" i="22"/>
  <c r="P15" i="22"/>
  <c r="P14" i="22"/>
  <c r="C34" i="31" l="1"/>
  <c r="C40" i="31" s="1"/>
  <c r="E46" i="24"/>
  <c r="F29" i="8"/>
  <c r="F45" i="16"/>
  <c r="J46" i="24"/>
  <c r="I46" i="24"/>
  <c r="H46" i="24"/>
  <c r="F46" i="24"/>
  <c r="K45" i="22"/>
  <c r="L45" i="22"/>
  <c r="G46" i="24"/>
  <c r="N24" i="16"/>
  <c r="L46" i="24" l="1"/>
  <c r="K46" i="24"/>
  <c r="G45" i="16"/>
  <c r="L11" i="16"/>
  <c r="E45" i="16"/>
  <c r="B54" i="22" l="1"/>
  <c r="C54" i="22" s="1"/>
  <c r="C34" i="22"/>
  <c r="C40" i="22" s="1"/>
  <c r="C35" i="22"/>
  <c r="C41" i="22" s="1"/>
  <c r="C36" i="22"/>
  <c r="C42" i="22" s="1"/>
  <c r="C37" i="22"/>
  <c r="C43" i="22" s="1"/>
  <c r="E34" i="22" l="1"/>
  <c r="E47" i="22" l="1"/>
  <c r="B13" i="8" l="1"/>
  <c r="B12" i="8"/>
  <c r="B11" i="8"/>
  <c r="B7" i="8"/>
  <c r="B81" i="8" l="1"/>
  <c r="B8" i="8" s="1"/>
  <c r="C7" i="8" l="1"/>
  <c r="C12" i="8"/>
  <c r="C13" i="8"/>
  <c r="D7" i="8" l="1"/>
  <c r="D13" i="8" l="1"/>
  <c r="D12" i="8"/>
  <c r="C81" i="8" l="1"/>
  <c r="C8" i="8" s="1"/>
  <c r="C11" i="8"/>
  <c r="D81" i="8"/>
  <c r="D8" i="8" s="1"/>
  <c r="D11" i="8"/>
  <c r="E11" i="8" l="1"/>
  <c r="E13" i="8" l="1"/>
  <c r="E12" i="8" l="1"/>
  <c r="E7" i="8" l="1"/>
  <c r="E81" i="8" l="1"/>
  <c r="E8" i="8" s="1"/>
  <c r="E87" i="8"/>
  <c r="D87" i="8"/>
  <c r="C87" i="8"/>
  <c r="B87" i="8"/>
  <c r="F86" i="8"/>
  <c r="F85" i="8"/>
  <c r="F84" i="8"/>
  <c r="D82" i="8"/>
  <c r="C82" i="8"/>
  <c r="B82" i="8"/>
  <c r="F80" i="8"/>
  <c r="F24" i="23" l="1"/>
  <c r="E24" i="23"/>
  <c r="D24" i="23"/>
  <c r="G80" i="8"/>
  <c r="F25" i="23"/>
  <c r="E25" i="23"/>
  <c r="D25" i="23"/>
  <c r="G84" i="8"/>
  <c r="F26" i="23"/>
  <c r="E26" i="23"/>
  <c r="D26" i="23"/>
  <c r="G85" i="8"/>
  <c r="D27" i="23"/>
  <c r="F27" i="23"/>
  <c r="E27" i="23"/>
  <c r="G86" i="8"/>
  <c r="O27" i="23"/>
  <c r="O25" i="23"/>
  <c r="E82" i="8"/>
  <c r="F81" i="8"/>
  <c r="F82" i="8" s="1"/>
  <c r="F87" i="8"/>
  <c r="O24" i="23" l="1"/>
  <c r="O26" i="23"/>
  <c r="G87" i="8"/>
  <c r="G81" i="8"/>
  <c r="G82" i="8" l="1"/>
  <c r="F15" i="5" l="1"/>
  <c r="F14" i="5"/>
  <c r="F13" i="5"/>
  <c r="F12" i="5"/>
  <c r="G15" i="16" l="1"/>
  <c r="B81" i="28" l="1"/>
  <c r="B75" i="28" s="1"/>
  <c r="B76" i="28" s="1"/>
  <c r="E70" i="28"/>
  <c r="E64" i="28" s="1"/>
  <c r="D70" i="28"/>
  <c r="D64" i="28" s="1"/>
  <c r="C70" i="28"/>
  <c r="C64" i="28" s="1"/>
  <c r="C65" i="28" s="1"/>
  <c r="B70" i="28"/>
  <c r="B64" i="28" s="1"/>
  <c r="F69" i="28"/>
  <c r="G69" i="28" s="1"/>
  <c r="F68" i="28"/>
  <c r="G68" i="28" s="1"/>
  <c r="F67" i="28"/>
  <c r="G67" i="28" s="1"/>
  <c r="E65" i="28"/>
  <c r="D65" i="28"/>
  <c r="F63" i="28"/>
  <c r="G63" i="28" s="1"/>
  <c r="F64" i="28" l="1"/>
  <c r="F65" i="28" s="1"/>
  <c r="B65" i="28"/>
  <c r="F70" i="28"/>
  <c r="G70" i="28" l="1"/>
  <c r="G64" i="28" s="1"/>
  <c r="G65" i="28" s="1"/>
  <c r="E6" i="31"/>
  <c r="E5" i="31"/>
  <c r="I36" i="31"/>
  <c r="H36" i="31"/>
  <c r="G36" i="31"/>
  <c r="F36" i="31"/>
  <c r="E36" i="31"/>
  <c r="D36" i="31"/>
  <c r="C36" i="31"/>
  <c r="I35" i="31"/>
  <c r="H35" i="31"/>
  <c r="G35" i="31"/>
  <c r="F35" i="31"/>
  <c r="E35" i="31"/>
  <c r="D35" i="31"/>
  <c r="C35" i="31"/>
  <c r="D77" i="8" l="1"/>
  <c r="C77" i="8"/>
  <c r="B77" i="8"/>
  <c r="F76" i="8"/>
  <c r="F75" i="8"/>
  <c r="F74" i="8"/>
  <c r="D72" i="8"/>
  <c r="C72" i="8"/>
  <c r="B72" i="8"/>
  <c r="F70" i="8"/>
  <c r="G76" i="8" l="1"/>
  <c r="G70" i="8"/>
  <c r="G74" i="8"/>
  <c r="G75" i="8"/>
  <c r="E77" i="8"/>
  <c r="F77" i="8"/>
  <c r="E72" i="8"/>
  <c r="F71" i="8" l="1"/>
  <c r="F72" i="8" s="1"/>
  <c r="G71" i="8"/>
  <c r="G72" i="8" s="1"/>
  <c r="G77" i="8"/>
  <c r="C11" i="30" l="1"/>
  <c r="I37" i="31"/>
  <c r="H37" i="31"/>
  <c r="G37" i="31"/>
  <c r="F37" i="31"/>
  <c r="E37" i="31"/>
  <c r="D37" i="31"/>
  <c r="C37" i="31"/>
  <c r="I34" i="31"/>
  <c r="H34" i="31"/>
  <c r="G34" i="31"/>
  <c r="F34" i="31"/>
  <c r="E34" i="31"/>
  <c r="D34" i="31"/>
  <c r="K17" i="31"/>
  <c r="J17" i="31"/>
  <c r="O17" i="31" s="1"/>
  <c r="I17" i="31"/>
  <c r="H17" i="31"/>
  <c r="G17" i="31"/>
  <c r="F17" i="31"/>
  <c r="E17" i="31"/>
  <c r="D17" i="31"/>
  <c r="E7" i="31"/>
  <c r="E4" i="31"/>
  <c r="E10" i="30"/>
  <c r="D11" i="30"/>
  <c r="B7" i="30" s="1"/>
  <c r="B11" i="30"/>
  <c r="B5" i="30" s="1"/>
  <c r="B6" i="30" l="1"/>
  <c r="C12" i="30"/>
  <c r="B12" i="30"/>
  <c r="D12" i="30"/>
  <c r="E8" i="31"/>
  <c r="E9" i="30"/>
  <c r="E11" i="30" l="1"/>
  <c r="E12" i="30" s="1"/>
  <c r="G4" i="31" l="1"/>
  <c r="D40" i="31"/>
  <c r="D67" i="8" l="1"/>
  <c r="C67" i="8"/>
  <c r="B67" i="8"/>
  <c r="F66" i="8"/>
  <c r="G66" i="8" s="1"/>
  <c r="F65" i="8"/>
  <c r="G65" i="8" s="1"/>
  <c r="D62" i="8"/>
  <c r="C62" i="8"/>
  <c r="B62" i="8"/>
  <c r="F60" i="8"/>
  <c r="G60" i="8" s="1"/>
  <c r="E67" i="8" l="1"/>
  <c r="E62" i="8"/>
  <c r="F64" i="8"/>
  <c r="G64" i="8" s="1"/>
  <c r="F61" i="8" l="1"/>
  <c r="F62" i="8" s="1"/>
  <c r="F67" i="8"/>
  <c r="G61" i="8" l="1"/>
  <c r="G62" i="8" s="1"/>
  <c r="G67" i="8"/>
  <c r="D47" i="31" l="1"/>
  <c r="H7" i="29" l="1"/>
  <c r="H6" i="29"/>
  <c r="H5" i="29"/>
  <c r="B49" i="29"/>
  <c r="C49" i="29" s="1"/>
  <c r="C32" i="29"/>
  <c r="C38" i="29" s="1"/>
  <c r="C31" i="29"/>
  <c r="C37" i="29" s="1"/>
  <c r="C30" i="29"/>
  <c r="C36" i="29" s="1"/>
  <c r="C29" i="29"/>
  <c r="C35" i="29" s="1"/>
  <c r="H4" i="29"/>
  <c r="E40" i="31" l="1"/>
  <c r="E47" i="31"/>
  <c r="H8" i="29"/>
  <c r="F47" i="31" l="1"/>
  <c r="F40" i="31"/>
  <c r="G47" i="31" l="1"/>
  <c r="G40" i="31"/>
  <c r="H47" i="31" l="1"/>
  <c r="H40" i="31"/>
  <c r="I40" i="31" l="1"/>
  <c r="I47" i="31"/>
  <c r="B52" i="8" l="1"/>
  <c r="B57" i="8"/>
  <c r="F56" i="8"/>
  <c r="G56" i="8" s="1"/>
  <c r="F55" i="8"/>
  <c r="G55" i="8" s="1"/>
  <c r="E57" i="8"/>
  <c r="D57" i="8"/>
  <c r="F54" i="8"/>
  <c r="G54" i="8" s="1"/>
  <c r="D52" i="8"/>
  <c r="G51" i="8" l="1"/>
  <c r="F57" i="8"/>
  <c r="C57" i="8"/>
  <c r="F50" i="8"/>
  <c r="G50" i="8" s="1"/>
  <c r="E52" i="8" l="1"/>
  <c r="G57" i="8"/>
  <c r="F51" i="8"/>
  <c r="F52" i="8" s="1"/>
  <c r="C52" i="8"/>
  <c r="G52" i="8" l="1"/>
  <c r="B15" i="30" l="1"/>
  <c r="B16" i="30"/>
  <c r="C17" i="30" l="1"/>
  <c r="B14" i="30"/>
  <c r="B17" i="30" l="1"/>
  <c r="C42" i="31"/>
  <c r="G6" i="31"/>
  <c r="C43" i="31"/>
  <c r="G7" i="31"/>
  <c r="D43" i="31" l="1"/>
  <c r="D50" i="31"/>
  <c r="D42" i="31"/>
  <c r="D49" i="31"/>
  <c r="G5" i="31"/>
  <c r="C41" i="31"/>
  <c r="B54" i="31"/>
  <c r="C54" i="31" s="1"/>
  <c r="E43" i="31" l="1"/>
  <c r="D41" i="31"/>
  <c r="D48" i="31"/>
  <c r="G8" i="31"/>
  <c r="E49" i="31"/>
  <c r="E42" i="31"/>
  <c r="E50" i="31"/>
  <c r="F43" i="31" l="1"/>
  <c r="F50" i="31"/>
  <c r="E48" i="31"/>
  <c r="E52" i="31" s="1"/>
  <c r="D52" i="31"/>
  <c r="E41" i="31"/>
  <c r="F49" i="31"/>
  <c r="F42" i="31"/>
  <c r="D54" i="31"/>
  <c r="G43" i="31" l="1"/>
  <c r="G49" i="31"/>
  <c r="G50" i="31"/>
  <c r="G42" i="31"/>
  <c r="F41" i="31"/>
  <c r="F48" i="31"/>
  <c r="F52" i="31" s="1"/>
  <c r="D51" i="31"/>
  <c r="E54" i="31"/>
  <c r="H43" i="31" l="1"/>
  <c r="G48" i="31"/>
  <c r="G52" i="31" s="1"/>
  <c r="H50" i="31"/>
  <c r="G41" i="31"/>
  <c r="H42" i="31"/>
  <c r="H49" i="31"/>
  <c r="F54" i="31"/>
  <c r="E51" i="31"/>
  <c r="I43" i="31" l="1"/>
  <c r="I50" i="31"/>
  <c r="I42" i="31"/>
  <c r="I49" i="31"/>
  <c r="H41" i="31"/>
  <c r="H48" i="31"/>
  <c r="H52" i="31" s="1"/>
  <c r="G54" i="31"/>
  <c r="F51" i="31"/>
  <c r="H54" i="31" l="1"/>
  <c r="G51" i="31"/>
  <c r="I41" i="31"/>
  <c r="I48" i="31"/>
  <c r="I52" i="31" s="1"/>
  <c r="H51" i="31" l="1"/>
  <c r="I54" i="31"/>
  <c r="I51" i="31" l="1"/>
  <c r="B48" i="28"/>
  <c r="B42" i="28" s="1"/>
  <c r="B43" i="28" s="1"/>
  <c r="F47" i="28"/>
  <c r="E48" i="28"/>
  <c r="E42" i="28" s="1"/>
  <c r="E43" i="28" s="1"/>
  <c r="D48" i="28"/>
  <c r="D42" i="28" s="1"/>
  <c r="D43" i="28" s="1"/>
  <c r="F45" i="28"/>
  <c r="E37" i="28"/>
  <c r="E31" i="28" s="1"/>
  <c r="E32" i="28" s="1"/>
  <c r="D37" i="28"/>
  <c r="D31" i="28" s="1"/>
  <c r="F31" i="28" s="1"/>
  <c r="F36" i="28"/>
  <c r="F35" i="28"/>
  <c r="F34" i="28"/>
  <c r="C37" i="28"/>
  <c r="C31" i="28" s="1"/>
  <c r="B37" i="28"/>
  <c r="B31" i="28" s="1"/>
  <c r="C32" i="28"/>
  <c r="B32" i="28"/>
  <c r="E26" i="28"/>
  <c r="E20" i="28" s="1"/>
  <c r="D26" i="28"/>
  <c r="D20" i="28" s="1"/>
  <c r="D21" i="28"/>
  <c r="D32" i="28" l="1"/>
  <c r="G45" i="28"/>
  <c r="G47" i="28"/>
  <c r="G34" i="28"/>
  <c r="G35" i="28"/>
  <c r="G36" i="28"/>
  <c r="B26" i="28"/>
  <c r="B20" i="28" s="1"/>
  <c r="F37" i="28"/>
  <c r="F19" i="28"/>
  <c r="F24" i="28"/>
  <c r="F46" i="28"/>
  <c r="C48" i="28"/>
  <c r="C42" i="28" s="1"/>
  <c r="C43" i="28" s="1"/>
  <c r="C26" i="28"/>
  <c r="C20" i="28" s="1"/>
  <c r="C21" i="28" s="1"/>
  <c r="F25" i="28"/>
  <c r="F23" i="28"/>
  <c r="F30" i="28"/>
  <c r="F41" i="28"/>
  <c r="F42" i="28" l="1"/>
  <c r="F43" i="28" s="1"/>
  <c r="F20" i="28"/>
  <c r="G46" i="28"/>
  <c r="G41" i="28"/>
  <c r="B10" i="28"/>
  <c r="G30" i="28"/>
  <c r="G37" i="28"/>
  <c r="G31" i="28" s="1"/>
  <c r="B21" i="28"/>
  <c r="G25" i="28"/>
  <c r="G19" i="28"/>
  <c r="G24" i="28"/>
  <c r="G23" i="28"/>
  <c r="F26" i="28"/>
  <c r="E21" i="28"/>
  <c r="F48" i="28"/>
  <c r="F32" i="28"/>
  <c r="G32" i="28" l="1"/>
  <c r="G48" i="28"/>
  <c r="G42" i="28" s="1"/>
  <c r="G43" i="28" s="1"/>
  <c r="F21" i="28"/>
  <c r="G26" i="28"/>
  <c r="G20" i="28" s="1"/>
  <c r="G21" i="28" s="1"/>
  <c r="D37" i="22" l="1"/>
  <c r="D36" i="22"/>
  <c r="D35" i="22"/>
  <c r="D34" i="22"/>
  <c r="B42" i="8" l="1"/>
  <c r="B47" i="8" l="1"/>
  <c r="C14" i="8" l="1"/>
  <c r="D14" i="8" l="1"/>
  <c r="D47" i="8" l="1"/>
  <c r="C9" i="8"/>
  <c r="C47" i="8"/>
  <c r="D42" i="8" l="1"/>
  <c r="D9" i="8"/>
  <c r="C42" i="8"/>
  <c r="F44" i="8" l="1"/>
  <c r="G44" i="8" s="1"/>
  <c r="E14" i="8" l="1"/>
  <c r="F46" i="8" l="1"/>
  <c r="G46" i="8" s="1"/>
  <c r="F40" i="8" l="1"/>
  <c r="G40" i="8" s="1"/>
  <c r="F45" i="8" l="1"/>
  <c r="G45" i="8" s="1"/>
  <c r="E47" i="8"/>
  <c r="E9" i="8"/>
  <c r="F41" i="8" l="1"/>
  <c r="G41" i="8" s="1"/>
  <c r="E42" i="8"/>
  <c r="F47" i="8"/>
  <c r="G47" i="8" l="1"/>
  <c r="F42" i="8"/>
  <c r="G42" i="8" l="1"/>
  <c r="A2" i="20" l="1"/>
  <c r="B14" i="8" l="1"/>
  <c r="B31" i="8"/>
  <c r="B9" i="8" l="1"/>
  <c r="G5" i="23" l="1"/>
  <c r="B52" i="23" l="1"/>
  <c r="B55" i="24"/>
  <c r="D39" i="16" l="1"/>
  <c r="C39" i="16"/>
  <c r="E25" i="8" l="1"/>
  <c r="B25" i="8"/>
  <c r="D25" i="8"/>
  <c r="E20" i="8"/>
  <c r="F23" i="8"/>
  <c r="G23" i="8" s="1"/>
  <c r="F19" i="8"/>
  <c r="G19" i="8" s="1"/>
  <c r="B20" i="8"/>
  <c r="C20" i="8"/>
  <c r="F22" i="8"/>
  <c r="G22" i="8" s="1"/>
  <c r="D20" i="8"/>
  <c r="C25" i="8"/>
  <c r="F24" i="8"/>
  <c r="G24" i="8" s="1"/>
  <c r="F18" i="8"/>
  <c r="G18" i="8" s="1"/>
  <c r="F25" i="8" l="1"/>
  <c r="F20" i="8"/>
  <c r="G20" i="8" l="1"/>
  <c r="G25" i="8"/>
  <c r="G5" i="16" l="1"/>
  <c r="I6" i="24" l="1"/>
  <c r="I5" i="24"/>
  <c r="C38" i="24" l="1"/>
  <c r="C44" i="24" s="1"/>
  <c r="C37" i="24"/>
  <c r="C43" i="24" s="1"/>
  <c r="C36" i="24"/>
  <c r="C42" i="24" s="1"/>
  <c r="C35" i="24"/>
  <c r="F15" i="16" l="1"/>
  <c r="H15" i="16" l="1"/>
  <c r="I15" i="16" l="1"/>
  <c r="J15" i="16" l="1"/>
  <c r="K15" i="16" l="1"/>
  <c r="L15" i="16" l="1"/>
  <c r="P15" i="16" s="1"/>
  <c r="N26" i="16" l="1"/>
  <c r="N25" i="16"/>
  <c r="J39" i="16" l="1"/>
  <c r="I39" i="16"/>
  <c r="H39" i="16"/>
  <c r="I6" i="22" l="1"/>
  <c r="I5" i="22"/>
  <c r="I36" i="22" l="1"/>
  <c r="H36" i="22"/>
  <c r="G36" i="22"/>
  <c r="F36" i="22"/>
  <c r="E36" i="22"/>
  <c r="D42" i="22"/>
  <c r="I35" i="22"/>
  <c r="H35" i="22"/>
  <c r="G35" i="22"/>
  <c r="F35" i="22"/>
  <c r="E35" i="22"/>
  <c r="D41" i="22"/>
  <c r="E41" i="22" l="1"/>
  <c r="E42" i="22"/>
  <c r="C34" i="23"/>
  <c r="C40" i="23" s="1"/>
  <c r="C33" i="23"/>
  <c r="C39" i="23" s="1"/>
  <c r="G39" i="16" l="1"/>
  <c r="F39" i="16"/>
  <c r="E39" i="16"/>
  <c r="E15" i="16" l="1"/>
  <c r="N27" i="16" l="1"/>
  <c r="F5" i="16" s="1"/>
  <c r="C55" i="24" l="1"/>
  <c r="C41" i="24"/>
  <c r="I7" i="24"/>
  <c r="I4" i="24"/>
  <c r="I8" i="24" l="1"/>
  <c r="C52" i="23" l="1"/>
  <c r="C35" i="23"/>
  <c r="C41" i="23" s="1"/>
  <c r="C32" i="23"/>
  <c r="C38" i="23" s="1"/>
  <c r="G4" i="23"/>
  <c r="G6" i="23" s="1"/>
  <c r="C38" i="16"/>
  <c r="M52" i="22"/>
  <c r="D43" i="22"/>
  <c r="H37" i="22"/>
  <c r="G37" i="22"/>
  <c r="G34" i="22"/>
  <c r="F34" i="22"/>
  <c r="I7" i="22"/>
  <c r="I4" i="22"/>
  <c r="I8" i="22" l="1"/>
  <c r="H34" i="22"/>
  <c r="I34" i="22"/>
  <c r="F37" i="22"/>
  <c r="I37" i="22"/>
  <c r="J11" i="23"/>
  <c r="E37" i="22"/>
  <c r="D40" i="22"/>
  <c r="E43" i="22" l="1"/>
  <c r="E40" i="22"/>
  <c r="D38" i="16" l="1"/>
  <c r="D15" i="16"/>
  <c r="B52" i="16" l="1"/>
  <c r="E49" i="22" l="1"/>
  <c r="E48" i="22"/>
  <c r="E50" i="22"/>
  <c r="C52" i="16"/>
  <c r="D52" i="16" s="1"/>
  <c r="E52" i="22" l="1"/>
  <c r="E54" i="22"/>
  <c r="E51" i="22" s="1"/>
  <c r="F42" i="22"/>
  <c r="F49" i="22"/>
  <c r="F41" i="22"/>
  <c r="F48" i="22"/>
  <c r="F47" i="22"/>
  <c r="F40" i="22"/>
  <c r="F50" i="22"/>
  <c r="F43" i="22"/>
  <c r="F54" i="22" l="1"/>
  <c r="F51" i="22" s="1"/>
  <c r="G42" i="22"/>
  <c r="G41" i="22"/>
  <c r="G48" i="22"/>
  <c r="G49" i="22"/>
  <c r="G47" i="22"/>
  <c r="G40" i="22"/>
  <c r="F52" i="22"/>
  <c r="G43" i="22"/>
  <c r="G50" i="22"/>
  <c r="H49" i="22" l="1"/>
  <c r="G54" i="22"/>
  <c r="G51" i="22" s="1"/>
  <c r="H42" i="22"/>
  <c r="H41" i="22"/>
  <c r="H48" i="22"/>
  <c r="H50" i="22"/>
  <c r="H43" i="22"/>
  <c r="H40" i="22"/>
  <c r="H47" i="22"/>
  <c r="G52" i="22"/>
  <c r="H54" i="22" l="1"/>
  <c r="H51" i="22" s="1"/>
  <c r="I48" i="22"/>
  <c r="I41" i="22"/>
  <c r="I42" i="22"/>
  <c r="I49" i="22"/>
  <c r="I40" i="22"/>
  <c r="I47" i="22"/>
  <c r="H52" i="22"/>
  <c r="I50" i="22"/>
  <c r="I43" i="22"/>
  <c r="C43" i="16"/>
  <c r="D43" i="16" s="1"/>
  <c r="E43" i="16" s="1"/>
  <c r="C42" i="16"/>
  <c r="D42" i="16" s="1"/>
  <c r="I5" i="16"/>
  <c r="I4" i="16"/>
  <c r="I6" i="16" l="1"/>
  <c r="I54" i="22"/>
  <c r="I51" i="22" s="1"/>
  <c r="I52" i="22"/>
  <c r="E5" i="20" l="1"/>
  <c r="E38" i="16" l="1"/>
  <c r="F38" i="16" l="1"/>
  <c r="E47" i="16"/>
  <c r="E42" i="16"/>
  <c r="F47" i="16" l="1"/>
  <c r="F42" i="16"/>
  <c r="G38" i="16"/>
  <c r="E48" i="16"/>
  <c r="G42" i="16" l="1"/>
  <c r="E52" i="16"/>
  <c r="E49" i="16" s="1"/>
  <c r="F43" i="16"/>
  <c r="E50" i="16"/>
  <c r="H38" i="16"/>
  <c r="G47" i="16"/>
  <c r="F48" i="16"/>
  <c r="F52" i="16" s="1"/>
  <c r="F4" i="16"/>
  <c r="G43" i="16" l="1"/>
  <c r="F49" i="16"/>
  <c r="H47" i="16"/>
  <c r="H42" i="16"/>
  <c r="F6" i="16"/>
  <c r="I38" i="16"/>
  <c r="F50" i="16"/>
  <c r="G48" i="16"/>
  <c r="G50" i="16" s="1"/>
  <c r="H43" i="16" l="1"/>
  <c r="G52" i="16"/>
  <c r="G49" i="16" s="1"/>
  <c r="H48" i="16"/>
  <c r="H50" i="16" s="1"/>
  <c r="J38" i="16"/>
  <c r="I47" i="16"/>
  <c r="I42" i="16"/>
  <c r="G4" i="16"/>
  <c r="I43" i="16" l="1"/>
  <c r="I48" i="16"/>
  <c r="I50" i="16" s="1"/>
  <c r="H52" i="16"/>
  <c r="H49" i="16" s="1"/>
  <c r="J42" i="16"/>
  <c r="J47" i="16"/>
  <c r="J43" i="16" l="1"/>
  <c r="G6" i="16"/>
  <c r="J48" i="16"/>
  <c r="J50" i="16" s="1"/>
  <c r="I52" i="16"/>
  <c r="I49" i="16" s="1"/>
  <c r="J52" i="16" l="1"/>
  <c r="J49" i="16" l="1"/>
  <c r="J37" i="22" l="1"/>
  <c r="J36" i="22" l="1"/>
  <c r="J43" i="22"/>
  <c r="J50" i="22"/>
  <c r="J34" i="22"/>
  <c r="J47" i="22" l="1"/>
  <c r="J40" i="22"/>
  <c r="J42" i="22"/>
  <c r="J49" i="22"/>
  <c r="J35" i="22" l="1"/>
  <c r="J48" i="22" l="1"/>
  <c r="J54" i="22" s="1"/>
  <c r="J41" i="22"/>
  <c r="J52" i="22" l="1"/>
  <c r="J51" i="22"/>
  <c r="G4" i="22" l="1"/>
  <c r="G7" i="22" l="1"/>
  <c r="G6" i="22"/>
  <c r="G5" i="22" l="1"/>
  <c r="G8" i="22" l="1"/>
  <c r="B36" i="8" l="1"/>
  <c r="C31" i="8" l="1"/>
  <c r="C36" i="8"/>
  <c r="D36" i="8" l="1"/>
  <c r="D31" i="8"/>
  <c r="F33" i="8" l="1"/>
  <c r="F12" i="8"/>
  <c r="F34" i="8"/>
  <c r="E36" i="8"/>
  <c r="G34" i="8" l="1"/>
  <c r="G12" i="8" s="1"/>
  <c r="E34" i="23"/>
  <c r="F34" i="23"/>
  <c r="D34" i="23"/>
  <c r="G33" i="8"/>
  <c r="G11" i="8" s="1"/>
  <c r="F33" i="23"/>
  <c r="E33" i="23"/>
  <c r="D33" i="23"/>
  <c r="F13" i="8"/>
  <c r="F35" i="8"/>
  <c r="F11" i="8"/>
  <c r="E35" i="23" l="1"/>
  <c r="F35" i="23"/>
  <c r="G35" i="8"/>
  <c r="G13" i="8" s="1"/>
  <c r="D35" i="23"/>
  <c r="D40" i="23"/>
  <c r="D47" i="23"/>
  <c r="D39" i="23"/>
  <c r="D46" i="23"/>
  <c r="I33" i="23"/>
  <c r="H33" i="23"/>
  <c r="G34" i="23"/>
  <c r="H34" i="23"/>
  <c r="I34" i="23"/>
  <c r="G33" i="23"/>
  <c r="F14" i="8"/>
  <c r="F36" i="8"/>
  <c r="D41" i="23" l="1"/>
  <c r="D48" i="23"/>
  <c r="E39" i="23"/>
  <c r="E46" i="23"/>
  <c r="E47" i="23"/>
  <c r="E40" i="23"/>
  <c r="H35" i="23"/>
  <c r="G35" i="23"/>
  <c r="I35" i="23"/>
  <c r="G36" i="8"/>
  <c r="G14" i="8"/>
  <c r="F47" i="23" l="1"/>
  <c r="F40" i="23"/>
  <c r="F39" i="23"/>
  <c r="F46" i="23"/>
  <c r="E48" i="23"/>
  <c r="E41" i="23"/>
  <c r="E5" i="23"/>
  <c r="E31" i="8"/>
  <c r="F8" i="8"/>
  <c r="F30" i="8"/>
  <c r="G30" i="8" s="1"/>
  <c r="G8" i="8" s="1"/>
  <c r="D15" i="23" l="1"/>
  <c r="G29" i="8"/>
  <c r="G7" i="8" s="1"/>
  <c r="G39" i="23"/>
  <c r="G46" i="23"/>
  <c r="G40" i="23"/>
  <c r="G47" i="23"/>
  <c r="F41" i="23"/>
  <c r="F48" i="23"/>
  <c r="F31" i="8"/>
  <c r="F7" i="8"/>
  <c r="F9" i="8" s="1"/>
  <c r="E15" i="23" l="1"/>
  <c r="E32" i="23"/>
  <c r="G48" i="23"/>
  <c r="G41" i="23"/>
  <c r="H15" i="23"/>
  <c r="D32" i="23"/>
  <c r="H47" i="23"/>
  <c r="H40" i="23"/>
  <c r="F32" i="23"/>
  <c r="F15" i="23"/>
  <c r="I32" i="23"/>
  <c r="H46" i="23"/>
  <c r="H39" i="23"/>
  <c r="G15" i="23"/>
  <c r="G32" i="23"/>
  <c r="G31" i="8"/>
  <c r="O15" i="23" l="1"/>
  <c r="H41" i="23"/>
  <c r="H48" i="23"/>
  <c r="H32" i="23"/>
  <c r="I15" i="23"/>
  <c r="E4" i="23"/>
  <c r="E6" i="23" s="1"/>
  <c r="I39" i="23"/>
  <c r="I46" i="23"/>
  <c r="D38" i="23"/>
  <c r="D45" i="23"/>
  <c r="D50" i="23" s="1"/>
  <c r="I40" i="23"/>
  <c r="I47" i="23"/>
  <c r="G9" i="8"/>
  <c r="D52" i="23" l="1"/>
  <c r="D49" i="23" s="1"/>
  <c r="E45" i="23"/>
  <c r="E38" i="23"/>
  <c r="I48" i="23"/>
  <c r="I41" i="23"/>
  <c r="F45" i="23" l="1"/>
  <c r="F38" i="23"/>
  <c r="E50" i="23"/>
  <c r="E52" i="23"/>
  <c r="E49" i="23" s="1"/>
  <c r="G45" i="23" l="1"/>
  <c r="G38" i="23"/>
  <c r="F50" i="23"/>
  <c r="F52" i="23"/>
  <c r="F49" i="23" s="1"/>
  <c r="H38" i="23" l="1"/>
  <c r="H45" i="23"/>
  <c r="G50" i="23"/>
  <c r="G52" i="23"/>
  <c r="G49" i="23" s="1"/>
  <c r="H50" i="23" l="1"/>
  <c r="H52" i="23"/>
  <c r="H49" i="23" s="1"/>
  <c r="I45" i="23"/>
  <c r="I38" i="23"/>
  <c r="I50" i="23" l="1"/>
  <c r="I52" i="23"/>
  <c r="I49" i="23" l="1"/>
  <c r="B5" i="20" l="1"/>
  <c r="B7" i="20" l="1"/>
  <c r="B8" i="20" l="1"/>
  <c r="E7" i="20"/>
  <c r="E6" i="20"/>
  <c r="E8" i="20"/>
  <c r="B6" i="20" l="1"/>
  <c r="D37" i="24" l="1"/>
  <c r="D43" i="24" s="1"/>
  <c r="D38" i="24"/>
  <c r="D44" i="24" s="1"/>
  <c r="D35" i="24" l="1"/>
  <c r="D41" i="24" s="1"/>
  <c r="E35" i="24"/>
  <c r="D36" i="24"/>
  <c r="D42" i="24" s="1"/>
  <c r="F35" i="24" l="1"/>
  <c r="D55" i="24"/>
  <c r="E37" i="24"/>
  <c r="F37" i="24"/>
  <c r="E38" i="24"/>
  <c r="E41" i="24"/>
  <c r="E48" i="24"/>
  <c r="F38" i="24"/>
  <c r="F36" i="24"/>
  <c r="E51" i="24" l="1"/>
  <c r="E44" i="24"/>
  <c r="G38" i="24"/>
  <c r="E36" i="24"/>
  <c r="E12" i="24"/>
  <c r="E43" i="24"/>
  <c r="E50" i="24"/>
  <c r="F12" i="24"/>
  <c r="G37" i="24"/>
  <c r="F41" i="24"/>
  <c r="F48" i="24"/>
  <c r="G36" i="24"/>
  <c r="H35" i="24" l="1"/>
  <c r="G35" i="24"/>
  <c r="G48" i="24" s="1"/>
  <c r="G12" i="24"/>
  <c r="F44" i="24"/>
  <c r="F51" i="24"/>
  <c r="F50" i="24"/>
  <c r="F43" i="24"/>
  <c r="E42" i="24"/>
  <c r="E49" i="24"/>
  <c r="H37" i="24"/>
  <c r="H38" i="24" l="1"/>
  <c r="G44" i="24"/>
  <c r="G51" i="24"/>
  <c r="F49" i="24"/>
  <c r="F42" i="24"/>
  <c r="I38" i="24"/>
  <c r="G50" i="24"/>
  <c r="G43" i="24"/>
  <c r="E53" i="24"/>
  <c r="J38" i="24"/>
  <c r="I37" i="24"/>
  <c r="G41" i="24"/>
  <c r="E55" i="24"/>
  <c r="E52" i="24" s="1"/>
  <c r="H36" i="24" l="1"/>
  <c r="H12" i="24"/>
  <c r="H51" i="24"/>
  <c r="H44" i="24"/>
  <c r="H48" i="24"/>
  <c r="H41" i="24"/>
  <c r="I35" i="24"/>
  <c r="G49" i="24"/>
  <c r="G42" i="24"/>
  <c r="J37" i="24"/>
  <c r="F53" i="24"/>
  <c r="F55" i="24"/>
  <c r="F52" i="24" s="1"/>
  <c r="I36" i="24"/>
  <c r="H43" i="24"/>
  <c r="H50" i="24"/>
  <c r="N23" i="24" l="1"/>
  <c r="F6" i="24" s="1"/>
  <c r="N22" i="24"/>
  <c r="F5" i="24" s="1"/>
  <c r="P27" i="24"/>
  <c r="N24" i="24"/>
  <c r="F7" i="24" s="1"/>
  <c r="I12" i="24"/>
  <c r="J36" i="24"/>
  <c r="I48" i="24"/>
  <c r="I41" i="24"/>
  <c r="I43" i="24"/>
  <c r="I50" i="24"/>
  <c r="H42" i="24"/>
  <c r="H49" i="24"/>
  <c r="G55" i="24"/>
  <c r="G52" i="24" s="1"/>
  <c r="G53" i="24"/>
  <c r="I44" i="24"/>
  <c r="I51" i="24"/>
  <c r="P22" i="24"/>
  <c r="P23" i="24"/>
  <c r="N21" i="24"/>
  <c r="F4" i="24" s="1"/>
  <c r="P24" i="24" l="1"/>
  <c r="P21" i="24"/>
  <c r="G4" i="24"/>
  <c r="F8" i="24"/>
  <c r="H55" i="24"/>
  <c r="H52" i="24" s="1"/>
  <c r="H53" i="24"/>
  <c r="J51" i="24"/>
  <c r="J44" i="24"/>
  <c r="I49" i="24"/>
  <c r="I53" i="24" s="1"/>
  <c r="I42" i="24"/>
  <c r="P30" i="24"/>
  <c r="J35" i="24"/>
  <c r="J41" i="24" s="1"/>
  <c r="J12" i="24"/>
  <c r="G7" i="24"/>
  <c r="J43" i="24"/>
  <c r="J50" i="24"/>
  <c r="J48" i="24" l="1"/>
  <c r="I55" i="24"/>
  <c r="I52" i="24" s="1"/>
  <c r="K12" i="24"/>
  <c r="J42" i="24"/>
  <c r="J49" i="24"/>
  <c r="P28" i="24"/>
  <c r="J55" i="24" l="1"/>
  <c r="G6" i="24"/>
  <c r="P29" i="24"/>
  <c r="G5" i="24"/>
  <c r="J53" i="24"/>
  <c r="L12" i="24"/>
  <c r="P12" i="24" s="1"/>
  <c r="J52" i="24" l="1"/>
  <c r="G8" i="24"/>
  <c r="B10" i="19" l="1"/>
  <c r="C9" i="19" l="1"/>
  <c r="C8" i="19"/>
  <c r="C6" i="19" l="1"/>
  <c r="C7" i="19"/>
  <c r="D10" i="19" l="1"/>
  <c r="C10" i="19"/>
  <c r="B10" i="37" l="1"/>
  <c r="C8" i="37"/>
  <c r="D14" i="5" s="1"/>
  <c r="C9" i="37" l="1"/>
  <c r="D15" i="5" s="1"/>
  <c r="C7" i="37"/>
  <c r="D13" i="5" s="1"/>
  <c r="C6" i="37" l="1"/>
  <c r="D12" i="5" s="1"/>
  <c r="D10" i="37"/>
  <c r="C10" i="37" l="1"/>
  <c r="B13" i="16" l="1"/>
  <c r="B13" i="23"/>
  <c r="B15" i="31"/>
  <c r="C10" i="22"/>
  <c r="C13" i="16" s="1"/>
  <c r="C10" i="24"/>
  <c r="C10" i="40"/>
  <c r="C13" i="23"/>
  <c r="C10" i="29"/>
  <c r="C15" i="31"/>
  <c r="AD15" i="5" l="1"/>
  <c r="K20" i="22"/>
  <c r="K15" i="40"/>
  <c r="J20" i="31"/>
  <c r="K15" i="24"/>
  <c r="K15" i="29"/>
  <c r="K26" i="35"/>
  <c r="F4" i="35"/>
  <c r="P20" i="35"/>
  <c r="M20" i="22"/>
  <c r="L20" i="31"/>
  <c r="M38" i="16"/>
  <c r="M15" i="24"/>
  <c r="M35" i="24" s="1"/>
  <c r="M15" i="29"/>
  <c r="M29" i="29" s="1"/>
  <c r="M15" i="40"/>
  <c r="M26" i="35"/>
  <c r="L20" i="22"/>
  <c r="L15" i="24"/>
  <c r="L35" i="24" s="1"/>
  <c r="L38" i="16"/>
  <c r="L15" i="29"/>
  <c r="K20" i="31"/>
  <c r="L15" i="40"/>
  <c r="L26" i="35"/>
  <c r="M18" i="40"/>
  <c r="L23" i="31"/>
  <c r="M23" i="22"/>
  <c r="M18" i="24"/>
  <c r="M38" i="24" s="1"/>
  <c r="M18" i="29"/>
  <c r="M32" i="29" s="1"/>
  <c r="M29" i="35"/>
  <c r="L17" i="24"/>
  <c r="L37" i="24" s="1"/>
  <c r="L22" i="22"/>
  <c r="K22" i="31"/>
  <c r="L17" i="40"/>
  <c r="L17" i="29"/>
  <c r="L28" i="35"/>
  <c r="L18" i="40"/>
  <c r="L18" i="24"/>
  <c r="L38" i="24" s="1"/>
  <c r="K23" i="31"/>
  <c r="L23" i="22"/>
  <c r="L18" i="29"/>
  <c r="L29" i="35"/>
  <c r="L16" i="40"/>
  <c r="L16" i="29"/>
  <c r="L16" i="24"/>
  <c r="L36" i="24" s="1"/>
  <c r="K21" i="31"/>
  <c r="L21" i="22"/>
  <c r="L27" i="35"/>
  <c r="M17" i="40"/>
  <c r="M22" i="22"/>
  <c r="M17" i="29"/>
  <c r="M31" i="29" s="1"/>
  <c r="L22" i="31"/>
  <c r="M17" i="24"/>
  <c r="M37" i="24" s="1"/>
  <c r="M28" i="35"/>
  <c r="K17" i="24"/>
  <c r="K17" i="29"/>
  <c r="K17" i="40"/>
  <c r="K22" i="22"/>
  <c r="J22" i="31"/>
  <c r="F6" i="35"/>
  <c r="K28" i="35"/>
  <c r="P22" i="35"/>
  <c r="M16" i="24"/>
  <c r="M36" i="24" s="1"/>
  <c r="M16" i="40"/>
  <c r="M21" i="22"/>
  <c r="L21" i="31"/>
  <c r="M16" i="29"/>
  <c r="M30" i="29" s="1"/>
  <c r="M27" i="35"/>
  <c r="K16" i="24"/>
  <c r="K21" i="22"/>
  <c r="K16" i="29"/>
  <c r="K16" i="40"/>
  <c r="J21" i="31"/>
  <c r="F5" i="35"/>
  <c r="P21" i="35"/>
  <c r="K27" i="35"/>
  <c r="K18" i="24"/>
  <c r="J23" i="31"/>
  <c r="K23" i="22"/>
  <c r="K18" i="29"/>
  <c r="K18" i="40"/>
  <c r="P23" i="35"/>
  <c r="F7" i="35"/>
  <c r="K29" i="35"/>
  <c r="L28" i="22" l="1"/>
  <c r="M28" i="22"/>
  <c r="L26" i="22"/>
  <c r="M29" i="22"/>
  <c r="M26" i="22"/>
  <c r="L27" i="22"/>
  <c r="M27" i="22"/>
  <c r="L29" i="22"/>
  <c r="M37" i="40"/>
  <c r="M35" i="40"/>
  <c r="L37" i="40"/>
  <c r="L36" i="40"/>
  <c r="L35" i="40"/>
  <c r="M36" i="40"/>
  <c r="L38" i="40"/>
  <c r="M38" i="40"/>
  <c r="L34" i="31"/>
  <c r="L36" i="31"/>
  <c r="K36" i="31"/>
  <c r="K34" i="31"/>
  <c r="K37" i="31"/>
  <c r="L35" i="31"/>
  <c r="L37" i="31"/>
  <c r="K35" i="31"/>
  <c r="U15" i="5"/>
  <c r="B8" i="38"/>
  <c r="AD14" i="5"/>
  <c r="Y15" i="5"/>
  <c r="AE15" i="5"/>
  <c r="AC15" i="5"/>
  <c r="AA15" i="5"/>
  <c r="M39" i="16"/>
  <c r="AC14" i="5"/>
  <c r="S6" i="5"/>
  <c r="AD13" i="5"/>
  <c r="Y13" i="5"/>
  <c r="AE13" i="5"/>
  <c r="D22" i="20" s="1"/>
  <c r="Y14" i="5"/>
  <c r="AE14" i="5"/>
  <c r="D23" i="20" s="1"/>
  <c r="AA14" i="5"/>
  <c r="U14" i="5"/>
  <c r="S7" i="5"/>
  <c r="B7" i="38"/>
  <c r="B5" i="38"/>
  <c r="AA12" i="5"/>
  <c r="AE12" i="5"/>
  <c r="AC12" i="5"/>
  <c r="U12" i="5"/>
  <c r="Y12" i="5"/>
  <c r="AD12" i="5"/>
  <c r="U13" i="5"/>
  <c r="P26" i="35"/>
  <c r="K34" i="35"/>
  <c r="E4" i="35"/>
  <c r="H4" i="35" s="1"/>
  <c r="AC13" i="5"/>
  <c r="M34" i="35"/>
  <c r="P15" i="29"/>
  <c r="E4" i="29"/>
  <c r="P15" i="24"/>
  <c r="E4" i="24"/>
  <c r="H4" i="24" s="1"/>
  <c r="K35" i="24"/>
  <c r="S5" i="5"/>
  <c r="O20" i="31"/>
  <c r="D4" i="31"/>
  <c r="F4" i="31" s="1"/>
  <c r="J34" i="31"/>
  <c r="O18" i="23"/>
  <c r="D4" i="23"/>
  <c r="F4" i="23" s="1"/>
  <c r="AA13" i="5"/>
  <c r="L34" i="35"/>
  <c r="P18" i="16"/>
  <c r="E4" i="16"/>
  <c r="H4" i="16" s="1"/>
  <c r="K38" i="16"/>
  <c r="B6" i="38"/>
  <c r="P15" i="40"/>
  <c r="E4" i="40"/>
  <c r="H4" i="40" s="1"/>
  <c r="K35" i="40"/>
  <c r="K26" i="22"/>
  <c r="P20" i="22"/>
  <c r="F4" i="22"/>
  <c r="P21" i="16"/>
  <c r="F8" i="35"/>
  <c r="L35" i="35"/>
  <c r="O21" i="23"/>
  <c r="P16" i="40"/>
  <c r="E5" i="40"/>
  <c r="K36" i="40"/>
  <c r="M37" i="35"/>
  <c r="K39" i="16"/>
  <c r="E5" i="16"/>
  <c r="P19" i="16"/>
  <c r="P18" i="29"/>
  <c r="E7" i="29"/>
  <c r="P16" i="29"/>
  <c r="E5" i="29"/>
  <c r="D5" i="23"/>
  <c r="O19" i="23"/>
  <c r="K27" i="22"/>
  <c r="F5" i="22"/>
  <c r="P21" i="22"/>
  <c r="K36" i="35"/>
  <c r="E6" i="35"/>
  <c r="H6" i="35" s="1"/>
  <c r="P28" i="35"/>
  <c r="L39" i="16"/>
  <c r="L36" i="35"/>
  <c r="P29" i="35"/>
  <c r="K37" i="35"/>
  <c r="E7" i="35"/>
  <c r="H7" i="35" s="1"/>
  <c r="O20" i="23"/>
  <c r="O21" i="31"/>
  <c r="J35" i="31"/>
  <c r="D5" i="31"/>
  <c r="K29" i="22"/>
  <c r="P23" i="22"/>
  <c r="F7" i="22"/>
  <c r="E5" i="24"/>
  <c r="P16" i="24"/>
  <c r="K36" i="24"/>
  <c r="P17" i="40"/>
  <c r="E6" i="40"/>
  <c r="H6" i="40" s="1"/>
  <c r="K37" i="40"/>
  <c r="E6" i="29"/>
  <c r="P17" i="29"/>
  <c r="M36" i="35"/>
  <c r="J37" i="31"/>
  <c r="O23" i="31"/>
  <c r="D7" i="31"/>
  <c r="F7" i="31" s="1"/>
  <c r="M35" i="35"/>
  <c r="O22" i="31"/>
  <c r="J36" i="31"/>
  <c r="D6" i="31"/>
  <c r="F6" i="31" s="1"/>
  <c r="P22" i="22"/>
  <c r="K28" i="22"/>
  <c r="F6" i="22"/>
  <c r="L37" i="35"/>
  <c r="P17" i="24"/>
  <c r="E6" i="24"/>
  <c r="H6" i="24" s="1"/>
  <c r="K37" i="24"/>
  <c r="E7" i="40"/>
  <c r="H7" i="40" s="1"/>
  <c r="K38" i="40"/>
  <c r="P18" i="40"/>
  <c r="E7" i="24"/>
  <c r="H7" i="24" s="1"/>
  <c r="P18" i="24"/>
  <c r="K38" i="24"/>
  <c r="E5" i="35"/>
  <c r="P27" i="35"/>
  <c r="K35" i="35"/>
  <c r="P20" i="16"/>
  <c r="L37" i="22" l="1"/>
  <c r="M35" i="22"/>
  <c r="L35" i="22"/>
  <c r="M34" i="22"/>
  <c r="M37" i="22"/>
  <c r="L34" i="22"/>
  <c r="M36" i="22"/>
  <c r="L36" i="22"/>
  <c r="K32" i="24"/>
  <c r="K32" i="40"/>
  <c r="K31" i="35"/>
  <c r="D24" i="20"/>
  <c r="B9" i="38"/>
  <c r="E4" i="22"/>
  <c r="H4" i="22" s="1"/>
  <c r="P26" i="22"/>
  <c r="K34" i="22"/>
  <c r="K40" i="35"/>
  <c r="K47" i="35"/>
  <c r="K47" i="16"/>
  <c r="K42" i="16"/>
  <c r="K41" i="24"/>
  <c r="K48" i="24"/>
  <c r="D21" i="20"/>
  <c r="K41" i="40"/>
  <c r="K48" i="40"/>
  <c r="J40" i="31"/>
  <c r="J47" i="31"/>
  <c r="K50" i="24"/>
  <c r="K43" i="24"/>
  <c r="J43" i="31"/>
  <c r="J50" i="31"/>
  <c r="H5" i="40"/>
  <c r="E8" i="40"/>
  <c r="P28" i="22"/>
  <c r="K36" i="22"/>
  <c r="E6" i="22"/>
  <c r="H6" i="22" s="1"/>
  <c r="K43" i="40"/>
  <c r="K50" i="40"/>
  <c r="P29" i="22"/>
  <c r="E7" i="22"/>
  <c r="H7" i="22" s="1"/>
  <c r="K37" i="22"/>
  <c r="F8" i="22"/>
  <c r="K43" i="16"/>
  <c r="K48" i="16"/>
  <c r="K35" i="16"/>
  <c r="K44" i="24"/>
  <c r="K51" i="24"/>
  <c r="J42" i="31"/>
  <c r="J49" i="31"/>
  <c r="E5" i="22"/>
  <c r="K35" i="22"/>
  <c r="P27" i="22"/>
  <c r="E8" i="29"/>
  <c r="K49" i="35"/>
  <c r="K42" i="35"/>
  <c r="K41" i="35"/>
  <c r="K48" i="35"/>
  <c r="E8" i="35"/>
  <c r="H5" i="35"/>
  <c r="H8" i="35" s="1"/>
  <c r="F5" i="31"/>
  <c r="D8" i="31"/>
  <c r="J31" i="31"/>
  <c r="J48" i="31"/>
  <c r="J41" i="31"/>
  <c r="H5" i="16"/>
  <c r="E6" i="16"/>
  <c r="K49" i="24"/>
  <c r="K42" i="24"/>
  <c r="F5" i="23"/>
  <c r="D6" i="23"/>
  <c r="K44" i="40"/>
  <c r="K51" i="40"/>
  <c r="K43" i="35"/>
  <c r="K50" i="35"/>
  <c r="E8" i="24"/>
  <c r="H5" i="24"/>
  <c r="K42" i="40"/>
  <c r="K49" i="40"/>
  <c r="L31" i="35" l="1"/>
  <c r="P31" i="35" s="1"/>
  <c r="K31" i="31"/>
  <c r="L32" i="40"/>
  <c r="K52" i="16"/>
  <c r="K47" i="22"/>
  <c r="K40" i="22"/>
  <c r="H4" i="23"/>
  <c r="I4" i="23" s="1"/>
  <c r="J4" i="23" s="1"/>
  <c r="L48" i="24"/>
  <c r="J4" i="24" s="1"/>
  <c r="K4" i="24" s="1"/>
  <c r="J54" i="31"/>
  <c r="J51" i="31" s="1"/>
  <c r="K47" i="31"/>
  <c r="H4" i="31" s="1"/>
  <c r="I4" i="31" s="1"/>
  <c r="K40" i="31"/>
  <c r="L41" i="24"/>
  <c r="L42" i="16"/>
  <c r="L47" i="16"/>
  <c r="J4" i="16" s="1"/>
  <c r="K4" i="16" s="1"/>
  <c r="L41" i="40"/>
  <c r="L48" i="40"/>
  <c r="J4" i="40" s="1"/>
  <c r="K4" i="40" s="1"/>
  <c r="K53" i="24"/>
  <c r="L47" i="35"/>
  <c r="P47" i="35" s="1"/>
  <c r="L40" i="35"/>
  <c r="K49" i="16"/>
  <c r="H8" i="24"/>
  <c r="L49" i="24"/>
  <c r="J5" i="24" s="1"/>
  <c r="L42" i="24"/>
  <c r="L32" i="24"/>
  <c r="H8" i="40"/>
  <c r="K55" i="24"/>
  <c r="F8" i="31"/>
  <c r="K48" i="22"/>
  <c r="K31" i="22"/>
  <c r="K41" i="22"/>
  <c r="F6" i="23"/>
  <c r="L48" i="16"/>
  <c r="J5" i="16" s="1"/>
  <c r="L43" i="16"/>
  <c r="L35" i="16"/>
  <c r="P35" i="16" s="1"/>
  <c r="K50" i="22"/>
  <c r="K43" i="22"/>
  <c r="K54" i="35"/>
  <c r="E8" i="22"/>
  <c r="H5" i="22"/>
  <c r="H8" i="22" s="1"/>
  <c r="K43" i="31"/>
  <c r="K50" i="31"/>
  <c r="H7" i="31" s="1"/>
  <c r="I7" i="31" s="1"/>
  <c r="L43" i="35"/>
  <c r="L50" i="35"/>
  <c r="J7" i="35" s="1"/>
  <c r="K7" i="35" s="1"/>
  <c r="AC23" i="5" s="1"/>
  <c r="H6" i="16"/>
  <c r="L48" i="35"/>
  <c r="J5" i="35" s="1"/>
  <c r="L41" i="35"/>
  <c r="L43" i="40"/>
  <c r="L50" i="40"/>
  <c r="J6" i="40" s="1"/>
  <c r="K6" i="40" s="1"/>
  <c r="AD22" i="5" s="1"/>
  <c r="L43" i="24"/>
  <c r="L50" i="24"/>
  <c r="J6" i="24" s="1"/>
  <c r="K6" i="24" s="1"/>
  <c r="Y22" i="5" s="1"/>
  <c r="K55" i="40"/>
  <c r="K41" i="31"/>
  <c r="K48" i="31"/>
  <c r="H5" i="31" s="1"/>
  <c r="K52" i="35"/>
  <c r="L42" i="40"/>
  <c r="L49" i="40"/>
  <c r="P49" i="40" s="1"/>
  <c r="K49" i="31"/>
  <c r="H6" i="31" s="1"/>
  <c r="I6" i="31" s="1"/>
  <c r="K42" i="31"/>
  <c r="K53" i="40"/>
  <c r="L44" i="40"/>
  <c r="L51" i="40"/>
  <c r="J7" i="40" s="1"/>
  <c r="K7" i="40" s="1"/>
  <c r="AD23" i="5" s="1"/>
  <c r="J52" i="31"/>
  <c r="L42" i="35"/>
  <c r="L49" i="35"/>
  <c r="J6" i="35" s="1"/>
  <c r="K6" i="35" s="1"/>
  <c r="AC22" i="5" s="1"/>
  <c r="L44" i="24"/>
  <c r="L51" i="24"/>
  <c r="J7" i="24" s="1"/>
  <c r="K7" i="24" s="1"/>
  <c r="Y23" i="5" s="1"/>
  <c r="K50" i="16"/>
  <c r="K49" i="22"/>
  <c r="K42" i="22"/>
  <c r="O31" i="31" l="1"/>
  <c r="M40" i="35"/>
  <c r="J6" i="16"/>
  <c r="L31" i="22"/>
  <c r="P49" i="24"/>
  <c r="M42" i="24"/>
  <c r="F20" i="5"/>
  <c r="AA20" i="5"/>
  <c r="U20" i="5"/>
  <c r="M48" i="24"/>
  <c r="P48" i="24" s="1"/>
  <c r="M41" i="24"/>
  <c r="L4" i="24" s="1"/>
  <c r="L40" i="22"/>
  <c r="L47" i="22"/>
  <c r="P47" i="22" s="1"/>
  <c r="L47" i="31"/>
  <c r="O47" i="31" s="1"/>
  <c r="L40" i="31"/>
  <c r="M41" i="40"/>
  <c r="L4" i="40" s="1"/>
  <c r="M48" i="40"/>
  <c r="P48" i="40" s="1"/>
  <c r="M42" i="16"/>
  <c r="L4" i="16" s="1"/>
  <c r="M47" i="16"/>
  <c r="P47" i="16" s="1"/>
  <c r="AD20" i="5"/>
  <c r="D20" i="5"/>
  <c r="J4" i="35"/>
  <c r="K4" i="35" s="1"/>
  <c r="Y20" i="5"/>
  <c r="T20" i="5"/>
  <c r="H5" i="23"/>
  <c r="I5" i="23" s="1"/>
  <c r="O45" i="23"/>
  <c r="L52" i="16"/>
  <c r="L49" i="16" s="1"/>
  <c r="P49" i="35"/>
  <c r="P50" i="35"/>
  <c r="M43" i="40"/>
  <c r="L6" i="40" s="1"/>
  <c r="M42" i="35"/>
  <c r="L6" i="35" s="1"/>
  <c r="L42" i="22"/>
  <c r="L49" i="22"/>
  <c r="P49" i="22" s="1"/>
  <c r="L54" i="35"/>
  <c r="K51" i="35"/>
  <c r="J5" i="40"/>
  <c r="L41" i="22"/>
  <c r="L48" i="22"/>
  <c r="P48" i="22" s="1"/>
  <c r="L53" i="40"/>
  <c r="K52" i="22"/>
  <c r="P32" i="40"/>
  <c r="P50" i="24"/>
  <c r="M43" i="24"/>
  <c r="L6" i="24" s="1"/>
  <c r="M43" i="35"/>
  <c r="L7" i="35" s="1"/>
  <c r="K54" i="22"/>
  <c r="J8" i="24"/>
  <c r="O29" i="23"/>
  <c r="M42" i="40"/>
  <c r="K5" i="24"/>
  <c r="Y21" i="5" s="1"/>
  <c r="K52" i="40"/>
  <c r="L55" i="40"/>
  <c r="O46" i="23"/>
  <c r="P48" i="35"/>
  <c r="M44" i="40"/>
  <c r="L7" i="40" s="1"/>
  <c r="M51" i="40"/>
  <c r="P32" i="24"/>
  <c r="L53" i="24"/>
  <c r="L50" i="22"/>
  <c r="P50" i="22" s="1"/>
  <c r="L43" i="22"/>
  <c r="O48" i="23"/>
  <c r="M41" i="35"/>
  <c r="O47" i="23"/>
  <c r="K5" i="35"/>
  <c r="F23" i="5"/>
  <c r="AA23" i="5"/>
  <c r="M51" i="24"/>
  <c r="M44" i="24"/>
  <c r="L7" i="24" s="1"/>
  <c r="F22" i="5"/>
  <c r="AA22" i="5"/>
  <c r="H8" i="31"/>
  <c r="L52" i="35"/>
  <c r="L50" i="31"/>
  <c r="O50" i="31" s="1"/>
  <c r="L43" i="31"/>
  <c r="L50" i="16"/>
  <c r="I5" i="31"/>
  <c r="L41" i="31"/>
  <c r="L48" i="31"/>
  <c r="K5" i="16"/>
  <c r="P50" i="40"/>
  <c r="M43" i="16"/>
  <c r="M48" i="16"/>
  <c r="C16" i="20"/>
  <c r="L42" i="31"/>
  <c r="L49" i="31"/>
  <c r="O49" i="31" s="1"/>
  <c r="K54" i="31"/>
  <c r="K52" i="31"/>
  <c r="K52" i="24"/>
  <c r="L55" i="24"/>
  <c r="U21" i="5" l="1"/>
  <c r="J5" i="23"/>
  <c r="P31" i="22"/>
  <c r="J6" i="31"/>
  <c r="J7" i="31"/>
  <c r="J4" i="31"/>
  <c r="J8" i="35"/>
  <c r="J4" i="22"/>
  <c r="K4" i="22" s="1"/>
  <c r="X20" i="5" s="1"/>
  <c r="H6" i="23"/>
  <c r="M52" i="16"/>
  <c r="M49" i="16" s="1"/>
  <c r="C5" i="20"/>
  <c r="E13" i="20"/>
  <c r="C13" i="20"/>
  <c r="L4" i="35"/>
  <c r="AC20" i="5"/>
  <c r="K4" i="5"/>
  <c r="T25" i="5" s="1"/>
  <c r="D4" i="5"/>
  <c r="M40" i="22"/>
  <c r="C21" i="20"/>
  <c r="D5" i="20"/>
  <c r="M43" i="22"/>
  <c r="F4" i="5"/>
  <c r="M4" i="5"/>
  <c r="V25" i="5" s="1"/>
  <c r="M41" i="22"/>
  <c r="J6" i="22"/>
  <c r="K6" i="22" s="1"/>
  <c r="X22" i="5" s="1"/>
  <c r="J8" i="40"/>
  <c r="K5" i="40"/>
  <c r="E16" i="20"/>
  <c r="L5" i="24"/>
  <c r="K8" i="24"/>
  <c r="M54" i="35"/>
  <c r="M51" i="35" s="1"/>
  <c r="L51" i="35"/>
  <c r="M55" i="24"/>
  <c r="M52" i="24" s="1"/>
  <c r="L52" i="24"/>
  <c r="M53" i="40"/>
  <c r="P51" i="40"/>
  <c r="M42" i="22"/>
  <c r="P48" i="16"/>
  <c r="M50" i="16"/>
  <c r="K8" i="35"/>
  <c r="AC21" i="5"/>
  <c r="K6" i="16"/>
  <c r="K10" i="16"/>
  <c r="K9" i="16"/>
  <c r="L5" i="16"/>
  <c r="K8" i="16"/>
  <c r="E15" i="20"/>
  <c r="J7" i="22"/>
  <c r="K7" i="22" s="1"/>
  <c r="X23" i="5" s="1"/>
  <c r="B24" i="20"/>
  <c r="I10" i="23"/>
  <c r="I6" i="23"/>
  <c r="I9" i="23"/>
  <c r="I8" i="23"/>
  <c r="F21" i="5"/>
  <c r="AA21" i="5"/>
  <c r="I8" i="31"/>
  <c r="J5" i="31"/>
  <c r="L52" i="40"/>
  <c r="M55" i="40"/>
  <c r="M52" i="40" s="1"/>
  <c r="F7" i="5"/>
  <c r="M7" i="5"/>
  <c r="V28" i="5" s="1"/>
  <c r="C24" i="20"/>
  <c r="O48" i="31"/>
  <c r="L52" i="31"/>
  <c r="M6" i="5"/>
  <c r="V27" i="5" s="1"/>
  <c r="F6" i="5"/>
  <c r="C23" i="20"/>
  <c r="K51" i="31"/>
  <c r="L54" i="31"/>
  <c r="L51" i="31" s="1"/>
  <c r="K51" i="22"/>
  <c r="L54" i="22"/>
  <c r="B23" i="20"/>
  <c r="P51" i="24"/>
  <c r="M53" i="24"/>
  <c r="L5" i="35"/>
  <c r="J5" i="22"/>
  <c r="L52" i="22"/>
  <c r="C15" i="20"/>
  <c r="C20" i="5" l="1"/>
  <c r="J4" i="5" s="1"/>
  <c r="L4" i="22"/>
  <c r="C22" i="5"/>
  <c r="J6" i="5" s="1"/>
  <c r="B15" i="20"/>
  <c r="E29" i="20"/>
  <c r="E34" i="20" s="1"/>
  <c r="F5" i="20"/>
  <c r="C29" i="20"/>
  <c r="C34" i="20" s="1"/>
  <c r="B21" i="20"/>
  <c r="L6" i="22"/>
  <c r="B13" i="20"/>
  <c r="C4" i="5"/>
  <c r="T23" i="5"/>
  <c r="D23" i="5"/>
  <c r="B22" i="20"/>
  <c r="F24" i="20"/>
  <c r="L7" i="22"/>
  <c r="C23" i="5"/>
  <c r="J7" i="5" s="1"/>
  <c r="C14" i="20"/>
  <c r="E32" i="20"/>
  <c r="E37" i="20" s="1"/>
  <c r="U23" i="5"/>
  <c r="I11" i="23"/>
  <c r="K5" i="22"/>
  <c r="X21" i="5" s="1"/>
  <c r="J8" i="22"/>
  <c r="E14" i="20"/>
  <c r="T21" i="5"/>
  <c r="K11" i="16"/>
  <c r="K8" i="40"/>
  <c r="AD21" i="5"/>
  <c r="L5" i="40"/>
  <c r="D21" i="5"/>
  <c r="U22" i="5"/>
  <c r="F23" i="20"/>
  <c r="E31" i="20"/>
  <c r="E36" i="20" s="1"/>
  <c r="L51" i="22"/>
  <c r="M54" i="22"/>
  <c r="M51" i="22" s="1"/>
  <c r="F5" i="5"/>
  <c r="R5" i="5" s="1"/>
  <c r="M5" i="5"/>
  <c r="V26" i="5" s="1"/>
  <c r="T22" i="5"/>
  <c r="D22" i="5"/>
  <c r="S25" i="5" l="1"/>
  <c r="S27" i="5"/>
  <c r="S28" i="5"/>
  <c r="C6" i="5"/>
  <c r="F21" i="20"/>
  <c r="B29" i="20"/>
  <c r="C7" i="5"/>
  <c r="C22" i="20"/>
  <c r="B16" i="20"/>
  <c r="K5" i="5"/>
  <c r="T26" i="5" s="1"/>
  <c r="D5" i="5"/>
  <c r="D8" i="20"/>
  <c r="B31" i="20"/>
  <c r="C6" i="20"/>
  <c r="R6" i="5"/>
  <c r="R7" i="5"/>
  <c r="E30" i="20"/>
  <c r="E35" i="20" s="1"/>
  <c r="K7" i="5"/>
  <c r="T28" i="5" s="1"/>
  <c r="D7" i="5"/>
  <c r="C7" i="20"/>
  <c r="D6" i="20"/>
  <c r="K6" i="5"/>
  <c r="T27" i="5" s="1"/>
  <c r="D6" i="5"/>
  <c r="D7" i="20"/>
  <c r="L5" i="22"/>
  <c r="K8" i="22"/>
  <c r="C21" i="5"/>
  <c r="C8" i="20"/>
  <c r="J5" i="5" l="1"/>
  <c r="S26" i="5" s="1"/>
  <c r="F22" i="20"/>
  <c r="B34" i="20"/>
  <c r="P7" i="5"/>
  <c r="B36" i="20"/>
  <c r="F8" i="20"/>
  <c r="C32" i="20"/>
  <c r="C37" i="20" s="1"/>
  <c r="B32" i="20"/>
  <c r="P6" i="5"/>
  <c r="F6" i="20"/>
  <c r="C30" i="20"/>
  <c r="C35" i="20" s="1"/>
  <c r="C5" i="5"/>
  <c r="O7" i="5" s="1"/>
  <c r="P5" i="5"/>
  <c r="B14" i="20"/>
  <c r="F7" i="20"/>
  <c r="C31" i="20"/>
  <c r="C36" i="20" s="1"/>
  <c r="O5" i="5" l="1"/>
  <c r="O6" i="5"/>
  <c r="B37" i="20"/>
  <c r="B30" i="20"/>
  <c r="B35" i="20" l="1"/>
  <c r="C91" i="28" l="1"/>
  <c r="C85" i="28"/>
  <c r="D85" i="28" l="1"/>
  <c r="C90" i="28"/>
  <c r="D91" i="28" l="1"/>
  <c r="D90" i="28"/>
  <c r="C89" i="28"/>
  <c r="C92" i="28" l="1"/>
  <c r="C86" i="28" s="1"/>
  <c r="D89" i="28"/>
  <c r="D92" i="28" l="1"/>
  <c r="D86" i="28" s="1"/>
  <c r="C87" i="28"/>
  <c r="D87" i="28" l="1"/>
  <c r="C74" i="28"/>
  <c r="C80" i="28"/>
  <c r="C79" i="28"/>
  <c r="C96" i="28"/>
  <c r="D74" i="28" l="1"/>
  <c r="C102" i="28"/>
  <c r="D80" i="28"/>
  <c r="C101" i="28"/>
  <c r="D79" i="28" l="1"/>
  <c r="D96" i="28"/>
  <c r="D101" i="28"/>
  <c r="D8" i="28" l="1"/>
  <c r="D102" i="28"/>
  <c r="D13" i="28"/>
  <c r="C100" i="28"/>
  <c r="C103" i="28" l="1"/>
  <c r="C97" i="28" s="1"/>
  <c r="D14" i="28"/>
  <c r="D100" i="28"/>
  <c r="D103" i="28" s="1"/>
  <c r="D78" i="28"/>
  <c r="C78" i="28"/>
  <c r="D97" i="28" l="1"/>
  <c r="C81" i="28"/>
  <c r="C75" i="28" s="1"/>
  <c r="D12" i="28"/>
  <c r="D15" i="28" s="1"/>
  <c r="D9" i="28" s="1"/>
  <c r="D10" i="28" s="1"/>
  <c r="D81" i="28"/>
  <c r="D75" i="28" s="1"/>
  <c r="C98" i="28"/>
  <c r="D76" i="28" l="1"/>
  <c r="D98" i="28"/>
  <c r="C76" i="28"/>
  <c r="C107" i="28" l="1"/>
  <c r="C112" i="28" l="1"/>
  <c r="C113" i="28"/>
  <c r="C8" i="28"/>
  <c r="C14" i="28" l="1"/>
  <c r="C13" i="28"/>
  <c r="C111" i="28" l="1"/>
  <c r="E74" i="28"/>
  <c r="C114" i="28" l="1"/>
  <c r="C108" i="28" s="1"/>
  <c r="C12" i="28"/>
  <c r="F74" i="28"/>
  <c r="G74" i="28" l="1"/>
  <c r="C15" i="28"/>
  <c r="C9" i="28" s="1"/>
  <c r="C109" i="28"/>
  <c r="C10" i="28" l="1"/>
  <c r="E79" i="28"/>
  <c r="E80" i="28"/>
  <c r="F79" i="28" l="1"/>
  <c r="F80" i="28"/>
  <c r="G80" i="28" l="1"/>
  <c r="G79" i="28"/>
  <c r="E78" i="28" l="1"/>
  <c r="E85" i="28" l="1"/>
  <c r="E81" i="28"/>
  <c r="E75" i="28" s="1"/>
  <c r="F75" i="28" s="1"/>
  <c r="F78" i="28"/>
  <c r="G78" i="28" l="1"/>
  <c r="F81" i="28"/>
  <c r="F76" i="28"/>
  <c r="E76" i="28"/>
  <c r="F85" i="28"/>
  <c r="G85" i="28" s="1"/>
  <c r="G81" i="28" l="1"/>
  <c r="G75" i="28" s="1"/>
  <c r="G76" i="28"/>
  <c r="E90" i="28"/>
  <c r="E91" i="28"/>
  <c r="F90" i="28" l="1"/>
  <c r="G90" i="28" s="1"/>
  <c r="F91" i="28"/>
  <c r="G91" i="28" s="1"/>
  <c r="E89" i="28" l="1"/>
  <c r="E92" i="28" l="1"/>
  <c r="E86" i="28" s="1"/>
  <c r="F86" i="28" s="1"/>
  <c r="F89" i="28"/>
  <c r="G89" i="28" s="1"/>
  <c r="F92" i="28" l="1"/>
  <c r="E87" i="28"/>
  <c r="E96" i="28"/>
  <c r="G92" i="28" l="1"/>
  <c r="G86" i="28" s="1"/>
  <c r="E101" i="28"/>
  <c r="F96" i="28"/>
  <c r="G87" i="28"/>
  <c r="F87" i="28"/>
  <c r="G96" i="28" l="1"/>
  <c r="G21" i="29"/>
  <c r="F21" i="29"/>
  <c r="E21" i="29"/>
  <c r="F101" i="28"/>
  <c r="G101" i="28" l="1"/>
  <c r="G23" i="29"/>
  <c r="G31" i="29" s="1"/>
  <c r="G29" i="29"/>
  <c r="E23" i="29"/>
  <c r="E31" i="29" s="1"/>
  <c r="F23" i="29"/>
  <c r="F31" i="29" s="1"/>
  <c r="E29" i="29"/>
  <c r="F29" i="29"/>
  <c r="E102" i="28"/>
  <c r="E35" i="29" l="1"/>
  <c r="E42" i="29"/>
  <c r="E37" i="29"/>
  <c r="E44" i="29"/>
  <c r="F102" i="28"/>
  <c r="G102" i="28" l="1"/>
  <c r="G24" i="29"/>
  <c r="G32" i="29" s="1"/>
  <c r="F24" i="29"/>
  <c r="F32" i="29" s="1"/>
  <c r="E24" i="29"/>
  <c r="E32" i="29" s="1"/>
  <c r="F44" i="29"/>
  <c r="F37" i="29"/>
  <c r="F35" i="29"/>
  <c r="F42" i="29"/>
  <c r="E100" i="28"/>
  <c r="G35" i="29" l="1"/>
  <c r="G42" i="29"/>
  <c r="G37" i="29"/>
  <c r="G44" i="29"/>
  <c r="E38" i="29"/>
  <c r="E45" i="29"/>
  <c r="E107" i="28"/>
  <c r="E103" i="28"/>
  <c r="E97" i="28" s="1"/>
  <c r="F97" i="28" s="1"/>
  <c r="F100" i="28"/>
  <c r="G100" i="28" l="1"/>
  <c r="G22" i="29"/>
  <c r="F22" i="29"/>
  <c r="E22" i="29"/>
  <c r="F38" i="29"/>
  <c r="F45" i="29"/>
  <c r="E98" i="28"/>
  <c r="F107" i="28"/>
  <c r="E8" i="28"/>
  <c r="F103" i="28"/>
  <c r="K21" i="29" l="1"/>
  <c r="L21" i="29"/>
  <c r="L29" i="29" s="1"/>
  <c r="J21" i="29"/>
  <c r="J29" i="29" s="1"/>
  <c r="I21" i="29"/>
  <c r="I29" i="29" s="1"/>
  <c r="G107" i="28"/>
  <c r="H21" i="29"/>
  <c r="G30" i="29"/>
  <c r="G12" i="29"/>
  <c r="G38" i="29"/>
  <c r="G45" i="29"/>
  <c r="E30" i="29"/>
  <c r="E12" i="29"/>
  <c r="F30" i="29"/>
  <c r="F12" i="29"/>
  <c r="F8" i="28"/>
  <c r="G103" i="28"/>
  <c r="G97" i="28" s="1"/>
  <c r="G98" i="28"/>
  <c r="F98" i="28"/>
  <c r="E113" i="28"/>
  <c r="E112" i="28"/>
  <c r="P21" i="29" l="1"/>
  <c r="K29" i="29"/>
  <c r="H29" i="29"/>
  <c r="F4" i="29"/>
  <c r="G4" i="29" s="1"/>
  <c r="E36" i="29"/>
  <c r="E43" i="29"/>
  <c r="F112" i="28"/>
  <c r="E13" i="28"/>
  <c r="F13" i="28" s="1"/>
  <c r="G8" i="28"/>
  <c r="F113" i="28"/>
  <c r="E14" i="28"/>
  <c r="F14" i="28" s="1"/>
  <c r="K24" i="29" l="1"/>
  <c r="J24" i="29"/>
  <c r="J32" i="29" s="1"/>
  <c r="L24" i="29"/>
  <c r="L32" i="29" s="1"/>
  <c r="I24" i="29"/>
  <c r="I32" i="29" s="1"/>
  <c r="K23" i="29"/>
  <c r="L23" i="29"/>
  <c r="L31" i="29" s="1"/>
  <c r="J23" i="29"/>
  <c r="J31" i="29" s="1"/>
  <c r="I23" i="29"/>
  <c r="I31" i="29" s="1"/>
  <c r="G112" i="28"/>
  <c r="H23" i="29"/>
  <c r="G113" i="28"/>
  <c r="H24" i="29"/>
  <c r="H35" i="29"/>
  <c r="H42" i="29"/>
  <c r="E47" i="29"/>
  <c r="F36" i="29"/>
  <c r="F43" i="29"/>
  <c r="E49" i="29"/>
  <c r="E46" i="29" s="1"/>
  <c r="E12" i="5"/>
  <c r="Z12" i="5"/>
  <c r="P23" i="29" l="1"/>
  <c r="K31" i="29"/>
  <c r="P24" i="29"/>
  <c r="K32" i="29"/>
  <c r="I42" i="29"/>
  <c r="I35" i="29"/>
  <c r="H32" i="29"/>
  <c r="F7" i="29"/>
  <c r="G7" i="29" s="1"/>
  <c r="F6" i="29"/>
  <c r="G6" i="29" s="1"/>
  <c r="H31" i="29"/>
  <c r="G43" i="29"/>
  <c r="G36" i="29"/>
  <c r="F47" i="29"/>
  <c r="F49" i="29"/>
  <c r="F46" i="29" s="1"/>
  <c r="E111" i="28"/>
  <c r="H44" i="29" l="1"/>
  <c r="H37" i="29"/>
  <c r="H45" i="29"/>
  <c r="H38" i="29"/>
  <c r="J35" i="29"/>
  <c r="J42" i="29"/>
  <c r="G47" i="29"/>
  <c r="G49" i="29"/>
  <c r="G46" i="29" s="1"/>
  <c r="E114" i="28"/>
  <c r="E108" i="28" s="1"/>
  <c r="F108" i="28" s="1"/>
  <c r="F111" i="28"/>
  <c r="E12" i="28"/>
  <c r="I22" i="29" l="1"/>
  <c r="K22" i="29"/>
  <c r="L22" i="29"/>
  <c r="J22" i="29"/>
  <c r="G111" i="28"/>
  <c r="H22" i="29"/>
  <c r="K35" i="29"/>
  <c r="K42" i="29"/>
  <c r="I45" i="29"/>
  <c r="I38" i="29"/>
  <c r="I37" i="29"/>
  <c r="I44" i="29"/>
  <c r="E15" i="28"/>
  <c r="E9" i="28" s="1"/>
  <c r="F12" i="28"/>
  <c r="F15" i="28" s="1"/>
  <c r="F114" i="28"/>
  <c r="E109" i="28"/>
  <c r="J30" i="29" l="1"/>
  <c r="J12" i="29"/>
  <c r="L30" i="29"/>
  <c r="L12" i="29"/>
  <c r="K12" i="29"/>
  <c r="P22" i="29"/>
  <c r="K30" i="29"/>
  <c r="I30" i="29"/>
  <c r="I12" i="29"/>
  <c r="J44" i="29"/>
  <c r="J37" i="29"/>
  <c r="J38" i="29"/>
  <c r="J45" i="29"/>
  <c r="L42" i="29"/>
  <c r="I4" i="29" s="1"/>
  <c r="J4" i="29" s="1"/>
  <c r="L35" i="29"/>
  <c r="H30" i="29"/>
  <c r="F5" i="29"/>
  <c r="H12" i="29"/>
  <c r="F109" i="28"/>
  <c r="F9" i="28"/>
  <c r="F10" i="28" s="1"/>
  <c r="E10" i="28"/>
  <c r="G114" i="28"/>
  <c r="G108" i="28" s="1"/>
  <c r="G109" i="28" s="1"/>
  <c r="G12" i="28"/>
  <c r="P12" i="29" l="1"/>
  <c r="G5" i="29"/>
  <c r="G8" i="29" s="1"/>
  <c r="F8" i="29"/>
  <c r="E20" i="5"/>
  <c r="Z20" i="5"/>
  <c r="H43" i="29"/>
  <c r="H47" i="29" s="1"/>
  <c r="H36" i="29"/>
  <c r="M35" i="29"/>
  <c r="K4" i="29" s="1"/>
  <c r="M42" i="29"/>
  <c r="P42" i="29" s="1"/>
  <c r="K38" i="29"/>
  <c r="K45" i="29"/>
  <c r="K37" i="29"/>
  <c r="K44" i="29"/>
  <c r="G13" i="28"/>
  <c r="G14" i="28"/>
  <c r="E13" i="5"/>
  <c r="Z13" i="5"/>
  <c r="I36" i="29" l="1"/>
  <c r="I43" i="29"/>
  <c r="L4" i="5"/>
  <c r="U25" i="5" s="1"/>
  <c r="E4" i="5"/>
  <c r="H4" i="5" s="1"/>
  <c r="L38" i="29"/>
  <c r="L45" i="29"/>
  <c r="I7" i="29" s="1"/>
  <c r="J7" i="29" s="1"/>
  <c r="Z23" i="5" s="1"/>
  <c r="D13" i="20"/>
  <c r="AG12" i="5"/>
  <c r="L37" i="29"/>
  <c r="L44" i="29"/>
  <c r="I6" i="29" s="1"/>
  <c r="J6" i="29" s="1"/>
  <c r="Z22" i="5" s="1"/>
  <c r="H49" i="29"/>
  <c r="H46" i="29" s="1"/>
  <c r="G15" i="28"/>
  <c r="G9" i="28" s="1"/>
  <c r="G10" i="28" s="1"/>
  <c r="E15" i="5"/>
  <c r="Z15" i="5"/>
  <c r="E14" i="5"/>
  <c r="Z14" i="5"/>
  <c r="E22" i="5" l="1"/>
  <c r="E6" i="5" s="1"/>
  <c r="M37" i="29"/>
  <c r="K6" i="29" s="1"/>
  <c r="M44" i="29"/>
  <c r="P44" i="29" s="1"/>
  <c r="D29" i="20"/>
  <c r="F13" i="20"/>
  <c r="E23" i="5"/>
  <c r="M38" i="29"/>
  <c r="K7" i="29" s="1"/>
  <c r="M45" i="29"/>
  <c r="P45" i="29" s="1"/>
  <c r="N4" i="5"/>
  <c r="I47" i="29"/>
  <c r="I49" i="29"/>
  <c r="I46" i="29" s="1"/>
  <c r="J36" i="29"/>
  <c r="J43" i="29"/>
  <c r="D15" i="20"/>
  <c r="AG14" i="5"/>
  <c r="L6" i="5"/>
  <c r="U27" i="5" s="1"/>
  <c r="K26" i="29" l="1"/>
  <c r="L7" i="5"/>
  <c r="U28" i="5" s="1"/>
  <c r="E7" i="5"/>
  <c r="H7" i="5" s="1"/>
  <c r="K43" i="29"/>
  <c r="K36" i="29"/>
  <c r="D34" i="20"/>
  <c r="F29" i="20"/>
  <c r="G29" i="20" s="1"/>
  <c r="AG15" i="5"/>
  <c r="D16" i="20"/>
  <c r="D32" i="20" s="1"/>
  <c r="J47" i="29"/>
  <c r="J49" i="29"/>
  <c r="H6" i="5"/>
  <c r="F15" i="20"/>
  <c r="D31" i="20"/>
  <c r="L26" i="29" l="1"/>
  <c r="P26" i="29" s="1"/>
  <c r="F16" i="20"/>
  <c r="J46" i="29"/>
  <c r="L36" i="29"/>
  <c r="L43" i="29"/>
  <c r="I5" i="29" s="1"/>
  <c r="K49" i="29"/>
  <c r="K46" i="29" s="1"/>
  <c r="K47" i="29"/>
  <c r="D37" i="20"/>
  <c r="F32" i="20"/>
  <c r="G32" i="20" s="1"/>
  <c r="D36" i="20"/>
  <c r="F31" i="20"/>
  <c r="G31" i="20" s="1"/>
  <c r="N7" i="5"/>
  <c r="N6" i="5"/>
  <c r="L49" i="29" l="1"/>
  <c r="L46" i="29" s="1"/>
  <c r="L47" i="29"/>
  <c r="M36" i="29"/>
  <c r="M43" i="29"/>
  <c r="I8" i="29"/>
  <c r="J5" i="29"/>
  <c r="M47" i="29" l="1"/>
  <c r="M49" i="29"/>
  <c r="M46" i="29" s="1"/>
  <c r="P43" i="29"/>
  <c r="E21" i="5"/>
  <c r="Z21" i="5"/>
  <c r="J8" i="29"/>
  <c r="K5" i="29"/>
  <c r="L5" i="5" l="1"/>
  <c r="U26" i="5" s="1"/>
  <c r="E5" i="5"/>
  <c r="AG13" i="5"/>
  <c r="D14" i="20"/>
  <c r="D30" i="20" l="1"/>
  <c r="F14" i="20"/>
  <c r="Q7" i="5"/>
  <c r="Q5" i="5"/>
  <c r="H5" i="5"/>
  <c r="Q6" i="5"/>
  <c r="N5" i="5" l="1"/>
  <c r="D35" i="20"/>
  <c r="F30" i="20"/>
  <c r="G30"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Allison Stewart</author>
  </authors>
  <commentList>
    <comment ref="A25" authorId="0" shapeId="0" xr:uid="{63D4616F-B640-4A84-977A-B81BB139C9EA}">
      <text>
        <r>
          <rPr>
            <b/>
            <sz val="9"/>
            <color indexed="81"/>
            <rFont val="Tahoma"/>
            <family val="2"/>
          </rPr>
          <t>Allison Stewart:</t>
        </r>
        <r>
          <rPr>
            <sz val="9"/>
            <color indexed="81"/>
            <rFont val="Tahoma"/>
            <family val="2"/>
          </rPr>
          <t xml:space="preserve">
PPC + PCR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Allison Stewart</author>
  </authors>
  <commentList>
    <comment ref="A25" authorId="0" shapeId="0" xr:uid="{0E527C46-0C18-4A6E-9ABE-1F87E393FC81}">
      <text>
        <r>
          <rPr>
            <b/>
            <sz val="9"/>
            <color indexed="81"/>
            <rFont val="Tahoma"/>
            <family val="2"/>
          </rPr>
          <t>Allison Stewart:</t>
        </r>
        <r>
          <rPr>
            <sz val="9"/>
            <color indexed="81"/>
            <rFont val="Tahoma"/>
            <family val="2"/>
          </rPr>
          <t xml:space="preserve">
PPC + PCR</t>
        </r>
      </text>
    </comment>
  </commentList>
</comments>
</file>

<file path=xl/sharedStrings.xml><?xml version="1.0" encoding="utf-8"?>
<sst xmlns="http://schemas.openxmlformats.org/spreadsheetml/2006/main" count="962" uniqueCount="300">
  <si>
    <t>Allocated Program Costs</t>
  </si>
  <si>
    <t>Over/(Under)</t>
  </si>
  <si>
    <t>PCR</t>
  </si>
  <si>
    <t>Total</t>
  </si>
  <si>
    <t>PPC</t>
  </si>
  <si>
    <t>Service Class</t>
  </si>
  <si>
    <t>FORECASTED</t>
  </si>
  <si>
    <t>TDR</t>
  </si>
  <si>
    <t>Interest</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</si>
  <si>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</si>
  <si>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</si>
  <si>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</si>
  <si>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</si>
  <si>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</si>
  <si>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</si>
  <si>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</si>
  <si>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</si>
  <si>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</si>
  <si>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</si>
  <si>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</si>
  <si>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</si>
  <si>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</si>
  <si>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</si>
  <si>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</si>
  <si>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</si>
  <si>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DSIM($/kWh)</t>
  </si>
  <si>
    <t>2. PTD</t>
  </si>
  <si>
    <t xml:space="preserve">INPUTS </t>
  </si>
  <si>
    <t>ACTUAL</t>
  </si>
  <si>
    <t>3. Actual/Forecasted Revenues - Program Costs Only</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</si>
  <si>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</si>
  <si>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</si>
  <si>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</si>
  <si>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</si>
  <si>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</si>
  <si>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</si>
  <si>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</si>
  <si>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</si>
  <si>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</si>
  <si>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</si>
  <si>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</si>
  <si>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</si>
  <si>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</si>
  <si>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</si>
  <si>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</si>
  <si>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</si>
  <si>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</si>
  <si>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</si>
  <si>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</si>
  <si>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</si>
  <si>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</si>
  <si>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</si>
  <si>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</si>
  <si>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</si>
  <si>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Cycle 2 Throughput Disincentive TD Reconciliation (TDR) Calculation</t>
  </si>
  <si>
    <t>2. Actual Revenues - TD Only</t>
  </si>
  <si>
    <t>1. Actual/Forecasted TD</t>
  </si>
  <si>
    <t>1. Forecasted kWh Sales Impact</t>
  </si>
  <si>
    <t>3. kWh Sales Impact</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</si>
  <si>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</si>
  <si>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</si>
  <si>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</si>
  <si>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</si>
  <si>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</si>
  <si>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</si>
  <si>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</si>
  <si>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</si>
  <si>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</si>
  <si>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</si>
  <si>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</si>
  <si>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</si>
  <si>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</si>
  <si>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</si>
  <si>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</si>
  <si>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</si>
  <si>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1. Actual/Forecasted Earnings Opportunity</t>
  </si>
  <si>
    <t>2. Actual Revenues - EO Only</t>
  </si>
  <si>
    <t>4. Short-Term Interest Rate</t>
  </si>
  <si>
    <t>3. Actual/Forecasted EO Amortization</t>
  </si>
  <si>
    <t>2. Actual Revenues - OA Only</t>
  </si>
  <si>
    <t>1. Actual/Forecasted Ordered Adjustments</t>
  </si>
  <si>
    <t>3. Actual/Forecasted Ordered Adjustments</t>
  </si>
  <si>
    <t>OA-cycle 2</t>
  </si>
  <si>
    <t>OAR-cycle 2</t>
  </si>
  <si>
    <t>6. Actual EO rate component of the tariff rate</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</si>
  <si>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</si>
  <si>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</si>
  <si>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</si>
  <si>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</si>
  <si>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</si>
  <si>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</si>
  <si>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</si>
  <si>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</si>
  <si>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EOR-cycle 2</t>
  </si>
  <si>
    <t>Non-Residential SGS</t>
  </si>
  <si>
    <t>Non-Residential LGS</t>
  </si>
  <si>
    <t>Non-Residential LPS</t>
  </si>
  <si>
    <t>Total Non-Residential</t>
  </si>
  <si>
    <t>Cycle 3 Projected Throughput Disincentive (PTD) TD Calculation</t>
  </si>
  <si>
    <t>PPC-cycle 3</t>
  </si>
  <si>
    <t>PTD-cycle 3</t>
  </si>
  <si>
    <t>EO-cycle 3</t>
  </si>
  <si>
    <t>OA-cycle 3</t>
  </si>
  <si>
    <t>PCR-cycle 3</t>
  </si>
  <si>
    <t>TDR-cycle 3</t>
  </si>
  <si>
    <t>EOR-cycle 3</t>
  </si>
  <si>
    <t>OAR-cycle 3</t>
  </si>
  <si>
    <t>7. Cycle 2 kWh Participation</t>
  </si>
  <si>
    <t>6. Short-Term Interest Rate</t>
  </si>
  <si>
    <t>8. Cycle 2 kWh Participation</t>
  </si>
  <si>
    <t>6. Actual OA rate component of the tariff rate</t>
  </si>
  <si>
    <t>Cycle 2</t>
  </si>
  <si>
    <t>Cycle 3</t>
  </si>
  <si>
    <t>Total DSIM</t>
  </si>
  <si>
    <t>NOA ($/kWh)</t>
  </si>
  <si>
    <t>NEO ($/kWh)</t>
  </si>
  <si>
    <t>NTD ($/kWh)</t>
  </si>
  <si>
    <t>NPC ($/kWh)</t>
  </si>
  <si>
    <t>Rate Schedule</t>
  </si>
  <si>
    <t>Non-Residential - SGS</t>
  </si>
  <si>
    <t>Non-Residential - LGS</t>
  </si>
  <si>
    <t>Non-Residential - LPS</t>
  </si>
  <si>
    <t>Cycle 3 Program Costs Reconciliation (PCR) Calculation</t>
  </si>
  <si>
    <t>1. Allocated Actual Program Costs</t>
  </si>
  <si>
    <t>Cycle 3 Throughput Disincentive TD Reconciliation (TDR) Calculation</t>
  </si>
  <si>
    <t>Cycle 2 Earnings Opportunity Reconciliation (EOR) Calculation</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</si>
  <si>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</si>
  <si>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</si>
  <si>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</si>
  <si>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</si>
  <si>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</si>
  <si>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</si>
  <si>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</si>
  <si>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</si>
  <si>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Res</t>
  </si>
  <si>
    <t>SGS</t>
  </si>
  <si>
    <t>LGS</t>
  </si>
  <si>
    <t>LPS</t>
  </si>
  <si>
    <t>Cycle 2 - Total</t>
  </si>
  <si>
    <t>5. Total Earnings Opportunity plus Carrying Costs - Source: Sum of Columns 1. through 4.</t>
  </si>
  <si>
    <t>1.  Actual monthly EO - Source: Sum of Line 3.
    Forecasted monthly EO - Source: Sum of Line 3.</t>
  </si>
  <si>
    <t>Cycle 3 Earnings Opportunity (EO) Calculation</t>
  </si>
  <si>
    <t>Cycle 3 - Total</t>
  </si>
  <si>
    <t>6. Amortization Over 12 Month Recovery Period</t>
  </si>
  <si>
    <t>Cycle 2 - Program Years 1 to 3 (including EO TD Adjustments through March 2019) (Amortize March 2020-February 2022)</t>
  </si>
  <si>
    <t>Cycle 2 - Program Year 4 (including EO TD Adjustments April 2019 to December 2021) (Amortize February 2021-January 2023)</t>
  </si>
  <si>
    <t>Cycle 2 - EO TD Adjustments January - November 2022 (Amortize August 2021-July 2023)</t>
  </si>
  <si>
    <t>Cycle 3 - Program Year 1 (including EO TD Adjustments through October 2021) (Amortize February 2022-January 2023)</t>
  </si>
  <si>
    <t>Cycle 2 - EO TD Adjustments Carrying Costs May - October 2021 (Amortize February 2022-January 2024)</t>
  </si>
  <si>
    <t>Cycle 3 Earnings Opportunity Reconciliation (EOR) Calculation</t>
  </si>
  <si>
    <t>Cycle 2 - EO TD Adjustments Carrying Costs November 2021 - April 2022 (Amortize August 2022-July 2024)</t>
  </si>
  <si>
    <t>1. &amp; 3. Actual monthly Ordered Adjustments - Source: None</t>
  </si>
  <si>
    <t>Cycle 3 - Program Year 1 EO TD Adjustments November 2021 - April 2022 (Amortize August 2022 - July 2023)</t>
  </si>
  <si>
    <t>Cycle 3 Ordered Adjustment (OA) Calculation</t>
  </si>
  <si>
    <t>1. Ordered Adjustment - Program Costs</t>
  </si>
  <si>
    <t>2. Ordered Adjustment - Throughput Disincentive</t>
  </si>
  <si>
    <t>3. Carrying Costs on OA</t>
  </si>
  <si>
    <t>Cycle 3 Ordered Adjustments Reconciliation (OAR) Calculation</t>
  </si>
  <si>
    <t>Cycle 3 - Program Year 1 EO TD Adjustments May 2022 - November 2022 (Amortize February 2023 - January 2024)</t>
  </si>
  <si>
    <t>Allocation</t>
  </si>
  <si>
    <t>Cycle 2 - EO TD Adjustments Carrying Costs May 2022 - November 2022 (Amortize February 2023-January 2025)</t>
  </si>
  <si>
    <t>Cycle 2 - EO TD Adjustments December 2022 (Amortize August 2023-July 2025)</t>
  </si>
  <si>
    <t>Cycle 3 - Program Year 2 (including EO TD Adjustments through December 2022) (Amortize August 2023-July 2024)</t>
  </si>
  <si>
    <t>7. Cycle 2 kWh Participation - Source: Missouri West Cycle 2 Monthly TD Calc 122022 01092023.xlsx</t>
  </si>
  <si>
    <t>8. Cycle 2 kWh Participation - Source: Missouri West Cycle 2 Monthly TD Calc 122022 01092023.xlsx</t>
  </si>
  <si>
    <t>NOA = Net Ordered Adjustment for the upcoming EP plus the succeeding EP (OA + OAR)</t>
  </si>
  <si>
    <t xml:space="preserve">PE = Projected Energy, in kWh to be delivered during the upcoming RP plus the succeeding RP </t>
  </si>
  <si>
    <t>3. Actual/Forecasted EO Amortization - Source:  EO Cycle 2 tab column G divided by remaining months on EO Cycle 2 tab.</t>
  </si>
  <si>
    <t>3. Actual/Forecasted EO Amortization - Source:  EO Cycle 3 tab column G divided by remaining months on EO Cycle 3 tab.</t>
  </si>
  <si>
    <t>Tab</t>
  </si>
  <si>
    <t>Summary Description</t>
  </si>
  <si>
    <t>Summary of Sources</t>
  </si>
  <si>
    <t>Tariff Tables</t>
  </si>
  <si>
    <t>Program Costs, Throughput Disincentive, Earnings Opportunity and Ordered Adjustments from subsidiary tabs listed below</t>
  </si>
  <si>
    <t>DSIM Cycle Tables</t>
  </si>
  <si>
    <t>Analysis of DSIM rates by Customer Class by MEEIA Cycle and Cost Components</t>
  </si>
  <si>
    <t>Tariff Tables tab</t>
  </si>
  <si>
    <t>PCR Cycle 3</t>
  </si>
  <si>
    <t>The Company analyzes monthly DSIM rider revenues billed by MEEIA Cycle, customer class and DSIM cost component per the DSIM tariffs (PPC, PCR, PTD, TDR, EO, EOR, OA and OAR). Each month the Company analyzes actual program costs by program which are mapped or allocated to customer classes.  Monthly DSIM rider revenues billed are compared to actual Program Costs to determine current over or under recovery which is accumulated by customer class.  Interest is calculated on the over or under recovered Program Costs at the short-term borrowing rates defined in the DSIM tariffs.</t>
  </si>
  <si>
    <t>PTD Cycle 3</t>
  </si>
  <si>
    <t>TDR Cycle 2</t>
  </si>
  <si>
    <t>TDR Cycle 3</t>
  </si>
  <si>
    <t>EO Cycle 2</t>
  </si>
  <si>
    <t>Earnings Opportunity awards are calculated for each program year following the finalization of the Evaluation, Measurement &amp; Verification (EM&amp;V) by applying the EO Matrix in the DSIM tariffs to the evaluated, net verified kWh and kW savings and other factors.  Additionally, the EO TD Ex Post Gross and Net to Gross Adjustments are calculated by recomputing Throughput Disincentive using the EM&amp;V reported kWh savings with carrying costs.  These calculated amounts are amortized into the DSIM rates over 24 months. This update includes Cycle 2 EO TD Adjustments with carrying costs through December 2022 as noted in the Throughput Disincentive calculation above plus continued amortization of previously reported amounts from prior updates as appropriate.</t>
  </si>
  <si>
    <t>EO Cycle 3</t>
  </si>
  <si>
    <t>EOR Cycle 2</t>
  </si>
  <si>
    <t>The Company analyzes monthly DSIM rider revenues billed by customer class and DSIM cost component per the DSIM tariffs (PPC, PCR, PTD, TDR, EO, EOR, OA and OAR). Pursuant to the DSIM tariffs Earnings Opportunity, including EO TD Adjustments are amortized over 24 months. Interest is calculated on the over or under recovered Earnings Opportunity at the short-term borrowing rates defined in the DSIM tariffs.</t>
  </si>
  <si>
    <t>EOR Cycle 3</t>
  </si>
  <si>
    <t>The Company analyzes monthly DSIM rider revenues billed by customer class and DSIM cost component per the DSIM tariffs (PPC, PCR, PTD, TDR, EO, EOR, OA and OAR). Pursuant to the DSIM tariffs Earnings Opportunity, including EO TD Adjustments are amortized over 12 months. Interest is calculated on the over or under recovered Earnings Opportunity at the short-term borrowing rates defined in the DSIM tariffs.</t>
  </si>
  <si>
    <t>OA Cycle 3</t>
  </si>
  <si>
    <t>The Company analyzes monthly DSIM rider revenues billed by customer class and DSIM cost component per the DSIM tariffs (PPC, PCR, PTD, TDR, EO, EOR, OA and OAR). Interest is calculated on the over or under recovered Ordered Adjustments at the short-term borrowing rates defined in the DSIM tariffs.</t>
  </si>
  <si>
    <t>OAR Cycle 3</t>
  </si>
  <si>
    <t>1. Ordered Adjustment - Program Costs - Source: None</t>
  </si>
  <si>
    <t>2. Ordered Adjustment - Throughput Disincentive - Source: None</t>
  </si>
  <si>
    <t>3. Carrying Costs on OA - Source: None</t>
  </si>
  <si>
    <t>Check</t>
  </si>
  <si>
    <t>For next rider filing, reversal of Forecast to input in column C</t>
  </si>
  <si>
    <t>1. &amp; 4. Actual monthly TD - Source: None, TD reset effective December 2022
    Forecasted monthly TD - Source: None</t>
  </si>
  <si>
    <t>3. Actual kWh Sales Impact - Source:  None, TD reset effective December 2022
    Forecasted kWh Sales Impact - Source: None</t>
  </si>
  <si>
    <t>1. Total Earnings Opportunity - Source: Missouri West EO Calculation PY1-PY3 v2.xlsx, Missouri West EO Calculation PY4.xlsx; final amounts included in 6/1/2023 filing</t>
  </si>
  <si>
    <t>2. EO TD Ex Post Gross Adjustment -  Source: TD Model Missouri West PY1-3 122022.xlsx, TD Model Missouri West PY4 122022.xlsx; final amounts included in 6/1/2023 filing</t>
  </si>
  <si>
    <t>3. EO TD NTG Adjustment -  Source: TD Model Missouri West PY1-3 122022.xlsx, TD Model Missouri West PY4 122022.xlsx; final amounts included in 6/1/2023 filing</t>
  </si>
  <si>
    <t>4. Carrying Costs @ AFUDC Rate -  Source: TD Model Missouri West PY1-3 122022.xlsx, TD Model Missouri West PY4 122022.xlsx; final amounts included in 6/1/2023 filing</t>
  </si>
  <si>
    <t>Cycle 3 - Program Year 3 (including EO TD Adjustments through October 2023) (Amortize February 2024 -January 2025)</t>
  </si>
  <si>
    <t>Cycle 2 Throughput Disincentive was reset to zero after December 2022 concurrent with the new retail rates effective in January 2023. Interest is calculated on the over or under recovered Throughput Disincentive at the short-term borrowing rates defined in the DSIM tariffs.</t>
  </si>
  <si>
    <t>Cycle 3 - Program Year 1 EO TD Adjustments December 2022 (Amortize February 2024 - January 2025)</t>
  </si>
  <si>
    <t>PPC-cycle 4</t>
  </si>
  <si>
    <t>PTD-cycle 4</t>
  </si>
  <si>
    <t>EO-cycle 4</t>
  </si>
  <si>
    <t>OA-cycle 4</t>
  </si>
  <si>
    <t>PCR-cycle 4</t>
  </si>
  <si>
    <t>TDR-cycle 4</t>
  </si>
  <si>
    <t>EOR-cycle 4</t>
  </si>
  <si>
    <t>OAR-cycle 4</t>
  </si>
  <si>
    <t>Cycle 4</t>
  </si>
  <si>
    <t>PCR Cycle 4</t>
  </si>
  <si>
    <t>Cycle 4 Program Costs Reconciliation (PCR) Calculation</t>
  </si>
  <si>
    <t>Cycle 3 - Program Year 3 EO TD Adjustments November 2023 through April 2024 (Amortize August 2024 - July 2025)</t>
  </si>
  <si>
    <t>Cycle 3 - Program Year 4 (Amortize August 2024 -July 2025)</t>
  </si>
  <si>
    <t>4. Total monthly interest - Source: calculated</t>
  </si>
  <si>
    <t>5. Total monthly interest - Source: calculated</t>
  </si>
  <si>
    <t>PPC Cycle 4</t>
  </si>
  <si>
    <t>The Company creates a forecast of program costs and throughput disincentive, among other items, based on modeled assumptions used for the MEEIA 4 filing (EO-2023-0370). Program costs by customer class is summarized from that forecast. Projected billed kWh sales by customer class (net of opt outs) are extracted from the Company budget.</t>
  </si>
  <si>
    <t>PTD Cycle 4</t>
  </si>
  <si>
    <t>Cycle 3 - Program Year 3 EO TD Adjustments May 2024 through October 2024 (Amortize February 2025 - January 2026)</t>
  </si>
  <si>
    <t>Cycle 4 Earnings Opportunity (EO) Calculation</t>
  </si>
  <si>
    <t>Cycle 4 - Total</t>
  </si>
  <si>
    <t xml:space="preserve">2. EO TD Ex Post Gross Adjustment -  Source: </t>
  </si>
  <si>
    <t xml:space="preserve">3. EO TD NTG Adjustment -  Source: </t>
  </si>
  <si>
    <t xml:space="preserve">4. Carrying Costs @ AFUDC Rate -  Source: </t>
  </si>
  <si>
    <t>2. Forecasted Throughput Disincentive -Sum of 3.</t>
  </si>
  <si>
    <t>Cycle 4 Projected Throughput Disincentive (PTD) TD Calculation</t>
  </si>
  <si>
    <t>2. Forecasted program costs by customer class - Source: sum of 3.</t>
  </si>
  <si>
    <t>Cycle 4 Projected Program Costs (PPC) Calculation</t>
  </si>
  <si>
    <t xml:space="preserve">The Company updates a forecast of program costs and throughput disincentive, among other items, based on program implementer forecast, when available, or modeled assumptions used for the MEEIA 4 filing (EO-2023-0370). Throughput Disincentive by customer class is summarized from that forecast. </t>
  </si>
  <si>
    <t>The Company analyzes monthly DSIM rider revenues billed by customer class and DSIM cost component per the DSIM tariffs (PPC, PCR, PTD, TDR, EO, EOR, OA and OAR). Pursuant to DSIM tariffs the Company calculates monthly Throughput Disincentive for Cycle 2 based on cumulative reported deemed kWh savings by MEEIA program and customer class, monthly loadshapes per program, current margin rates per customer class and Net to Gross (NTG) Factors in the tariff. As noted above, Cycle 2 Throughput Disincentive was reset to zero after December 2022 concurrent with the new rates effective in January 2023. 
Interest is calculated on the over or under recovered Throughput Disincentive at the short-term borrowing rates defined in the DSIM tariffs.</t>
  </si>
  <si>
    <t>EO Cycle 4</t>
  </si>
  <si>
    <t>TDR Cycle 4</t>
  </si>
  <si>
    <t>The Company analyzes monthly DSIM rider revenues billed by customer class and DSIM cost component per the DSIM tariffs (PPC, PCR, PTD, TDR, EO, EOR, OA and OAR). Pursuant to DSIM tariffs the Company calculates monthly Throughput Disincentive for Cycle 4 based on cumulative reported deemed kWh savings by MEEIA program and customer class, monthly loadshapes per program, current margin rates per customer class and Net to Gross (NTG) Factors in the tariff. Interest is calculated on the over or under recovered Throughput Disincentive at the short-term borrowing rates defined in the DSIM tariffs.</t>
  </si>
  <si>
    <t>Cycle 3 - Program Year 5 through April 2025 (Amortize August 2025 -July 2026)</t>
  </si>
  <si>
    <t>Cycle 4 Throughput Disincentive TD Reconciliation (TDR) Calculation</t>
  </si>
  <si>
    <t>1. &amp; 4. Actual monthly TD - Source: Missouri West Cycle 3 Monthly TD Calc 032025 04282025.xlsx
    Forecasted monthly TD - Source: Missouri West Cycle 3 Monthly TD Calc 032025 04282025.xlsx</t>
  </si>
  <si>
    <t>3. Actual monthly TD - Source: Missouri West Cycle 3 Monthly TD Calc 032025 04282025.xlsx
    Forecasted monthly TD - Source: Missouri West Cycle 3 Monthly TD Calc 032025 04282025.xlsx</t>
  </si>
  <si>
    <t>1. Forecasted kWh savings by customer classes: Residential, Small General Service, Large General Service and Large Power Service  - Source: Missouri West Cycle 3 Monthly TD Calc 032025 04282025.xlsx</t>
  </si>
  <si>
    <t>3. Forecasted Throughput Disincentive - Source: Missouri West Cycle 3 Monthly TD Calc 032025 04282025.xlsx</t>
  </si>
  <si>
    <t xml:space="preserve">1. Total Earnings Opportunity - Source: </t>
  </si>
  <si>
    <t>6. Amortization Over 12 Month Recovery Period - Source: Column 5</t>
  </si>
  <si>
    <t>Cycle 4 - Program Year 1 through April 2026 (Amortize August 2026-July 2027)</t>
  </si>
  <si>
    <t>Cycle 4 - Program Year 2 through April 2027 (Amortize August 2027-July 2028)</t>
  </si>
  <si>
    <t>Cycle 4 - Program Year 3 through April 2028 (Amortize August 2028-July 2029)</t>
  </si>
  <si>
    <t>Cycle 3 - Program Year 3 EO TD Adjustments November 2024 through December 2024 (Amortize August 2025 - July 2026)</t>
  </si>
  <si>
    <t>3. EO TD NTG Adjustment -  Source: Missouri West Cycle 3 PY1 EO TD Adj Calc.xlsx, Missouri West Cycle 3 PY2 EO TD Adj Calc.xlsx, Missouri West Cycle 3 PY3 EO TD Adj Calc 2025 20250528.xlsx</t>
  </si>
  <si>
    <t>4. Carrying Costs @ AFUDC Rate -  Source: Missouri West Cycle 3 PY1 EO TD Adj Calc.xlsx, Missouri West Cycle 3 PY2 EO TD Adj Calc.xlsx, Missouri West Cycle 3 PY3 EO TD Adj Calc 2025 20250528.xlsx</t>
  </si>
  <si>
    <t>2. EO TD Ex Post Gross Adjustment -  Source: Missouri West Cycle 3 PY1 EO TD Adj Calc.xlsx, Missouri West Cycle 3 PY2 EO TD Adj Calc.xlsx, Missouri West Cycle 3 PY3 EO TD Adj Calc 2025 20250528.xlsx</t>
  </si>
  <si>
    <t>Actual Cycle 3 reported results were rebased with the Missouri West rate case ER-2024-0189 June 30, 2024 true-up date.</t>
  </si>
  <si>
    <t>The Company analyzes monthly DSIM rider revenues billed by customer class and DSIM cost component per the DSIM tariffs (PPC, PCR, PTD, TDR, EO, EOR, OA and OAR). Pursuant to DSIM tariffs the Company calculates monthly Throughput Disincentive for Cycle 3 based on cumulative reported deemed kWh savings by MEEIA program and customer class, monthly loadshapes per program, current margin rates per customer class and Net to Gross (NTG) Factors in the tariff. 
Cycle 3 Throughput Disincentive was rebased after June 2024 concurrent with Missouri West rate case ER-2024-0189 June 30, 2024 true-up date. Additionally, the net margin revenue rates were reset with the new rates effective in January 2025. 
Interest is calculated on the over or under recovered Throughput Disincentive at the short-term borrowing rates defined in the DSIM tariffs.</t>
  </si>
  <si>
    <t>Earnings Opportunity awards are calculated for Cycle 3 program years 1-3 following the finalization of the Evaluation, Measurement &amp; Verification (EM&amp;V) by applying the EO Matrix in the DSIM tariffs to the evaluated, net verified kWh and kW savings and other factors.  Earnings Opportunity awards are calculated for Cycle 3 program years 4-5 by applying the EO Matrix in the DSIM tariffs based on each program year's respective spend and demand response events. Additionally, the EO TD Ex Post Gross and Net to Gross Adjustments are calculated by recomputing Throughput Disincentive using the EM&amp;V reported kWh savings with carrying costs.  These calculated amounts are amortized into the DSIM rates over 12 months. This update includes Cycle 3 Earnings Opportunity for program year 3 (2022) based on the final EM&amp;V results approved in  EO TD Adjustments with carrying costs through December 2024 plus continued amortization of previously reported amounts from prior updates as appropriate.</t>
  </si>
  <si>
    <t>Earnings Opportunity awards are calculated for Cycle 4 program years 1-3 as follows:
- Demand response program earnings opportunity awards are calculated following the finalization of the Evalution, Measurement &amp; Verification (EM&amp;V) by applying the EO Matrix in the DSIM tariffs to the evaulated, net verified MW participation savings.
- All other programs' earnings opportunity awards are calculated by applying the EO Matrix in the DSIM tariffs based on each program's incentive program costs or total program costs, as applicable.
These calculated amounts are amortized into the DSIM rates over 12 months.</t>
  </si>
  <si>
    <t>Reverse May 2025 - July 2025 Forecast From 06/01/2025 Filing</t>
  </si>
  <si>
    <t>Cumulative Over/Under Carryover From 06/01/2025 Filing</t>
  </si>
  <si>
    <t>Evergy Missouri West, Inc. - DSIM Rider Update Filed 12/01/2025</t>
  </si>
  <si>
    <t>Projections for Cycle 3 January 2026 - December 2026 DSIM</t>
  </si>
  <si>
    <t>1. Forecasted kWh by  Residential, Small General Service, Large General Service and Large Power Service (Reduced for Opt-Out) - Source: Billed kWh Budget 2024+- EMW 20251117.xlsx</t>
  </si>
  <si>
    <t>3. Cycle 4 - January 2026 - December 2026</t>
  </si>
  <si>
    <t>2. Actual monthly kWh billed sales by customer classes: Residential, Small General Service, Large General Service and Large Power Service (reduced for opt-out) - Source: Missouri West MEEIA 2025 Revenue Analysis May25-Oct25.xlsx
    Forecasted monthly kWh billed sales by customer classes: Residential, Small General Service, Large General Service and Large Power Service (reduced for opt-out) - Source: Billed kWh Budget 2024+- EMW 20251117.xlsx</t>
  </si>
  <si>
    <t>3. Actual monthly billed revenues by customer classes: Residential, Small General Service, Large General Service and Large Power Service (program cost revenues only) - Source: Missouri West MEEIA 2025 Revenue Analysis May25-Oct25.xlsx
    Forecasted monthly billed revenues by customer classes: Residential, Small General Service, Large General Service and Large Power Service (program cost revenues only) - Source: calculated = Forecasted billed kWh sales X tariff rate</t>
  </si>
  <si>
    <t>2. Actual monthly billed revenues by customer classes: Residential, Small General Service, Large General Service and Large Power Service (TD revenues only) - Source: Missouri West MEEIA 2025 Revenue Analysis May25-Oct25.xlsx
Forecasted monthly billed revenues by customer classes: Residential, Small General Service, Large General Service and Large Power Service (TD revenues only) - Source: calculated = Forecasted billed kWh sales X tariff rate</t>
  </si>
  <si>
    <t>2. Actual monthly billed revenues by customer classes: Residential, Small General Service, Large General Service and Large Power Service (TD revenues only) - Source: Missouri West MEEIA 2025 Revenue Analysis May25-Oct25.xlsx
   Forecasted monthly billed revenues by customer classes: Residential, Small General Service, Large General Service and Large Power Service (TD revenues only) - Source: calculated = Forecasted billed kWh sales X tariff rate</t>
  </si>
  <si>
    <t>2. Actual monthly billed revenues by customer classes: Residential, Small General Service, Large General Service and Large Power Service (EO revenues only) - Source: Missouri West MEEIA 2025 Revenue Analysis May25-Oct25.xlsx
Forecasted monthly billed revenues by customer classes: Residential, Small General Service, Large General Service and Large Power Service (EO revenues only) - Source: calculated = Forecasted billed kWh sales X tariff rate</t>
  </si>
  <si>
    <t>2. Actual monthly billed revenues by customer classes: Residential, Small General Service, Large General Service and Large Power Service (ordered adjustments revenues only) - Source: Missouri West MEEIA 2025 Revenue Analysis May25-Oct25.xlsx
Forecasted monthly billed revenues by customer classes: Residential, Small General Service, Large General Service and Large Power Service (ordered adjustments revenues only) - Source: calculated = Forecasted billed kWh sales X tariff rate</t>
  </si>
  <si>
    <t>5. Monthly Short-Term Borrowing Rate - Source: EMW 2025 ST Int Rate Schedules May25-Oct25.xlsx</t>
  </si>
  <si>
    <t>6. Monthly Short-Term Borrowing Rate - Source: EMW 2025 ST Int Rate Schedules May25-Oct25.xlsx</t>
  </si>
  <si>
    <t>6. Amortization Over 24 Month Recovery Period - Source: none</t>
  </si>
  <si>
    <t>Cycle 3 - Program Year 5 May 2025 through October 2025 (Amortize February 2026 -January 2027)</t>
  </si>
  <si>
    <t>6. Amortization Over 12 Month Recovery Period - Source: Column 5  
- Program Year 3 EO TD Adjustments May 2024 through October 2024 divided by 12 times 1 months in forecast period
- Program Year 3 EO TD Adjustments November 2024 through December 2024 divided by 12 times 7 months in forecast period
- Program Year 5 through April 2025 divided by 12 times 7 months in forecast period
- Program Year 5 May 2025 through October 2025 divided by 12 times 11 months in forecast period</t>
  </si>
  <si>
    <t>1. &amp; 4. Actual monthly TD - Source: Missouri West C4 Monthly TD Calc incl forecast- 102025 11172025.xlsx
    Forecasted monthly TD - Source: Missouri West C4 Monthly TD Calc incl forecast- 102025 11172025.xlsx</t>
  </si>
  <si>
    <t>3. Actual monthly TD - Source: Missouri West C4 Monthly TD Calc incl forecast- 102025 11172025.xlsx
    Forecasted monthly TD - Source: Missouri West C4 Monthly TD Calc incl forecast- 102025 11172025.xlsx</t>
  </si>
  <si>
    <t>1. Forecasted kWh savings by customer classes: Residential, Small General Service, Large General Service and Large Power Service - Source: Missouri West C4 Monthly TD Calc incl forecast- 102025 11172025.xlsx</t>
  </si>
  <si>
    <t>3. Forecasted Throughput Disincentive - Source: Missouri West C4 Monthly TD Calc incl forecast- 102025 11172025.xlsx</t>
  </si>
  <si>
    <t>3. Cycle 3 PY5 Extension Post-6/30/2025 True-Up - January 2026 - December 2026</t>
  </si>
  <si>
    <t>1. Actual monthly program costs allocated to customer classes: Residential, Small General Service, Large General Service and Large Power Service - Source: 105 2025 MO West C3 Spend Allocations Worksheet FINAL.xlsx, 06 2025 MO West C3 Spend Allocations Worksheet FINAL.xlsx, 07 2025 MO West C3 Spend Allocations Worksheet FINAL.xlsx, 08 2025 MO West C3 Spend Allocations Worksheet FINAL.xlsx, 09 2025 MO West C3 Spend Allocations Worksheet FINAL.xlsx, 10 2025 MO West C3 Spend Allocations Worksheet FINAL.xlsx
    Forecasted monthly program costs allocated to customer classes: Residential, Small General Service, Large General Service and Large Power Service - Source: n/a</t>
  </si>
  <si>
    <t>Calculation of DSIM Rates by Customer Class Effective February 1, 2026 through January 31, 2027</t>
  </si>
  <si>
    <t>Projected Throughput Disincentive for Cycle 3 for the period January 2026 through December 2026</t>
  </si>
  <si>
    <t>Projected Throughput Disincentive for Cycle 4 for the period January 2026 through December 2026</t>
  </si>
  <si>
    <t>Earnings Opportunity Cycle 2, including EO TD Ex Post Gross and Net to Gross Adjustments (EO TD Adjustments) for the period January 2026 through December 2026</t>
  </si>
  <si>
    <t>Earnings Opportunity Cycle 3, including EO TD Ex Post Gross and Net to Gross Adjustments (EO TD Adjustments) for the period January 2026 through December 2026</t>
  </si>
  <si>
    <t>Earnings Opportunity Cycle 4 calculated for the period January 2026 through December 2026</t>
  </si>
  <si>
    <t>Ordered Adjustments for Cycle 3 for the period January 2026 through December 2026</t>
  </si>
  <si>
    <t>Projected Program Costs for Cycle 4 for the period January 2026 through December 2026 and projected billed kWh sales for the period February 2026 through January 2027</t>
  </si>
  <si>
    <t>Program Cost Reconciliation for Cycle 3 for the period May 2025 through October 2025 compares the DSIM revenues billed for the Cycle 3 cost components to actual program costs incurred plus the carryforward of under or over recovered Cycle 3 Program Costs.</t>
  </si>
  <si>
    <t>Program Cost Reconciliation for Cycle 4 for the period May 2025 through October 2025 compares the DSIM revenues billed for the Cycle 4 cost components to actual planning and program costs incurred plus the carryforward of under or over recovered Cycle 4 planning costs.</t>
  </si>
  <si>
    <t>Throughput Disincentive Reconciliation for Cycle 3 for the period May 2025 through October 2025 compares the DSIM revenues billed for the Cycle 3 cost components to calculated Throughput Disincentive for Cycle 3 and the carryforward of under or over recovered Cycle 3 Throughput Disincentive.</t>
  </si>
  <si>
    <t>Throughput Disincentive Reconciliation for Cycle 4 for the period May 2025 through October 2025 compares the DSIM revenues billed for the Cycle 4 cost components to calculated Throughput Disincentive for Cycle 4 and the carryforward of under or over recovered Cycle 4 Throughput Disincentive.</t>
  </si>
  <si>
    <t>Earnings Opportunity Reconciliation for Cycle 2 for the period May 2025 through October 2025 compares the DSIM revenues billed for the Cycle 2 cost components to amortization of EO Cycle 2 above and the carryforward of under or over recovered Cycle 2 Earnings Opportunity.</t>
  </si>
  <si>
    <t>Earnings Opportunity Reconciliation for Cycle 3 for the period May 2025 through October 2025 compares the DSIM revenues billed for the Cycle 3 cost components to amortization of EO Cycle 3 above and the carryforward of under or over recovered Cycle 3 Earnings Opportunity.</t>
  </si>
  <si>
    <t>Ordered Adjustments Reconciliation for Cycle 3 for the period May 2025 through October 2025 compares the DSIM revenues billed for the Cycle 3 cost components to the carryforward of under or over recovered Cycle 3 Ordered Adjustments.</t>
  </si>
  <si>
    <t>None - There were no additional Ordered Adjustments for Cycle 3 for the period January 2026 through December 2026 as of December 1, 2025.</t>
  </si>
  <si>
    <t>3. Forecasted program costs by customer class - Source: EMW MEEIA RIDER FORECAST PROGRAM COSTS- 20251121.xlsx</t>
  </si>
  <si>
    <t>1. Actual monthly program costs allocated to customer classes: Residential, Small General Service, Large General Service and Large Power Service - Source: 052025 C4 Spend (incl EO) Alloc Calc FINAL 06072025.xlsb, 062025 C4 Spend (incl EO) Alloc Calc FINAL 07092025.xlsb, 072025 C4 Spend (incl EO) Alloc Calc FINAL 08222025.xlsb, 082025 C4 Spend (incl EO) Alloc Calc FINAL 09082025.xlsb, 092025 C4 Spend (incl EO) Alloc Calc FINAL 10072025.xlsb, 102025 C4 Spend (incl EO) Alloc Calc FINAL 11072025.xlsb
    Forecasted monthly program costs allocated to customer classes: Residential, Small General Service, Large General Service and Large Power Service - Source: EMW MEEIA RIDER FORECAST PROGRAM COSTS- 20251121.xlsx</t>
  </si>
  <si>
    <t>1. Total Earnings Opportunity - Source: Q0030_MO West EO Calculated Cycle 3 PY1.xlsx, Q0030_MO West EO Calculated Cycle 3 PY2.xlsx, Missouri West EO Calculated Cycle 3 PY3.xlsx, Missouri West EO Calculated Cycle 3 PY4.xlsb, Missouri West EO Calculated Cycle 3 PY5.xlsb, CONF_Metro EO PY5 2024 10062025.xlsb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</si>
</sst>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 numFmtId="176" formatCode="_(* #,##0.0000000_);_(* \(#,##0.0000000\);_(* &quot;-&quot;??_);_(@_)"/>
    <numFmt numFmtId="177" formatCode="0.0%"/>
    <numFmt numFmtId="178" formatCode="_(&quot;$&quot;* #,##0.00000_);_(&quot;$&quot;* \(#,##0.00000\);_(&quot;$&quot;* &quot;-&quot;_);_(@_)"/>
    <numFmt numFmtId="179" formatCode="_(&quot;$&quot;* #,##0.0000000_);_(&quot;$&quot;* \(#,##0.0000000\);_(&quot;$&quot;* &quot;-&quot;???????_);_(@_)"/>
    <numFmt numFmtId="182" formatCode="_(&quot;$&quot;* #,##0.00_);_(&quot;$&quot;* \(#,##0.00\);_(&quot;$&quot;* &quot;-&quot;_);_(@_)"/>
  </numFmts>
  <fonts count="56"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9"/>
      <color indexed="81"/>
      <name val="Tahoma"/>
      <family val="2"/>
    </font>
    <font>
      <b/>
      <sz val="9"/>
      <color indexed="81"/>
      <name val="Tahoma"/>
      <family val="2"/>
    </font>
    <font>
      <sz val="10"/>
      <color rgb="FF008000"/>
      <name val="Courier New"/>
      <family val="3"/>
    </font>
    <font>
      <sz val="11"/>
      <color rgb="FFFF00FF"/>
      <name val="Calibri"/>
      <family val="2"/>
      <scheme val="minor"/>
    </font>
    <font>
      <b/>
      <sz val="10"/>
      <color rgb="FFFF00FF"/>
      <name val="Courier New"/>
      <family val="3"/>
    </font>
    <font>
      <sz val="10"/>
      <color rgb="FF0000FF"/>
      <name val="Courier New"/>
      <family val="3"/>
    </font>
    <font>
      <sz val="11"/>
      <color rgb="FF008000"/>
      <name val="Calibri"/>
      <family val="2"/>
      <scheme val="minor"/>
    </font>
    <font>
      <sz val="11"/>
      <color rgb="FF0000FF"/>
      <name val="Calibri"/>
      <family val="2"/>
      <scheme val="minor"/>
    </font>
    <font>
      <b/>
      <sz val="11"/>
      <color rgb="FF0000FF"/>
      <name val="Calibri"/>
      <family val="2"/>
      <scheme val="minor"/>
    </font>
    <font>
      <i/>
      <sz val="11"/>
      <color rgb="FF0000FF"/>
      <name val="Calibri"/>
      <family val="2"/>
      <scheme val="minor"/>
    </font>
    <font>
      <b/>
      <sz val="11"/>
      <color rgb="FF0000CC"/>
      <name val="Calibri"/>
      <family val="2"/>
      <scheme val="minor"/>
    </font>
    <font>
      <sz val="10"/>
      <color rgb="FFFF00FF"/>
      <name val="Courier New"/>
      <family val="3"/>
    </font>
    <font>
      <sz val="11"/>
      <color rgb="FFC00000"/>
      <name val="Calibri"/>
      <family val="2"/>
      <scheme val="minor"/>
    </font>
    <font>
      <sz val="11"/>
      <color rgb="FF0000CC"/>
      <name val="Calibri"/>
      <family val="2"/>
      <scheme val="minor"/>
    </font>
    <font>
      <sz val="11"/>
      <color rgb="FF00B050"/>
      <name val="Calibri"/>
      <family val="2"/>
      <scheme val="minor"/>
    </font>
    <font>
      <sz val="10"/>
      <color theme="7"/>
      <name val="Courier New"/>
      <family val="3"/>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FFEB9C"/>
        <bgColor indexed="64"/>
      </patternFill>
    </fill>
  </fills>
  <borders count="8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top style="thin">
        <color rgb="FF3F3F3F"/>
      </top>
      <bottom/>
      <diagonal/>
    </border>
    <border>
      <left style="thin">
        <color indexed="64"/>
      </left>
      <right/>
      <top style="thin">
        <color indexed="64"/>
      </top>
      <bottom style="thin">
        <color indexed="64"/>
      </bottom>
      <diagonal/>
    </border>
    <border>
      <left style="thin">
        <color indexed="64"/>
      </left>
      <right style="thin">
        <color indexed="64"/>
      </right>
      <top style="thin">
        <color rgb="FF3F3F3F"/>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7F7F7F"/>
      </top>
      <bottom style="thin">
        <color rgb="FF7F7F7F"/>
      </bottom>
      <diagonal/>
    </border>
    <border>
      <left style="thin">
        <color indexed="64"/>
      </left>
      <right style="thin">
        <color indexed="64"/>
      </right>
      <top style="thin">
        <color rgb="FF7F7F7F"/>
      </top>
      <bottom style="thin">
        <color indexed="64"/>
      </bottom>
      <diagonal/>
    </border>
    <border>
      <left/>
      <right style="thin">
        <color rgb="FF7F7F7F"/>
      </right>
      <top style="thin">
        <color rgb="FF7F7F7F"/>
      </top>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5" applyNumberFormat="0" applyFill="0" applyAlignment="0" applyProtection="0"/>
    <xf numFmtId="0" fontId="16" fillId="0" borderId="0" applyNumberFormat="0" applyFill="0" applyBorder="0" applyAlignment="0" applyProtection="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556">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0" fontId="0" fillId="0" borderId="0" xfId="0" applyNumberFormat="1"/>
    <xf numFmtId="165" fontId="14" fillId="7" borderId="1" xfId="13" applyNumberFormat="1"/>
    <xf numFmtId="167" fontId="5" fillId="5" borderId="1" xfId="6" applyNumberFormat="1"/>
    <xf numFmtId="167"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0" fontId="0" fillId="0" borderId="0" xfId="0"/>
    <xf numFmtId="165" fontId="0" fillId="0" borderId="0" xfId="0" applyNumberFormat="1"/>
    <xf numFmtId="0" fontId="8" fillId="0" borderId="0" xfId="0" applyFont="1" applyAlignment="1">
      <alignment horizontal="center"/>
    </xf>
    <xf numFmtId="165" fontId="14" fillId="7" borderId="31" xfId="13" applyNumberFormat="1" applyBorder="1"/>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4" xfId="0" applyNumberFormat="1" applyBorder="1"/>
    <xf numFmtId="44" fontId="0" fillId="0" borderId="35"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41" fontId="5" fillId="5" borderId="13" xfId="6" applyNumberFormat="1" applyBorder="1"/>
    <xf numFmtId="41" fontId="5" fillId="5" borderId="1" xfId="6" applyNumberFormat="1" applyBorder="1"/>
    <xf numFmtId="3" fontId="4" fillId="4" borderId="37" xfId="5"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39" xfId="0" applyNumberFormat="1" applyBorder="1"/>
    <xf numFmtId="44" fontId="6" fillId="6" borderId="40"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165" fontId="5" fillId="0" borderId="15" xfId="11" applyNumberFormat="1" applyFont="1" applyFill="1" applyBorder="1"/>
    <xf numFmtId="171" fontId="0" fillId="0" borderId="9" xfId="0" applyNumberFormat="1" applyFill="1" applyBorder="1"/>
    <xf numFmtId="171" fontId="0" fillId="0" borderId="9" xfId="2" applyNumberFormat="1" applyFont="1" applyFill="1" applyBorder="1"/>
    <xf numFmtId="44" fontId="6" fillId="0" borderId="33"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1" xfId="11" applyNumberFormat="1" applyFont="1" applyFill="1" applyBorder="1"/>
    <xf numFmtId="167" fontId="6" fillId="0" borderId="33" xfId="1" applyNumberFormat="1" applyFont="1" applyFill="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46" xfId="11" applyNumberFormat="1" applyFont="1" applyFill="1" applyBorder="1"/>
    <xf numFmtId="165" fontId="14" fillId="7" borderId="23" xfId="13" applyNumberFormat="1" applyBorder="1"/>
    <xf numFmtId="44" fontId="6" fillId="6" borderId="47"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170" fontId="10" fillId="0" borderId="4" xfId="0" applyNumberFormat="1" applyFont="1" applyFill="1" applyBorder="1" applyAlignment="1">
      <alignment vertical="center"/>
    </xf>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3" fontId="4" fillId="4" borderId="48" xfId="5" applyNumberFormat="1" applyBorder="1"/>
    <xf numFmtId="165" fontId="4" fillId="4" borderId="50" xfId="5" applyNumberFormat="1" applyBorder="1"/>
    <xf numFmtId="165" fontId="4" fillId="4" borderId="48" xfId="5" applyNumberFormat="1" applyBorder="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44" fontId="6" fillId="6" borderId="51"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172" fontId="0" fillId="0" borderId="0" xfId="0" applyNumberFormat="1"/>
    <xf numFmtId="165" fontId="4" fillId="4" borderId="52" xfId="5" applyNumberFormat="1" applyBorder="1"/>
    <xf numFmtId="41" fontId="4" fillId="4" borderId="53" xfId="5" applyNumberFormat="1" applyBorder="1"/>
    <xf numFmtId="165"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44" fontId="0" fillId="0" borderId="10" xfId="0"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3" fontId="4" fillId="4" borderId="53" xfId="5" applyNumberFormat="1" applyBorder="1"/>
    <xf numFmtId="165" fontId="4" fillId="4" borderId="54" xfId="5" applyNumberFormat="1" applyBorder="1"/>
    <xf numFmtId="165" fontId="5" fillId="5" borderId="21" xfId="11" applyNumberFormat="1" applyFont="1" applyFill="1" applyBorder="1"/>
    <xf numFmtId="41" fontId="5" fillId="5" borderId="31" xfId="6" applyNumberFormat="1" applyBorder="1"/>
    <xf numFmtId="172" fontId="0" fillId="0" borderId="0" xfId="0" applyNumberFormat="1" applyFill="1"/>
    <xf numFmtId="172" fontId="30" fillId="0" borderId="4" xfId="0" applyNumberFormat="1" applyFont="1" applyFill="1" applyBorder="1" applyAlignment="1">
      <alignment horizontal="center"/>
    </xf>
    <xf numFmtId="41" fontId="5" fillId="5" borderId="58" xfId="6" applyNumberFormat="1" applyBorder="1"/>
    <xf numFmtId="41" fontId="5" fillId="5" borderId="59" xfId="6" applyNumberFormat="1" applyBorder="1"/>
    <xf numFmtId="43" fontId="0" fillId="0" borderId="0" xfId="1" applyFont="1"/>
    <xf numFmtId="171" fontId="0" fillId="0" borderId="0" xfId="0" applyNumberFormat="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0" fontId="0" fillId="39" borderId="64" xfId="0" applyFill="1" applyBorder="1" applyAlignment="1">
      <alignment horizontal="center" wrapText="1"/>
    </xf>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13" fillId="7" borderId="70" xfId="12" applyNumberFormat="1" applyBorder="1"/>
    <xf numFmtId="165" fontId="14" fillId="7" borderId="70" xfId="13" applyNumberFormat="1" applyBorder="1"/>
    <xf numFmtId="0" fontId="8" fillId="0" borderId="70" xfId="0" applyFont="1" applyBorder="1" applyAlignment="1">
      <alignment horizontal="center"/>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8" fillId="0" borderId="0" xfId="0" applyNumberFormat="1" applyFont="1"/>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165" fontId="13" fillId="7" borderId="74" xfId="12" applyNumberFormat="1" applyBorder="1"/>
    <xf numFmtId="165" fontId="13" fillId="7" borderId="75" xfId="12" applyNumberFormat="1" applyBorder="1"/>
    <xf numFmtId="165" fontId="13" fillId="7" borderId="76" xfId="12" applyNumberFormat="1" applyBorder="1"/>
    <xf numFmtId="42" fontId="14" fillId="7" borderId="77" xfId="13" applyNumberFormat="1" applyBorder="1"/>
    <xf numFmtId="42" fontId="14" fillId="7" borderId="78" xfId="13" applyNumberFormat="1" applyBorder="1"/>
    <xf numFmtId="42" fontId="14" fillId="7" borderId="0" xfId="13" applyNumberFormat="1" applyBorder="1"/>
    <xf numFmtId="42" fontId="5" fillId="5" borderId="14" xfId="6" applyNumberFormat="1" applyBorder="1"/>
    <xf numFmtId="0" fontId="8" fillId="0" borderId="0" xfId="0" applyFont="1" applyAlignment="1">
      <alignment horizontal="left"/>
    </xf>
    <xf numFmtId="42" fontId="14" fillId="0" borderId="0" xfId="13" applyNumberFormat="1" applyFill="1" applyBorder="1"/>
    <xf numFmtId="42" fontId="33" fillId="7" borderId="70" xfId="13" applyNumberFormat="1" applyFont="1" applyBorder="1"/>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7" fontId="0" fillId="0" borderId="0" xfId="2" applyNumberFormat="1" applyFont="1"/>
    <xf numFmtId="0" fontId="8" fillId="0" borderId="79" xfId="0" applyFont="1" applyBorder="1" applyAlignment="1">
      <alignment horizontal="center" wrapText="1"/>
    </xf>
    <xf numFmtId="167" fontId="14" fillId="7" borderId="81" xfId="13" applyNumberFormat="1" applyBorder="1"/>
    <xf numFmtId="43" fontId="0" fillId="0" borderId="0" xfId="0" applyNumberFormat="1"/>
    <xf numFmtId="43" fontId="8" fillId="0" borderId="0" xfId="1" applyFont="1" applyAlignment="1">
      <alignment horizontal="center" wrapText="1"/>
    </xf>
    <xf numFmtId="0" fontId="8" fillId="0" borderId="0" xfId="0" applyFont="1" applyAlignment="1">
      <alignment wrapText="1"/>
    </xf>
    <xf numFmtId="165" fontId="0" fillId="0" borderId="0" xfId="0" applyNumberFormat="1" applyFill="1" applyBorder="1"/>
    <xf numFmtId="165" fontId="5" fillId="0" borderId="23" xfId="6" applyNumberFormat="1" applyFill="1" applyBorder="1"/>
    <xf numFmtId="0" fontId="7" fillId="0" borderId="0" xfId="8" applyFill="1" applyBorder="1"/>
    <xf numFmtId="41" fontId="5" fillId="0" borderId="23" xfId="6" applyNumberFormat="1" applyFill="1" applyBorder="1"/>
    <xf numFmtId="165" fontId="5" fillId="0" borderId="46" xfId="11" applyNumberFormat="1" applyFont="1" applyFill="1" applyBorder="1"/>
    <xf numFmtId="171" fontId="0" fillId="0" borderId="0" xfId="0" applyNumberFormat="1" applyFill="1" applyBorder="1"/>
    <xf numFmtId="165" fontId="14" fillId="7" borderId="82" xfId="13" applyNumberFormat="1" applyBorder="1"/>
    <xf numFmtId="167" fontId="6" fillId="0" borderId="56" xfId="1" applyNumberFormat="1" applyFont="1" applyFill="1" applyBorder="1"/>
    <xf numFmtId="44" fontId="6" fillId="0" borderId="56" xfId="7" applyNumberFormat="1" applyFill="1" applyBorder="1"/>
    <xf numFmtId="0" fontId="0" fillId="39" borderId="3" xfId="0" applyFill="1" applyBorder="1" applyAlignment="1">
      <alignment horizontal="center" wrapText="1"/>
    </xf>
    <xf numFmtId="170" fontId="36" fillId="0" borderId="6" xfId="0" applyNumberFormat="1" applyFont="1" applyFill="1" applyBorder="1" applyAlignment="1">
      <alignment vertical="center"/>
    </xf>
    <xf numFmtId="170" fontId="38" fillId="0" borderId="0" xfId="0" applyNumberFormat="1" applyFont="1" applyFill="1" applyAlignment="1"/>
    <xf numFmtId="0" fontId="38" fillId="0" borderId="0" xfId="0" applyFont="1"/>
    <xf numFmtId="165" fontId="7" fillId="0" borderId="9" xfId="8" applyNumberFormat="1" applyBorder="1"/>
    <xf numFmtId="165" fontId="5" fillId="0" borderId="9" xfId="2" applyNumberFormat="1" applyFont="1" applyFill="1" applyBorder="1"/>
    <xf numFmtId="165" fontId="6" fillId="6" borderId="51" xfId="7" applyNumberFormat="1" applyBorder="1"/>
    <xf numFmtId="0" fontId="8" fillId="0" borderId="0" xfId="0" applyFont="1" applyAlignment="1">
      <alignment horizontal="left" vertical="center" wrapText="1"/>
    </xf>
    <xf numFmtId="170" fontId="36" fillId="0" borderId="4" xfId="0" applyNumberFormat="1" applyFont="1" applyFill="1" applyBorder="1" applyAlignment="1">
      <alignment vertical="center"/>
    </xf>
    <xf numFmtId="44" fontId="33" fillId="0" borderId="0" xfId="1" applyNumberFormat="1" applyFont="1" applyAlignment="1">
      <alignment horizontal="right"/>
    </xf>
    <xf numFmtId="0" fontId="8" fillId="0" borderId="0" xfId="0" applyFont="1" applyFill="1" applyAlignment="1">
      <alignment wrapText="1"/>
    </xf>
    <xf numFmtId="0" fontId="8" fillId="0" borderId="0" xfId="0" applyFont="1" applyAlignment="1">
      <alignment horizontal="left"/>
    </xf>
    <xf numFmtId="0" fontId="8" fillId="0" borderId="0" xfId="0" applyFont="1" applyFill="1" applyAlignment="1"/>
    <xf numFmtId="0" fontId="8" fillId="0" borderId="0" xfId="0" applyFont="1" applyAlignment="1">
      <alignment horizontal="left" vertical="center" wrapText="1"/>
    </xf>
    <xf numFmtId="0" fontId="8" fillId="0" borderId="0" xfId="0" applyFont="1" applyAlignment="1">
      <alignment horizontal="left"/>
    </xf>
    <xf numFmtId="0" fontId="8" fillId="0" borderId="0" xfId="0" applyFont="1" applyAlignment="1">
      <alignment horizontal="left"/>
    </xf>
    <xf numFmtId="44" fontId="8" fillId="0" borderId="0" xfId="0" applyNumberFormat="1" applyFont="1" applyFill="1" applyAlignment="1">
      <alignment horizontal="center" wrapText="1"/>
    </xf>
    <xf numFmtId="0" fontId="8" fillId="0" borderId="0" xfId="0" applyFont="1" applyAlignment="1">
      <alignment horizontal="left"/>
    </xf>
    <xf numFmtId="0" fontId="0" fillId="0" borderId="0" xfId="0" applyAlignment="1">
      <alignment wrapText="1"/>
    </xf>
    <xf numFmtId="0" fontId="8" fillId="0" borderId="70" xfId="0" applyFont="1" applyBorder="1"/>
    <xf numFmtId="0" fontId="8" fillId="0" borderId="70" xfId="0" applyFont="1" applyBorder="1" applyAlignment="1">
      <alignment wrapText="1"/>
    </xf>
    <xf numFmtId="0" fontId="8" fillId="0" borderId="70" xfId="0" applyFont="1" applyBorder="1" applyAlignment="1">
      <alignment vertical="top"/>
    </xf>
    <xf numFmtId="0" fontId="0" fillId="0" borderId="0" xfId="0" applyAlignment="1">
      <alignment vertical="top"/>
    </xf>
    <xf numFmtId="0" fontId="8" fillId="0" borderId="0" xfId="0" applyFont="1" applyAlignment="1">
      <alignment vertical="top"/>
    </xf>
    <xf numFmtId="0" fontId="0" fillId="0" borderId="0" xfId="0" applyAlignment="1">
      <alignment vertical="top" wrapText="1"/>
    </xf>
    <xf numFmtId="42" fontId="42" fillId="0" borderId="6" xfId="0" applyNumberFormat="1" applyFont="1" applyBorder="1" applyAlignment="1">
      <alignment horizontal="right"/>
    </xf>
    <xf numFmtId="176" fontId="43" fillId="0" borderId="0" xfId="1" applyNumberFormat="1" applyFont="1"/>
    <xf numFmtId="0" fontId="44" fillId="0" borderId="0" xfId="0" applyFont="1" applyFill="1" applyBorder="1" applyAlignment="1">
      <alignment horizontal="center" vertical="center" wrapText="1"/>
    </xf>
    <xf numFmtId="172" fontId="45" fillId="0" borderId="6" xfId="0" applyNumberFormat="1" applyFont="1" applyFill="1" applyBorder="1" applyAlignment="1">
      <alignment horizontal="right"/>
    </xf>
    <xf numFmtId="172" fontId="45" fillId="0" borderId="6" xfId="0" quotePrefix="1" applyNumberFormat="1" applyFont="1" applyFill="1" applyBorder="1" applyAlignment="1">
      <alignment horizontal="right"/>
    </xf>
    <xf numFmtId="172" fontId="45" fillId="0" borderId="6" xfId="0" applyNumberFormat="1" applyFont="1" applyBorder="1" applyAlignment="1">
      <alignment horizontal="right"/>
    </xf>
    <xf numFmtId="172" fontId="42" fillId="0" borderId="6" xfId="0" applyNumberFormat="1" applyFont="1" applyBorder="1" applyAlignment="1">
      <alignment horizontal="right"/>
    </xf>
    <xf numFmtId="172" fontId="42" fillId="0" borderId="6" xfId="0" applyNumberFormat="1" applyFont="1" applyFill="1" applyBorder="1" applyAlignment="1">
      <alignment horizontal="right"/>
    </xf>
    <xf numFmtId="172" fontId="42" fillId="0" borderId="6" xfId="0" quotePrefix="1" applyNumberFormat="1" applyFont="1" applyFill="1" applyBorder="1" applyAlignment="1">
      <alignment horizontal="right"/>
    </xf>
    <xf numFmtId="178" fontId="42" fillId="0" borderId="6" xfId="0" applyNumberFormat="1" applyFont="1" applyBorder="1" applyAlignment="1">
      <alignment horizontal="right"/>
    </xf>
    <xf numFmtId="175" fontId="42" fillId="0" borderId="6" xfId="1" applyNumberFormat="1" applyFont="1" applyBorder="1" applyAlignment="1">
      <alignment horizontal="right" vertical="center"/>
    </xf>
    <xf numFmtId="175" fontId="43" fillId="0" borderId="0" xfId="0" applyNumberFormat="1" applyFont="1"/>
    <xf numFmtId="0" fontId="44" fillId="0" borderId="0" xfId="0" applyFont="1" applyFill="1" applyBorder="1" applyAlignment="1">
      <alignment vertical="center" wrapText="1"/>
    </xf>
    <xf numFmtId="0" fontId="47" fillId="0" borderId="9" xfId="0" applyFont="1" applyFill="1" applyBorder="1"/>
    <xf numFmtId="0" fontId="49" fillId="0" borderId="9" xfId="8" applyFont="1" applyFill="1" applyBorder="1"/>
    <xf numFmtId="44" fontId="47" fillId="0" borderId="9" xfId="0" applyNumberFormat="1" applyFont="1" applyFill="1" applyBorder="1"/>
    <xf numFmtId="165" fontId="48" fillId="7" borderId="43" xfId="13" applyNumberFormat="1" applyFont="1" applyBorder="1"/>
    <xf numFmtId="165" fontId="48" fillId="7" borderId="44" xfId="13" applyNumberFormat="1" applyFont="1" applyBorder="1"/>
    <xf numFmtId="43" fontId="43" fillId="0" borderId="0" xfId="1" applyFont="1"/>
    <xf numFmtId="165" fontId="48" fillId="7" borderId="72" xfId="13" applyNumberFormat="1" applyFont="1" applyBorder="1"/>
    <xf numFmtId="165" fontId="47" fillId="0" borderId="9" xfId="6" applyNumberFormat="1" applyFont="1" applyFill="1" applyBorder="1"/>
    <xf numFmtId="171" fontId="46" fillId="0" borderId="0" xfId="2" applyNumberFormat="1" applyFont="1" applyBorder="1"/>
    <xf numFmtId="171" fontId="46" fillId="0" borderId="9" xfId="2" applyNumberFormat="1" applyFont="1" applyBorder="1"/>
    <xf numFmtId="171" fontId="46" fillId="0" borderId="10" xfId="0" applyNumberFormat="1" applyFont="1" applyBorder="1"/>
    <xf numFmtId="165" fontId="48" fillId="0" borderId="13" xfId="13" applyNumberFormat="1" applyFont="1" applyFill="1" applyBorder="1"/>
    <xf numFmtId="0" fontId="8" fillId="0" borderId="0" xfId="0" applyFont="1" applyFill="1" applyAlignment="1">
      <alignment horizontal="left"/>
    </xf>
    <xf numFmtId="0" fontId="7" fillId="0" borderId="9" xfId="8" applyFill="1" applyBorder="1"/>
    <xf numFmtId="0" fontId="0" fillId="0" borderId="10" xfId="0" applyFill="1" applyBorder="1"/>
    <xf numFmtId="0" fontId="7" fillId="0" borderId="10" xfId="8" applyFill="1" applyBorder="1"/>
    <xf numFmtId="171" fontId="47" fillId="0" borderId="0" xfId="2" applyNumberFormat="1" applyFont="1" applyBorder="1"/>
    <xf numFmtId="171" fontId="47" fillId="0" borderId="9" xfId="2" applyNumberFormat="1" applyFont="1" applyBorder="1"/>
    <xf numFmtId="171" fontId="47" fillId="0" borderId="10" xfId="0" applyNumberFormat="1" applyFont="1" applyBorder="1"/>
    <xf numFmtId="167" fontId="0" fillId="0" borderId="0" xfId="0" applyNumberFormat="1"/>
    <xf numFmtId="44" fontId="7" fillId="0" borderId="10" xfId="8" applyNumberFormat="1" applyFill="1" applyBorder="1"/>
    <xf numFmtId="41" fontId="0" fillId="0" borderId="0" xfId="0" applyNumberFormat="1" applyFill="1" applyBorder="1"/>
    <xf numFmtId="43" fontId="8" fillId="0" borderId="0" xfId="1" applyFont="1" applyFill="1" applyAlignment="1">
      <alignment horizontal="center"/>
    </xf>
    <xf numFmtId="165" fontId="13" fillId="40" borderId="75" xfId="12" applyNumberFormat="1" applyFill="1" applyBorder="1"/>
    <xf numFmtId="165" fontId="5" fillId="37" borderId="1" xfId="6" applyNumberFormat="1" applyFill="1"/>
    <xf numFmtId="165" fontId="50" fillId="7" borderId="43" xfId="13" applyNumberFormat="1" applyFont="1" applyBorder="1"/>
    <xf numFmtId="165" fontId="50" fillId="7" borderId="72" xfId="13" applyNumberFormat="1" applyFont="1" applyBorder="1"/>
    <xf numFmtId="165" fontId="50" fillId="7" borderId="44" xfId="13" applyNumberFormat="1" applyFont="1" applyBorder="1"/>
    <xf numFmtId="165" fontId="50" fillId="0" borderId="13" xfId="13" applyNumberFormat="1" applyFont="1" applyFill="1" applyBorder="1"/>
    <xf numFmtId="179" fontId="38" fillId="0" borderId="0" xfId="0" applyNumberFormat="1" applyFont="1"/>
    <xf numFmtId="179" fontId="0" fillId="0" borderId="0" xfId="0" applyNumberFormat="1"/>
    <xf numFmtId="0" fontId="8" fillId="0" borderId="0" xfId="0" applyFont="1" applyAlignment="1">
      <alignment horizontal="left" vertical="center" wrapText="1"/>
    </xf>
    <xf numFmtId="0" fontId="8" fillId="0" borderId="0" xfId="0" applyFont="1" applyAlignment="1">
      <alignment horizontal="left"/>
    </xf>
    <xf numFmtId="167" fontId="0" fillId="0" borderId="0" xfId="1" applyNumberFormat="1" applyFont="1"/>
    <xf numFmtId="3" fontId="0" fillId="0" borderId="0" xfId="0" applyNumberFormat="1"/>
    <xf numFmtId="44" fontId="0" fillId="0" borderId="0" xfId="0" applyNumberFormat="1" applyFill="1"/>
    <xf numFmtId="172" fontId="51" fillId="0" borderId="6" xfId="0" applyNumberFormat="1" applyFont="1" applyBorder="1" applyAlignment="1">
      <alignment horizontal="right"/>
    </xf>
    <xf numFmtId="170" fontId="51" fillId="0" borderId="5" xfId="0" applyNumberFormat="1" applyFont="1" applyFill="1" applyBorder="1" applyAlignment="1">
      <alignment vertical="center"/>
    </xf>
    <xf numFmtId="0" fontId="8" fillId="0" borderId="0" xfId="0" quotePrefix="1" applyFont="1" applyFill="1"/>
    <xf numFmtId="0" fontId="52" fillId="0" borderId="0" xfId="0" quotePrefix="1" applyFont="1"/>
    <xf numFmtId="165" fontId="7" fillId="0" borderId="0" xfId="8" applyNumberFormat="1" applyBorder="1"/>
    <xf numFmtId="164" fontId="0" fillId="0" borderId="12" xfId="0" applyNumberFormat="1" applyFill="1" applyBorder="1"/>
    <xf numFmtId="165" fontId="14" fillId="0" borderId="23" xfId="13" applyNumberFormat="1" applyFill="1" applyBorder="1"/>
    <xf numFmtId="171" fontId="0" fillId="0" borderId="0" xfId="2" applyNumberFormat="1" applyFont="1" applyFill="1" applyBorder="1"/>
    <xf numFmtId="165" fontId="5" fillId="0" borderId="26" xfId="6" applyNumberFormat="1" applyFill="1" applyBorder="1"/>
    <xf numFmtId="0" fontId="53" fillId="39" borderId="3" xfId="0" applyFont="1" applyFill="1" applyBorder="1" applyAlignment="1">
      <alignment horizontal="center" wrapText="1"/>
    </xf>
    <xf numFmtId="0" fontId="50" fillId="0" borderId="0" xfId="0" quotePrefix="1" applyFont="1"/>
    <xf numFmtId="165" fontId="5" fillId="0" borderId="82" xfId="11" applyNumberFormat="1" applyFont="1" applyFill="1" applyBorder="1"/>
    <xf numFmtId="165" fontId="50" fillId="0" borderId="23" xfId="13" applyNumberFormat="1" applyFont="1" applyFill="1" applyBorder="1"/>
    <xf numFmtId="43" fontId="8" fillId="0" borderId="0" xfId="1" applyFont="1" applyAlignment="1">
      <alignment horizontal="center"/>
    </xf>
    <xf numFmtId="182" fontId="0" fillId="0" borderId="0" xfId="0" applyNumberFormat="1"/>
    <xf numFmtId="182" fontId="13" fillId="7" borderId="17" xfId="12" applyNumberFormat="1"/>
    <xf numFmtId="182" fontId="13" fillId="7" borderId="71" xfId="12" applyNumberFormat="1" applyBorder="1"/>
    <xf numFmtId="182" fontId="14" fillId="7" borderId="70" xfId="13" applyNumberFormat="1" applyBorder="1"/>
    <xf numFmtId="165" fontId="47" fillId="0" borderId="58" xfId="6" applyNumberFormat="1" applyFont="1" applyFill="1" applyBorder="1"/>
    <xf numFmtId="41" fontId="47" fillId="0" borderId="58" xfId="6" applyNumberFormat="1" applyFont="1" applyFill="1" applyBorder="1"/>
    <xf numFmtId="165" fontId="47" fillId="0" borderId="60" xfId="11" applyNumberFormat="1" applyFont="1" applyFill="1" applyBorder="1"/>
    <xf numFmtId="165" fontId="48" fillId="0" borderId="58" xfId="13" applyNumberFormat="1" applyFont="1" applyFill="1" applyBorder="1"/>
    <xf numFmtId="0" fontId="53" fillId="39" borderId="64" xfId="0" quotePrefix="1" applyFont="1" applyFill="1" applyBorder="1" applyAlignment="1">
      <alignment horizontal="center" wrapText="1"/>
    </xf>
    <xf numFmtId="165" fontId="5" fillId="0" borderId="58" xfId="6" applyNumberFormat="1" applyFill="1" applyBorder="1"/>
    <xf numFmtId="41" fontId="5" fillId="0" borderId="58" xfId="6" applyNumberFormat="1" applyFill="1" applyBorder="1"/>
    <xf numFmtId="165" fontId="5" fillId="0" borderId="60" xfId="11" applyNumberFormat="1" applyFont="1" applyFill="1" applyBorder="1"/>
    <xf numFmtId="0" fontId="9" fillId="0" borderId="0" xfId="0" applyFont="1" applyFill="1" applyAlignment="1">
      <alignment horizontal="left"/>
    </xf>
    <xf numFmtId="165" fontId="47" fillId="0" borderId="13" xfId="6" applyNumberFormat="1" applyFont="1" applyFill="1" applyBorder="1"/>
    <xf numFmtId="41" fontId="47" fillId="0" borderId="13" xfId="6" applyNumberFormat="1" applyFont="1" applyFill="1" applyBorder="1"/>
    <xf numFmtId="165" fontId="47" fillId="0" borderId="15" xfId="11" applyNumberFormat="1" applyFont="1" applyFill="1" applyBorder="1"/>
    <xf numFmtId="165" fontId="48" fillId="0" borderId="42" xfId="13" applyNumberFormat="1" applyFont="1" applyFill="1" applyBorder="1"/>
    <xf numFmtId="165" fontId="48" fillId="0" borderId="73" xfId="13" applyNumberFormat="1" applyFont="1" applyFill="1" applyBorder="1"/>
    <xf numFmtId="0" fontId="8" fillId="0" borderId="70" xfId="0" quotePrefix="1" applyFont="1" applyFill="1" applyBorder="1" applyAlignment="1">
      <alignment horizontal="center" wrapText="1"/>
    </xf>
    <xf numFmtId="165" fontId="48" fillId="0" borderId="61" xfId="13" applyNumberFormat="1" applyFont="1" applyFill="1" applyBorder="1"/>
    <xf numFmtId="171" fontId="38" fillId="0" borderId="0" xfId="2" applyNumberFormat="1" applyFont="1" applyBorder="1"/>
    <xf numFmtId="171" fontId="38" fillId="0" borderId="9" xfId="2" applyNumberFormat="1" applyFont="1" applyBorder="1"/>
    <xf numFmtId="165" fontId="4" fillId="41" borderId="14" xfId="6" applyNumberFormat="1" applyFont="1" applyFill="1" applyBorder="1"/>
    <xf numFmtId="165" fontId="4" fillId="41" borderId="13" xfId="6" applyNumberFormat="1" applyFont="1" applyFill="1" applyBorder="1"/>
    <xf numFmtId="165" fontId="4" fillId="41" borderId="1" xfId="6" applyNumberFormat="1" applyFont="1" applyFill="1" applyBorder="1"/>
    <xf numFmtId="3" fontId="4" fillId="41" borderId="53" xfId="5" applyNumberFormat="1" applyFill="1" applyBorder="1"/>
    <xf numFmtId="41" fontId="5" fillId="36" borderId="3" xfId="6" applyNumberFormat="1" applyFill="1" applyBorder="1"/>
    <xf numFmtId="3" fontId="4" fillId="4" borderId="53" xfId="5" applyNumberFormat="1" applyFont="1" applyBorder="1"/>
    <xf numFmtId="0" fontId="0" fillId="0" borderId="0" xfId="0"/>
    <xf numFmtId="164" fontId="0" fillId="0" borderId="0" xfId="0" applyNumberFormat="1"/>
    <xf numFmtId="0" fontId="8" fillId="0" borderId="0" xfId="0" applyFont="1"/>
    <xf numFmtId="44" fontId="0" fillId="0" borderId="0" xfId="0" applyNumberFormat="1"/>
    <xf numFmtId="10" fontId="0" fillId="0" borderId="0" xfId="2" applyNumberFormat="1" applyFont="1"/>
    <xf numFmtId="44" fontId="8" fillId="0" borderId="0" xfId="0" applyNumberFormat="1" applyFont="1"/>
    <xf numFmtId="0" fontId="0" fillId="0" borderId="9" xfId="0" applyBorder="1"/>
    <xf numFmtId="0" fontId="0" fillId="0" borderId="10" xfId="0"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65"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165" fontId="0" fillId="0" borderId="0" xfId="0" applyNumberFormat="1"/>
    <xf numFmtId="0" fontId="8" fillId="0" borderId="0" xfId="0" applyFont="1" applyAlignment="1">
      <alignment horizontal="center"/>
    </xf>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70" fontId="5" fillId="5" borderId="23" xfId="6" applyNumberFormat="1" applyBorder="1"/>
    <xf numFmtId="41" fontId="5" fillId="5" borderId="13" xfId="6" applyNumberFormat="1" applyBorder="1"/>
    <xf numFmtId="41" fontId="5" fillId="5" borderId="1" xfId="6"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0" fontId="7" fillId="0" borderId="9" xfId="8" applyBorder="1"/>
    <xf numFmtId="0" fontId="0" fillId="0" borderId="9" xfId="0" applyFill="1" applyBorder="1"/>
    <xf numFmtId="171" fontId="0" fillId="0" borderId="9" xfId="0" applyNumberFormat="1" applyFill="1" applyBorder="1"/>
    <xf numFmtId="171" fontId="0" fillId="0" borderId="9" xfId="2" applyNumberFormat="1" applyFon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46" xfId="11" applyNumberFormat="1" applyFont="1" applyFill="1" applyBorder="1"/>
    <xf numFmtId="165" fontId="14" fillId="7" borderId="23" xfId="13" applyNumberFormat="1" applyBorder="1"/>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165" fontId="5" fillId="0" borderId="11" xfId="6" applyNumberFormat="1" applyFill="1" applyBorder="1"/>
    <xf numFmtId="0" fontId="0" fillId="39" borderId="19" xfId="0" applyFill="1" applyBorder="1" applyAlignment="1">
      <alignment horizontal="center" wrapText="1"/>
    </xf>
    <xf numFmtId="43" fontId="8" fillId="0" borderId="0" xfId="1" applyNumberFormat="1" applyFont="1" applyAlignment="1">
      <alignment horizontal="center"/>
    </xf>
    <xf numFmtId="165" fontId="4" fillId="4" borderId="52" xfId="5" applyNumberFormat="1" applyBorder="1"/>
    <xf numFmtId="41"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44" fontId="0" fillId="0" borderId="10" xfId="0" applyNumberFormat="1" applyFill="1" applyBorder="1"/>
    <xf numFmtId="44" fontId="7" fillId="0" borderId="10" xfId="8"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43" fontId="0" fillId="0" borderId="0" xfId="1" applyFont="1"/>
    <xf numFmtId="165" fontId="5" fillId="0" borderId="58" xfId="6" applyNumberFormat="1" applyFill="1" applyBorder="1"/>
    <xf numFmtId="41" fontId="5" fillId="0" borderId="58" xfId="6" applyNumberFormat="1" applyFill="1" applyBorder="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164" fontId="0" fillId="0" borderId="69" xfId="0" applyNumberForma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0" fontId="5" fillId="5" borderId="1" xfId="2" applyNumberFormat="1" applyFont="1" applyFill="1" applyBorder="1"/>
    <xf numFmtId="165" fontId="14" fillId="7" borderId="70" xfId="13" applyNumberFormat="1" applyBorder="1"/>
    <xf numFmtId="0" fontId="8" fillId="0" borderId="0" xfId="0" applyFont="1" applyAlignment="1">
      <alignment horizontal="left"/>
    </xf>
    <xf numFmtId="0" fontId="0" fillId="0" borderId="0" xfId="0" applyAlignment="1">
      <alignment wrapText="1"/>
    </xf>
    <xf numFmtId="0" fontId="0" fillId="0" borderId="0" xfId="0" applyAlignment="1">
      <alignment vertical="top"/>
    </xf>
    <xf numFmtId="0" fontId="8" fillId="0" borderId="70" xfId="0" applyFont="1" applyBorder="1" applyAlignment="1">
      <alignment vertical="top"/>
    </xf>
    <xf numFmtId="165" fontId="48" fillId="7" borderId="43" xfId="13" applyNumberFormat="1" applyFont="1" applyBorder="1"/>
    <xf numFmtId="165" fontId="48" fillId="7" borderId="44" xfId="13" applyNumberFormat="1" applyFont="1" applyBorder="1"/>
    <xf numFmtId="165" fontId="48" fillId="7" borderId="72" xfId="13" applyNumberFormat="1" applyFont="1" applyBorder="1"/>
    <xf numFmtId="165" fontId="48" fillId="0" borderId="13" xfId="13" applyNumberFormat="1" applyFont="1" applyFill="1" applyBorder="1"/>
    <xf numFmtId="164" fontId="53" fillId="0" borderId="12" xfId="0" applyNumberFormat="1" applyFont="1" applyBorder="1"/>
    <xf numFmtId="182" fontId="14" fillId="7" borderId="70" xfId="13" applyNumberFormat="1" applyBorder="1"/>
    <xf numFmtId="182" fontId="0" fillId="0" borderId="0" xfId="0" applyNumberFormat="1"/>
    <xf numFmtId="182" fontId="13" fillId="7" borderId="17" xfId="12" applyNumberFormat="1"/>
    <xf numFmtId="182" fontId="13" fillId="7" borderId="71" xfId="12" applyNumberFormat="1" applyBorder="1"/>
    <xf numFmtId="4" fontId="0" fillId="0" borderId="0" xfId="0" applyNumberFormat="1"/>
    <xf numFmtId="0" fontId="53" fillId="39" borderId="64" xfId="0" quotePrefix="1" applyFont="1" applyFill="1" applyBorder="1" applyAlignment="1">
      <alignment horizontal="center" wrapText="1"/>
    </xf>
    <xf numFmtId="165" fontId="5" fillId="0" borderId="60" xfId="11" applyNumberFormat="1" applyFont="1" applyFill="1" applyBorder="1"/>
    <xf numFmtId="165" fontId="48" fillId="0" borderId="58" xfId="13" applyNumberFormat="1" applyFont="1" applyFill="1" applyBorder="1"/>
    <xf numFmtId="165" fontId="48" fillId="0" borderId="73" xfId="13" applyNumberFormat="1" applyFont="1" applyFill="1" applyBorder="1"/>
    <xf numFmtId="165" fontId="48" fillId="0" borderId="42" xfId="13" applyNumberFormat="1" applyFont="1" applyFill="1" applyBorder="1"/>
    <xf numFmtId="0" fontId="0" fillId="0" borderId="0" xfId="0"/>
    <xf numFmtId="171" fontId="0" fillId="0" borderId="0" xfId="2" applyNumberFormat="1" applyFont="1" applyBorder="1"/>
    <xf numFmtId="165" fontId="5" fillId="37" borderId="1" xfId="6" applyNumberFormat="1" applyFill="1" applyBorder="1"/>
    <xf numFmtId="41" fontId="54" fillId="0" borderId="80" xfId="6" applyNumberFormat="1" applyFont="1" applyFill="1" applyBorder="1"/>
    <xf numFmtId="42" fontId="55" fillId="0" borderId="6" xfId="0" applyNumberFormat="1" applyFont="1" applyBorder="1" applyAlignment="1">
      <alignment horizontal="right"/>
    </xf>
    <xf numFmtId="170" fontId="42" fillId="0" borderId="5" xfId="0" applyNumberFormat="1" applyFont="1" applyFill="1" applyBorder="1" applyAlignment="1">
      <alignment vertical="center"/>
    </xf>
    <xf numFmtId="0" fontId="8" fillId="0" borderId="0" xfId="0" applyFont="1" applyAlignment="1">
      <alignment horizontal="left"/>
    </xf>
    <xf numFmtId="43" fontId="0" fillId="0" borderId="0" xfId="1" applyFont="1" applyBorder="1"/>
    <xf numFmtId="43" fontId="0" fillId="0" borderId="9" xfId="1" applyFont="1" applyBorder="1"/>
    <xf numFmtId="43" fontId="0" fillId="0" borderId="10" xfId="1" applyFont="1" applyBorder="1"/>
    <xf numFmtId="167" fontId="0" fillId="0" borderId="0" xfId="1" applyNumberFormat="1" applyFont="1" applyBorder="1"/>
    <xf numFmtId="167" fontId="0" fillId="0" borderId="9" xfId="1" applyNumberFormat="1" applyFont="1" applyBorder="1"/>
    <xf numFmtId="167" fontId="0" fillId="0" borderId="10" xfId="1" applyNumberFormat="1" applyFont="1" applyBorder="1"/>
    <xf numFmtId="0" fontId="8" fillId="0" borderId="0" xfId="0" applyFont="1" applyFill="1" applyAlignment="1">
      <alignment horizontal="right"/>
    </xf>
    <xf numFmtId="165" fontId="0" fillId="0" borderId="10" xfId="0" applyNumberFormat="1" applyFill="1" applyBorder="1"/>
    <xf numFmtId="4" fontId="0" fillId="0" borderId="0" xfId="2" applyNumberFormat="1" applyFont="1"/>
    <xf numFmtId="0" fontId="8" fillId="0" borderId="0" xfId="0" applyFont="1" applyFill="1" applyAlignment="1">
      <alignment horizontal="left" vertical="center" wrapText="1"/>
    </xf>
    <xf numFmtId="0" fontId="9" fillId="0" borderId="0" xfId="0" applyFont="1" applyAlignment="1">
      <alignment horizontal="center" wrapText="1"/>
    </xf>
    <xf numFmtId="0" fontId="8" fillId="0" borderId="0" xfId="0" applyFont="1" applyFill="1" applyAlignment="1">
      <alignment horizontal="left" wrapText="1"/>
    </xf>
    <xf numFmtId="0" fontId="8" fillId="0" borderId="0" xfId="0" applyFont="1" applyAlignment="1">
      <alignment horizontal="left"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0" borderId="0" xfId="0" applyFont="1" applyFill="1" applyAlignment="1">
      <alignment horizontal="left" vertical="center" wrapText="1"/>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50" fillId="0" borderId="0" xfId="0" quotePrefix="1" applyFont="1" applyAlignment="1">
      <alignment vertical="top" wrapText="1"/>
    </xf>
    <xf numFmtId="0" fontId="0" fillId="0" borderId="0" xfId="0" applyAlignment="1">
      <alignment vertical="top" wrapText="1"/>
    </xf>
    <xf numFmtId="0" fontId="0" fillId="0" borderId="0" xfId="0" applyAlignment="1">
      <alignment wrapText="1"/>
    </xf>
    <xf numFmtId="0" fontId="8" fillId="38" borderId="19" xfId="0" applyFont="1" applyFill="1" applyBorder="1" applyAlignment="1">
      <alignment horizontal="center"/>
    </xf>
    <xf numFmtId="0" fontId="8" fillId="0" borderId="0" xfId="0" applyFont="1" applyFill="1" applyAlignment="1">
      <alignment horizontal="left" vertical="top" wrapText="1"/>
    </xf>
    <xf numFmtId="0" fontId="0" fillId="0" borderId="70" xfId="0" applyFill="1" applyBorder="1" applyAlignment="1">
      <alignment vertical="top" wrapText="1"/>
    </xf>
    <xf numFmtId="0" fontId="8" fillId="0" borderId="70" xfId="0" applyFont="1" applyFill="1" applyBorder="1" applyAlignment="1">
      <alignment horizontal="center" wrapText="1"/>
    </xf>
    <xf numFmtId="44" fontId="0" fillId="0" borderId="34" xfId="0" applyNumberFormat="1" applyFill="1" applyBorder="1"/>
    <xf numFmtId="44" fontId="0" fillId="0" borderId="35" xfId="0" applyNumberFormat="1" applyFill="1" applyBorder="1"/>
    <xf numFmtId="0" fontId="8" fillId="0" borderId="0" xfId="0" applyFont="1" applyFill="1" applyAlignment="1">
      <alignment horizontal="left"/>
    </xf>
    <xf numFmtId="164" fontId="0" fillId="0" borderId="7" xfId="0" applyNumberFormat="1" applyFill="1" applyBorder="1"/>
    <xf numFmtId="164" fontId="0" fillId="0" borderId="8" xfId="0" applyNumberFormat="1" applyFill="1" applyBorder="1"/>
    <xf numFmtId="164" fontId="0" fillId="0" borderId="39" xfId="0" applyNumberFormat="1" applyFill="1" applyBorder="1"/>
    <xf numFmtId="43" fontId="43" fillId="0" borderId="0" xfId="1" applyFont="1" applyFill="1"/>
    <xf numFmtId="165" fontId="0" fillId="0" borderId="0" xfId="0" applyNumberFormat="1" applyFill="1"/>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FFFF99"/>
      <color rgb="FF008000"/>
      <color rgb="FF9C6500"/>
      <color rgb="FFFFEB9C"/>
      <color rgb="FF0000FF"/>
      <color rgb="FF6600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externalLink" Target="externalLinks/externalLink21.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externalLink" Target="externalLinks/externalLink24.xml"/><Relationship Id="rId47" Type="http://schemas.openxmlformats.org/officeDocument/2006/relationships/theme" Target="theme/theme1.xml"/><Relationship Id="rId50"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1.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externalLink" Target="externalLinks/externalLink22.xml"/><Relationship Id="rId45" Type="http://schemas.openxmlformats.org/officeDocument/2006/relationships/externalLink" Target="externalLinks/externalLink27.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4" Type="http://schemas.openxmlformats.org/officeDocument/2006/relationships/externalLink" Target="externalLinks/externalLink26.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externalLink" Target="externalLinks/externalLink25.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46" Type="http://schemas.openxmlformats.org/officeDocument/2006/relationships/externalLink" Target="externalLinks/externalLink28.xml"/><Relationship Id="rId20" Type="http://schemas.openxmlformats.org/officeDocument/2006/relationships/externalLink" Target="externalLinks/externalLink2.xml"/><Relationship Id="rId41" Type="http://schemas.openxmlformats.org/officeDocument/2006/relationships/externalLink" Target="externalLinks/externalLink23.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4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1201%20Filing/Billed%20kWh%20Budget%202024+-%20EMW%2020251117.xlsx" TargetMode="External"/><Relationship Id="rId2" Type="http://schemas.microsoft.com/office/2019/04/relationships/externalLinkLongPath" Target="Billed%20kWh%20Budget%202024+-%20EMW%2020251117.xlsx?2B06FDDE" TargetMode="External"/><Relationship Id="rId1" Type="http://schemas.openxmlformats.org/officeDocument/2006/relationships/externalLinkPath" Target="file:///\\2B06FDDE\Billed%20kWh%20Budget%202024+-%20EMW%2020251117.xlsx" TargetMode="External"/></Relationships>
</file>

<file path=xl/externalLinks/_rels/externalLink10.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1201%20Filing/EMW%202025%20ST%20Int%20Rate%20Schedules%20May25-Oct25.xlsx" TargetMode="External"/><Relationship Id="rId2" Type="http://schemas.microsoft.com/office/2019/04/relationships/externalLinkLongPath" Target="EMW%202025%20ST%20Int%20Rate%20Schedules%20May25-Oct25.xlsx?2B06FDDE" TargetMode="External"/><Relationship Id="rId1" Type="http://schemas.openxmlformats.org/officeDocument/2006/relationships/externalLinkPath" Target="file:///\\2B06FDDE\EMW%202025%20ST%20Int%20Rate%20Schedules%20May25-Oct25.xlsx" TargetMode="External"/></Relationships>
</file>

<file path=xl/externalLinks/_rels/externalLink11.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1201%20Filing/052025%20C4%20Spend%20(incl%20EO)%20Alloc%20Calc%20FINAL%2006072025.xlsb" TargetMode="External"/><Relationship Id="rId2" Type="http://schemas.microsoft.com/office/2019/04/relationships/externalLinkLongPath" Target="052025%20C4%20Spend%20(incl%20EO)%20Alloc%20Calc%20FINAL%2006072025.xlsb?2B06FDDE" TargetMode="External"/><Relationship Id="rId1" Type="http://schemas.openxmlformats.org/officeDocument/2006/relationships/externalLinkPath" Target="file:///\\2B06FDDE\052025%20C4%20Spend%20(incl%20EO)%20Alloc%20Calc%20FINAL%2006072025.xlsb" TargetMode="External"/></Relationships>
</file>

<file path=xl/externalLinks/_rels/externalLink12.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1201%20Filing/062025%20C4%20Spend%20(incl%20EO)%20Alloc%20Calc%20FINAL%2007092025.xlsb" TargetMode="External"/><Relationship Id="rId2" Type="http://schemas.microsoft.com/office/2019/04/relationships/externalLinkLongPath" Target="062025%20C4%20Spend%20(incl%20EO)%20Alloc%20Calc%20FINAL%2007092025.xlsb?2B06FDDE" TargetMode="External"/><Relationship Id="rId1" Type="http://schemas.openxmlformats.org/officeDocument/2006/relationships/externalLinkPath" Target="file:///\\2B06FDDE\062025%20C4%20Spend%20(incl%20EO)%20Alloc%20Calc%20FINAL%2007092025.xlsb" TargetMode="External"/></Relationships>
</file>

<file path=xl/externalLinks/_rels/externalLink13.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1201%20Filing/072025%20C4%20Spend%20(incl%20EO)%20Alloc%20Calc%20FINAL%2008222025.xlsb" TargetMode="External"/><Relationship Id="rId2" Type="http://schemas.microsoft.com/office/2019/04/relationships/externalLinkLongPath" Target="072025%20C4%20Spend%20(incl%20EO)%20Alloc%20Calc%20FINAL%2008222025.xlsb?2B06FDDE" TargetMode="External"/><Relationship Id="rId1" Type="http://schemas.openxmlformats.org/officeDocument/2006/relationships/externalLinkPath" Target="file:///\\2B06FDDE\072025%20C4%20Spend%20(incl%20EO)%20Alloc%20Calc%20FINAL%2008222025.xlsb" TargetMode="External"/></Relationships>
</file>

<file path=xl/externalLinks/_rels/externalLink14.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1201%20Filing/082025%20C4%20Spend%20(incl%20EO)%20Alloc%20Calc%20FINAL%2009082025.xlsb" TargetMode="External"/><Relationship Id="rId2" Type="http://schemas.microsoft.com/office/2019/04/relationships/externalLinkLongPath" Target="082025%20C4%20Spend%20(incl%20EO)%20Alloc%20Calc%20FINAL%2009082025.xlsb?2B06FDDE" TargetMode="External"/><Relationship Id="rId1" Type="http://schemas.openxmlformats.org/officeDocument/2006/relationships/externalLinkPath" Target="file:///\\2B06FDDE\082025%20C4%20Spend%20(incl%20EO)%20Alloc%20Calc%20FINAL%2009082025.xlsb" TargetMode="External"/></Relationships>
</file>

<file path=xl/externalLinks/_rels/externalLink15.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1201%20Filing/092025%20C4%20Spend%20(incl%20EO)%20Alloc%20Calc%20FINAL%2010072025.xlsb" TargetMode="External"/><Relationship Id="rId2" Type="http://schemas.microsoft.com/office/2019/04/relationships/externalLinkLongPath" Target="092025%20C4%20Spend%20(incl%20EO)%20Alloc%20Calc%20FINAL%2010072025.xlsb?2B06FDDE" TargetMode="External"/><Relationship Id="rId1" Type="http://schemas.openxmlformats.org/officeDocument/2006/relationships/externalLinkPath" Target="file:///\\2B06FDDE\092025%20C4%20Spend%20(incl%20EO)%20Alloc%20Calc%20FINAL%2010072025.xlsb" TargetMode="External"/></Relationships>
</file>

<file path=xl/externalLinks/_rels/externalLink16.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1201%20Filing/102025%20C4%20Spend%20(incl%20EO)%20Alloc%20Calc%20FINAL%2011072025.xlsb" TargetMode="External"/><Relationship Id="rId2" Type="http://schemas.microsoft.com/office/2019/04/relationships/externalLinkLongPath" Target="102025%20C4%20Spend%20(incl%20EO)%20Alloc%20Calc%20FINAL%2011072025.xlsb?2B06FDDE" TargetMode="External"/><Relationship Id="rId1" Type="http://schemas.openxmlformats.org/officeDocument/2006/relationships/externalLinkPath" Target="file:///\\2B06FDDE\102025%20C4%20Spend%20(incl%20EO)%20Alloc%20Calc%20FINAL%2011072025.xlsb" TargetMode="External"/></Relationships>
</file>

<file path=xl/externalLinks/_rels/externalLink17.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1201%20Filing/Missouri%20West%20Cycle%203%20Monthly%20TD%20Calc%20032025%2004282025.xlsx" TargetMode="External"/><Relationship Id="rId2" Type="http://schemas.microsoft.com/office/2019/04/relationships/externalLinkLongPath" Target="Missouri%20West%20Cycle%203%20Monthly%20TD%20Calc%20032025%2004282025.xlsx?2B06FDDE" TargetMode="External"/><Relationship Id="rId1" Type="http://schemas.openxmlformats.org/officeDocument/2006/relationships/externalLinkPath" Target="file:///\\2B06FDDE\Missouri%20West%20Cycle%203%20Monthly%20TD%20Calc%20032025%2004282025.xlsx" TargetMode="External"/></Relationships>
</file>

<file path=xl/externalLinks/_rels/externalLink18.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1201%20Filing/Missouri%20West%20C4%20Monthly%20TD%20Calc%20incl%20forecast-%20102025%2011172025.xlsx" TargetMode="External"/><Relationship Id="rId2" Type="http://schemas.microsoft.com/office/2019/04/relationships/externalLinkLongPath" Target="Missouri%20West%20C4%20Monthly%20TD%20Calc%20incl%20forecast-%20102025%2011172025.xlsx?2B06FDDE" TargetMode="External"/><Relationship Id="rId1" Type="http://schemas.openxmlformats.org/officeDocument/2006/relationships/externalLinkPath" Target="file:///\\2B06FDDE\Missouri%20West%20C4%20Monthly%20TD%20Calc%20incl%20forecast-%20102025%2011172025.xlsx"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Missouri%20West%20Cycle%202%20Monthly%20TD%20Calc%20122022%2001092023.xlsx?2B06FDDE" TargetMode="External"/><Relationship Id="rId1" Type="http://schemas.openxmlformats.org/officeDocument/2006/relationships/externalLinkPath" Target="file:///\\2B06FDDE\Missouri%20West%20Cycle%202%20Monthly%20TD%20Calc%20122022%2001092023.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1201%20Filing/EMW%20MEEIA%20RIDER%20FORECAST%20PROGRAM%20COSTS-%2020251121.xlsx" TargetMode="External"/><Relationship Id="rId2" Type="http://schemas.microsoft.com/office/2019/04/relationships/externalLinkLongPath" Target="EMW%20MEEIA%20RIDER%20FORECAST%20PROGRAM%20COSTS-%2020251121.xlsx?2B06FDDE" TargetMode="External"/><Relationship Id="rId1" Type="http://schemas.openxmlformats.org/officeDocument/2006/relationships/externalLinkPath" Target="file:///\\2B06FDDE\EMW%20MEEIA%20RIDER%20FORECAST%20PROGRAM%20COSTS-%2020251121.xlsx" TargetMode="External"/></Relationships>
</file>

<file path=xl/externalLinks/_rels/externalLink20.xml.rels><?xml version="1.0" encoding="UTF-8" standalone="yes"?>
<Relationships xmlns="http://schemas.openxmlformats.org/package/2006/relationships"><Relationship Id="rId2" Type="http://schemas.microsoft.com/office/2019/04/relationships/externalLinkLongPath" Target="Missouri%20West%20EO%20Calculated%20Cycle%203%20PY1.xlsx?2B06FDDE" TargetMode="External"/><Relationship Id="rId1" Type="http://schemas.openxmlformats.org/officeDocument/2006/relationships/externalLinkPath" Target="file:///\\2B06FDDE\Missouri%20West%20EO%20Calculated%20Cycle%203%20PY1.xlsx" TargetMode="External"/></Relationships>
</file>

<file path=xl/externalLinks/_rels/externalLink21.xml.rels><?xml version="1.0" encoding="UTF-8" standalone="yes"?>
<Relationships xmlns="http://schemas.openxmlformats.org/package/2006/relationships"><Relationship Id="rId2" Type="http://schemas.microsoft.com/office/2019/04/relationships/externalLinkLongPath" Target="Missouri%20West%20Cycle%203%20PY1%20EO%20TD%20Adj%20Calc.xlsx?2B06FDDE" TargetMode="External"/><Relationship Id="rId1" Type="http://schemas.openxmlformats.org/officeDocument/2006/relationships/externalLinkPath" Target="file:///\\2B06FDDE\Missouri%20West%20Cycle%203%20PY1%20EO%20TD%20Adj%20Calc.xlsx" TargetMode="External"/></Relationships>
</file>

<file path=xl/externalLinks/_rels/externalLink22.xml.rels><?xml version="1.0" encoding="UTF-8" standalone="yes"?>
<Relationships xmlns="http://schemas.openxmlformats.org/package/2006/relationships"><Relationship Id="rId2" Type="http://schemas.microsoft.com/office/2019/04/relationships/externalLinkLongPath" Target="Missouri%20West%20EO%20Calculated%20Cycle%203%20PY2.xlsx?2B06FDDE" TargetMode="External"/><Relationship Id="rId1" Type="http://schemas.openxmlformats.org/officeDocument/2006/relationships/externalLinkPath" Target="file:///\\2B06FDDE\Missouri%20West%20EO%20Calculated%20Cycle%203%20PY2.xlsx" TargetMode="External"/></Relationships>
</file>

<file path=xl/externalLinks/_rels/externalLink23.xml.rels><?xml version="1.0" encoding="UTF-8" standalone="yes"?>
<Relationships xmlns="http://schemas.openxmlformats.org/package/2006/relationships"><Relationship Id="rId2" Type="http://schemas.microsoft.com/office/2019/04/relationships/externalLinkLongPath" Target="Missouri%20West%20Cycle%203%20PY2%20EO%20TD%20Adj%20Calc.xlsx?2B06FDDE" TargetMode="External"/><Relationship Id="rId1" Type="http://schemas.openxmlformats.org/officeDocument/2006/relationships/externalLinkPath" Target="file:///\\2B06FDDE\Missouri%20West%20Cycle%203%20PY2%20EO%20TD%20Adj%20Calc.xlsx" TargetMode="External"/></Relationships>
</file>

<file path=xl/externalLinks/_rels/externalLink24.xml.rels><?xml version="1.0" encoding="UTF-8" standalone="yes"?>
<Relationships xmlns="http://schemas.openxmlformats.org/package/2006/relationships"><Relationship Id="rId2" Type="http://schemas.microsoft.com/office/2019/04/relationships/externalLinkLongPath" Target="Missouri%20West%20EO%20Calculated%20Cycle%203%20PY3.xlsx?2B06FDDE" TargetMode="External"/><Relationship Id="rId1" Type="http://schemas.openxmlformats.org/officeDocument/2006/relationships/externalLinkPath" Target="file:///\\2B06FDDE\Missouri%20West%20EO%20Calculated%20Cycle%203%20PY3.xlsx" TargetMode="External"/></Relationships>
</file>

<file path=xl/externalLinks/_rels/externalLink25.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0601%20Filing/Missouri%20West%20Cycle%203%20PY3%20EO%20TD%20Adj%20Calc%202025%2020250528.xlsx" TargetMode="External"/><Relationship Id="rId2" Type="http://schemas.microsoft.com/office/2019/04/relationships/externalLinkLongPath" Target="Missouri%20West%20Cycle%203%20PY3%20EO%20TD%20Adj%20Calc%202025%2020250528.xlsx?2B06FDDE" TargetMode="External"/><Relationship Id="rId1" Type="http://schemas.openxmlformats.org/officeDocument/2006/relationships/externalLinkPath" Target="file:///\\2B06FDDE\Missouri%20West%20Cycle%203%20PY3%20EO%20TD%20Adj%20Calc%202025%2020250528.xlsx" TargetMode="External"/></Relationships>
</file>

<file path=xl/externalLinks/_rels/externalLink26.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1201%20Filing/Missouri%20West%20EO%20Calculated%20Cycle%203%20PY4.xlsb" TargetMode="External"/><Relationship Id="rId2" Type="http://schemas.microsoft.com/office/2019/04/relationships/externalLinkLongPath" Target="Missouri%20West%20EO%20Calculated%20Cycle%203%20PY4.xlsb?2B06FDDE" TargetMode="External"/><Relationship Id="rId1" Type="http://schemas.openxmlformats.org/officeDocument/2006/relationships/externalLinkPath" Target="file:///\\2B06FDDE\Missouri%20West%20EO%20Calculated%20Cycle%203%20PY4.xlsb" TargetMode="External"/></Relationships>
</file>

<file path=xl/externalLinks/_rels/externalLink27.xml.rels><?xml version="1.0" encoding="UTF-8" standalone="yes"?>
<Relationships xmlns="http://schemas.openxmlformats.org/package/2006/relationships"><Relationship Id="rId2" Type="http://schemas.microsoft.com/office/2019/04/relationships/externalLinkLongPath" Target="Missouri%20West%20EO%20Calculated%20Cycle%203%20PY5.xlsb?2B06FDDE" TargetMode="External"/><Relationship Id="rId1" Type="http://schemas.openxmlformats.org/officeDocument/2006/relationships/externalLinkPath" Target="file:///\\2B06FDDE\Missouri%20West%20EO%20Calculated%20Cycle%203%20PY5.xlsb" TargetMode="External"/></Relationships>
</file>

<file path=xl/externalLinks/_rels/externalLink28.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1201%20Filing/CONF_West%20EO%20PY5%202024%2010062025.xlsb" TargetMode="External"/><Relationship Id="rId2" Type="http://schemas.microsoft.com/office/2019/04/relationships/externalLinkLongPath" Target="CONF_West%20EO%20PY5%202024%2010062025.xlsb?2B06FDDE" TargetMode="External"/><Relationship Id="rId1" Type="http://schemas.openxmlformats.org/officeDocument/2006/relationships/externalLinkPath" Target="file:///\\2B06FDDE\CONF_West%20EO%20PY5%202024%2010062025.xlsb"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05%202025%20MO%20West%20C3%20Spend%20Allocations%20Worksheet%20FINAL.xlsx?2B06FDDE" TargetMode="External"/><Relationship Id="rId1" Type="http://schemas.openxmlformats.org/officeDocument/2006/relationships/externalLinkPath" Target="file:///\\2B06FDDE\05%202025%20MO%20West%20C3%20Spend%20Allocations%20Worksheet%20FINAL.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06%202025%20MO%20West%20C3%20Spend%20Allocations%20Worksheet%20FINAL.xlsx?2B06FDDE" TargetMode="External"/><Relationship Id="rId1" Type="http://schemas.openxmlformats.org/officeDocument/2006/relationships/externalLinkPath" Target="file:///\\2B06FDDE\06%202025%20MO%20West%20C3%20Spend%20Allocations%20Worksheet%20FINAL.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07%202025%20MO%20West%20C3%20Spend%20Allocations%20Worksheet%20FINAL.xlsx?2B06FDDE" TargetMode="External"/><Relationship Id="rId1" Type="http://schemas.openxmlformats.org/officeDocument/2006/relationships/externalLinkPath" Target="file:///\\2B06FDDE\07%202025%20MO%20West%20C3%20Spend%20Allocations%20Worksheet%20FINAL.xlsx"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08%202025%20MO%20West%20C3%20Spend%20Allocations%20Worksheet%20FINAL.xlsx?2B06FDDE" TargetMode="External"/><Relationship Id="rId1" Type="http://schemas.openxmlformats.org/officeDocument/2006/relationships/externalLinkPath" Target="file:///\\2B06FDDE\08%202025%20MO%20West%20C3%20Spend%20Allocations%20Worksheet%20FINAL.xlsx"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09%202025%20MO%20West%20C3%20Spend%20Allocations%20Worksheet%20FINAL.xlsx?2B06FDDE" TargetMode="External"/><Relationship Id="rId1" Type="http://schemas.openxmlformats.org/officeDocument/2006/relationships/externalLinkPath" Target="file:///\\2B06FDDE\09%202025%20MO%20West%20C3%20Spend%20Allocations%20Worksheet%20FINAL.xlsx"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10%202025%20MO%20West%20C3%20Spend%20Allocations%20Worksheet%20FINAL.xlsx?2B06FDDE" TargetMode="External"/><Relationship Id="rId1" Type="http://schemas.openxmlformats.org/officeDocument/2006/relationships/externalLinkPath" Target="file:///\\2B06FDDE\10%202025%20MO%20West%20C3%20Spend%20Allocations%20Worksheet%20FINAL.xlsx"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1201%20Filing/Missouri%20West%20MEEIA%202025%20Revenue%20Analysis%20May25-Oct25.xlsx" TargetMode="External"/><Relationship Id="rId2" Type="http://schemas.microsoft.com/office/2019/04/relationships/externalLinkLongPath" Target="Missouri%20West%20MEEIA%202025%20Revenue%20Analysis%20May25-Oct25.xlsx?2B06FDDE" TargetMode="External"/><Relationship Id="rId1" Type="http://schemas.openxmlformats.org/officeDocument/2006/relationships/externalLinkPath" Target="file:///\\2B06FDDE\Missouri%20West%20MEEIA%202025%20Revenue%20Analysis%20May25-Oct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MO Billed kWh Sales"/>
    </sheetNames>
    <sheetDataSet>
      <sheetData sheetId="0">
        <row r="32">
          <cell r="X32">
            <v>248952991.38368243</v>
          </cell>
          <cell r="Y32">
            <v>333818688.80422282</v>
          </cell>
          <cell r="Z32">
            <v>403689323</v>
          </cell>
        </row>
        <row r="33">
          <cell r="X33">
            <v>94397039</v>
          </cell>
          <cell r="Y33">
            <v>97302839</v>
          </cell>
          <cell r="Z33">
            <v>121224373</v>
          </cell>
        </row>
        <row r="34">
          <cell r="X34">
            <v>77157825</v>
          </cell>
          <cell r="Y34">
            <v>79532955</v>
          </cell>
          <cell r="Z34">
            <v>99085830</v>
          </cell>
        </row>
        <row r="35">
          <cell r="X35">
            <v>53601437</v>
          </cell>
          <cell r="Y35">
            <v>55251436</v>
          </cell>
          <cell r="Z35">
            <v>68834792</v>
          </cell>
        </row>
        <row r="43">
          <cell r="E43">
            <v>1795401879</v>
          </cell>
          <cell r="F43">
            <v>1977969275</v>
          </cell>
        </row>
        <row r="44">
          <cell r="E44">
            <v>690482171</v>
          </cell>
          <cell r="F44">
            <v>728832458</v>
          </cell>
        </row>
        <row r="45">
          <cell r="E45">
            <v>564383195</v>
          </cell>
          <cell r="F45">
            <v>595729780</v>
          </cell>
        </row>
        <row r="46">
          <cell r="E46">
            <v>392076243</v>
          </cell>
          <cell r="F46">
            <v>413852673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MO West ST Rate Oct25"/>
      <sheetName val="MO West ST Rate Sep25"/>
      <sheetName val="MO West ST Rate Aug25"/>
      <sheetName val="MO West ST Rate Jul25"/>
      <sheetName val="MO West ST Rate Jun25"/>
      <sheetName val="MO West ST Rate May 2025"/>
    </sheetNames>
    <sheetDataSet>
      <sheetData sheetId="0">
        <row r="43">
          <cell r="E43">
            <v>4.4886099999999996E-3</v>
          </cell>
        </row>
      </sheetData>
      <sheetData sheetId="1">
        <row r="42">
          <cell r="E42">
            <v>4.6019700000000004E-3</v>
          </cell>
        </row>
      </sheetData>
      <sheetData sheetId="2">
        <row r="43">
          <cell r="E43">
            <v>4.7389099999999998E-3</v>
          </cell>
        </row>
      </sheetData>
      <sheetData sheetId="3">
        <row r="43">
          <cell r="E43">
            <v>4.7454000000000003E-3</v>
          </cell>
        </row>
      </sheetData>
      <sheetData sheetId="4">
        <row r="42">
          <cell r="E42">
            <v>4.7233199999999996E-3</v>
          </cell>
        </row>
      </sheetData>
      <sheetData sheetId="5">
        <row r="43">
          <cell r="E43">
            <v>4.7316600000000004E-3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OWest"/>
      <sheetName val="Pivot - SI Project MOWest"/>
      <sheetName val="SI0000 Alloc"/>
      <sheetName val="SI Project Data"/>
      <sheetName val="Spending-Alloc Rates"/>
      <sheetName val="Revenue by Rate Annual"/>
    </sheetNames>
    <sheetDataSet>
      <sheetData sheetId="0" refreshError="1"/>
      <sheetData sheetId="1">
        <row r="40">
          <cell r="N40">
            <v>119889.73999999993</v>
          </cell>
          <cell r="O40">
            <v>-16585.820000000007</v>
          </cell>
          <cell r="Q40">
            <v>247685.90000000002</v>
          </cell>
          <cell r="R40">
            <v>148877.94000000003</v>
          </cell>
        </row>
      </sheetData>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OWest"/>
      <sheetName val="Pivot - SI Project MOWest"/>
      <sheetName val="SI0000 Alloc"/>
      <sheetName val="SI Project Data"/>
      <sheetName val="Spending-Alloc Rates"/>
    </sheetNames>
    <sheetDataSet>
      <sheetData sheetId="0" refreshError="1"/>
      <sheetData sheetId="1">
        <row r="40">
          <cell r="N40">
            <v>387791.55000000005</v>
          </cell>
          <cell r="O40">
            <v>187385.67000000004</v>
          </cell>
          <cell r="Q40">
            <v>340655.6100000001</v>
          </cell>
          <cell r="R40">
            <v>497799.52999999985</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OWest"/>
      <sheetName val="Pivot - SI Project MOWest"/>
      <sheetName val="SI0000 Alloc"/>
      <sheetName val="SI Project Data"/>
      <sheetName val="Spending-Alloc Rates"/>
    </sheetNames>
    <sheetDataSet>
      <sheetData sheetId="0" refreshError="1"/>
      <sheetData sheetId="1">
        <row r="40">
          <cell r="N40">
            <v>409264.14</v>
          </cell>
          <cell r="O40">
            <v>-8644.49</v>
          </cell>
          <cell r="Q40">
            <v>26524.22</v>
          </cell>
          <cell r="R40">
            <v>-48958.99</v>
          </cell>
        </row>
      </sheetData>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OWest"/>
      <sheetName val="Pivot - SI Project MOWest"/>
      <sheetName val="SI0000 Alloc"/>
      <sheetName val="SI Project Data"/>
      <sheetName val="Spending-Alloc Rates"/>
    </sheetNames>
    <sheetDataSet>
      <sheetData sheetId="0" refreshError="1"/>
      <sheetData sheetId="1">
        <row r="40">
          <cell r="N40">
            <v>95730.41</v>
          </cell>
          <cell r="O40">
            <v>488462.48</v>
          </cell>
          <cell r="Q40">
            <v>-2608.64</v>
          </cell>
          <cell r="R40">
            <v>-109922.66</v>
          </cell>
        </row>
      </sheetData>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OWest"/>
      <sheetName val="Pivot - SI Project MOWest"/>
      <sheetName val="SI0000 Alloc"/>
      <sheetName val="SI Project Data"/>
      <sheetName val="Spending-Alloc Rates"/>
    </sheetNames>
    <sheetDataSet>
      <sheetData sheetId="0" refreshError="1"/>
      <sheetData sheetId="1">
        <row r="40">
          <cell r="N40">
            <v>801241.38</v>
          </cell>
          <cell r="O40">
            <v>-155541.46</v>
          </cell>
          <cell r="Q40">
            <v>227056.9</v>
          </cell>
          <cell r="R40">
            <v>111327.77</v>
          </cell>
        </row>
      </sheetData>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OWest"/>
      <sheetName val="Pivot - SI Project MOWest"/>
      <sheetName val="SI0000 Alloc"/>
      <sheetName val="SI Project Data"/>
      <sheetName val="Spending-Alloc Rates"/>
    </sheetNames>
    <sheetDataSet>
      <sheetData sheetId="0" refreshError="1"/>
      <sheetData sheetId="1">
        <row r="40">
          <cell r="N40">
            <v>122528.03</v>
          </cell>
          <cell r="O40">
            <v>328585.61</v>
          </cell>
          <cell r="Q40">
            <v>145297.57</v>
          </cell>
          <cell r="R40">
            <v>128429.09</v>
          </cell>
        </row>
      </sheetData>
      <sheetData sheetId="2" refreshError="1"/>
      <sheetData sheetId="3" refreshError="1"/>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put"/>
      <sheetName val="Program Descriptions"/>
      <sheetName val="Monthly TD Calc-PY1-3"/>
      <sheetName val="Monthly TD Calc-PY4"/>
      <sheetName val="Monthly TD Calc-PY5"/>
      <sheetName val="Summary Monthly TD Calc"/>
    </sheetNames>
    <sheetDataSet>
      <sheetData sheetId="0"/>
      <sheetData sheetId="1"/>
      <sheetData sheetId="2">
        <row r="461">
          <cell r="BQ461">
            <v>0</v>
          </cell>
          <cell r="BR461">
            <v>0</v>
          </cell>
          <cell r="BS461">
            <v>0</v>
          </cell>
          <cell r="BT461">
            <v>0</v>
          </cell>
          <cell r="BU461">
            <v>0</v>
          </cell>
          <cell r="BV461">
            <v>0</v>
          </cell>
          <cell r="BW461">
            <v>0</v>
          </cell>
          <cell r="BX461">
            <v>0</v>
          </cell>
        </row>
        <row r="462">
          <cell r="BQ462">
            <v>0</v>
          </cell>
          <cell r="BR462">
            <v>0</v>
          </cell>
          <cell r="BS462">
            <v>0</v>
          </cell>
          <cell r="BT462">
            <v>0</v>
          </cell>
          <cell r="BU462">
            <v>0</v>
          </cell>
          <cell r="BV462">
            <v>0</v>
          </cell>
          <cell r="BW462">
            <v>0</v>
          </cell>
          <cell r="BX462">
            <v>0</v>
          </cell>
        </row>
        <row r="464">
          <cell r="BQ464">
            <v>0</v>
          </cell>
          <cell r="BR464">
            <v>0</v>
          </cell>
          <cell r="BS464">
            <v>0</v>
          </cell>
          <cell r="BT464">
            <v>0</v>
          </cell>
          <cell r="BU464">
            <v>0</v>
          </cell>
          <cell r="BV464">
            <v>0</v>
          </cell>
          <cell r="BW464">
            <v>0</v>
          </cell>
          <cell r="BX464">
            <v>0</v>
          </cell>
        </row>
        <row r="465">
          <cell r="BQ465">
            <v>0</v>
          </cell>
          <cell r="BR465">
            <v>0</v>
          </cell>
          <cell r="BS465">
            <v>0</v>
          </cell>
          <cell r="BT465">
            <v>0</v>
          </cell>
          <cell r="BU465">
            <v>0</v>
          </cell>
          <cell r="BV465">
            <v>0</v>
          </cell>
          <cell r="BW465">
            <v>0</v>
          </cell>
          <cell r="BX465">
            <v>0</v>
          </cell>
        </row>
        <row r="563">
          <cell r="BQ563">
            <v>0</v>
          </cell>
          <cell r="BR563">
            <v>0</v>
          </cell>
          <cell r="BS563">
            <v>0</v>
          </cell>
          <cell r="BT563">
            <v>0</v>
          </cell>
          <cell r="BU563">
            <v>0</v>
          </cell>
          <cell r="BV563">
            <v>0</v>
          </cell>
          <cell r="BW563">
            <v>0</v>
          </cell>
          <cell r="BX563">
            <v>0</v>
          </cell>
        </row>
        <row r="564">
          <cell r="BQ564">
            <v>0</v>
          </cell>
          <cell r="BR564">
            <v>0</v>
          </cell>
          <cell r="BS564">
            <v>0</v>
          </cell>
          <cell r="BT564">
            <v>0</v>
          </cell>
          <cell r="BU564">
            <v>0</v>
          </cell>
          <cell r="BV564">
            <v>0</v>
          </cell>
          <cell r="BW564">
            <v>0</v>
          </cell>
          <cell r="BX564">
            <v>0</v>
          </cell>
        </row>
        <row r="566">
          <cell r="BQ566">
            <v>0</v>
          </cell>
          <cell r="BR566">
            <v>0</v>
          </cell>
          <cell r="BS566">
            <v>0</v>
          </cell>
          <cell r="BT566">
            <v>0</v>
          </cell>
          <cell r="BU566">
            <v>0</v>
          </cell>
          <cell r="BV566">
            <v>0</v>
          </cell>
          <cell r="BW566">
            <v>0</v>
          </cell>
          <cell r="BX566">
            <v>0</v>
          </cell>
        </row>
        <row r="567">
          <cell r="BQ567">
            <v>0</v>
          </cell>
          <cell r="BR567">
            <v>0</v>
          </cell>
          <cell r="BS567">
            <v>0</v>
          </cell>
          <cell r="BT567">
            <v>0</v>
          </cell>
          <cell r="BU567">
            <v>0</v>
          </cell>
          <cell r="BV567">
            <v>0</v>
          </cell>
          <cell r="BW567">
            <v>0</v>
          </cell>
          <cell r="BX567">
            <v>0</v>
          </cell>
        </row>
      </sheetData>
      <sheetData sheetId="3">
        <row r="469">
          <cell r="BQ469">
            <v>0</v>
          </cell>
          <cell r="BR469">
            <v>0</v>
          </cell>
          <cell r="BS469">
            <v>0</v>
          </cell>
          <cell r="BT469">
            <v>0</v>
          </cell>
          <cell r="BU469">
            <v>0</v>
          </cell>
          <cell r="BV469">
            <v>0</v>
          </cell>
          <cell r="BW469">
            <v>0</v>
          </cell>
          <cell r="BX469">
            <v>0</v>
          </cell>
        </row>
        <row r="470">
          <cell r="BQ470">
            <v>0</v>
          </cell>
          <cell r="BR470">
            <v>0</v>
          </cell>
          <cell r="BS470">
            <v>0</v>
          </cell>
          <cell r="BT470">
            <v>0</v>
          </cell>
          <cell r="BU470">
            <v>0</v>
          </cell>
          <cell r="BV470">
            <v>0</v>
          </cell>
          <cell r="BW470">
            <v>0</v>
          </cell>
          <cell r="BX470">
            <v>0</v>
          </cell>
        </row>
        <row r="472">
          <cell r="BQ472">
            <v>0</v>
          </cell>
          <cell r="BR472">
            <v>0</v>
          </cell>
          <cell r="BS472">
            <v>0</v>
          </cell>
          <cell r="BT472">
            <v>0</v>
          </cell>
          <cell r="BU472">
            <v>0</v>
          </cell>
          <cell r="BV472">
            <v>0</v>
          </cell>
          <cell r="BW472">
            <v>0</v>
          </cell>
          <cell r="BX472">
            <v>0</v>
          </cell>
        </row>
        <row r="473">
          <cell r="BQ473">
            <v>0</v>
          </cell>
          <cell r="BR473">
            <v>0</v>
          </cell>
          <cell r="BS473">
            <v>0</v>
          </cell>
          <cell r="BT473">
            <v>0</v>
          </cell>
          <cell r="BU473">
            <v>0</v>
          </cell>
          <cell r="BV473">
            <v>0</v>
          </cell>
          <cell r="BW473">
            <v>0</v>
          </cell>
          <cell r="BX473">
            <v>0</v>
          </cell>
        </row>
        <row r="575">
          <cell r="BQ575">
            <v>0</v>
          </cell>
          <cell r="BR575">
            <v>0</v>
          </cell>
          <cell r="BS575">
            <v>0</v>
          </cell>
          <cell r="BT575">
            <v>0</v>
          </cell>
          <cell r="BU575">
            <v>0</v>
          </cell>
          <cell r="BV575">
            <v>0</v>
          </cell>
          <cell r="BW575">
            <v>0</v>
          </cell>
          <cell r="BX575">
            <v>0</v>
          </cell>
        </row>
        <row r="576">
          <cell r="BQ576">
            <v>0</v>
          </cell>
          <cell r="BR576">
            <v>0</v>
          </cell>
          <cell r="BS576">
            <v>0</v>
          </cell>
          <cell r="BT576">
            <v>0</v>
          </cell>
          <cell r="BU576">
            <v>0</v>
          </cell>
          <cell r="BV576">
            <v>0</v>
          </cell>
          <cell r="BW576">
            <v>0</v>
          </cell>
          <cell r="BX576">
            <v>0</v>
          </cell>
        </row>
        <row r="578">
          <cell r="BQ578">
            <v>0</v>
          </cell>
          <cell r="BR578">
            <v>0</v>
          </cell>
          <cell r="BS578">
            <v>0</v>
          </cell>
          <cell r="BT578">
            <v>0</v>
          </cell>
          <cell r="BU578">
            <v>0</v>
          </cell>
          <cell r="BV578">
            <v>0</v>
          </cell>
          <cell r="BW578">
            <v>0</v>
          </cell>
          <cell r="BX578">
            <v>0</v>
          </cell>
        </row>
        <row r="579">
          <cell r="BQ579">
            <v>0</v>
          </cell>
          <cell r="BR579">
            <v>0</v>
          </cell>
          <cell r="BS579">
            <v>0</v>
          </cell>
          <cell r="BT579">
            <v>0</v>
          </cell>
          <cell r="BU579">
            <v>0</v>
          </cell>
          <cell r="BV579">
            <v>0</v>
          </cell>
          <cell r="BW579">
            <v>0</v>
          </cell>
          <cell r="BX579">
            <v>0</v>
          </cell>
        </row>
      </sheetData>
      <sheetData sheetId="4">
        <row r="577">
          <cell r="BQ577">
            <v>569448.59727654757</v>
          </cell>
          <cell r="BR577">
            <v>671243.4594059753</v>
          </cell>
          <cell r="BS577">
            <v>830295.10057608143</v>
          </cell>
          <cell r="BT577">
            <v>774557.94441162422</v>
          </cell>
          <cell r="BU577">
            <v>561940.32239909854</v>
          </cell>
          <cell r="BV577">
            <v>538772.01752119826</v>
          </cell>
          <cell r="BW577">
            <v>514469.69248379796</v>
          </cell>
          <cell r="BX577">
            <v>557966.03421994462</v>
          </cell>
        </row>
        <row r="578">
          <cell r="BQ578">
            <v>832798.32883624791</v>
          </cell>
          <cell r="BR578">
            <v>799483.49167752918</v>
          </cell>
          <cell r="BS578">
            <v>821354.44914000644</v>
          </cell>
          <cell r="BT578">
            <v>836559.29240124091</v>
          </cell>
          <cell r="BU578">
            <v>780568.02519116621</v>
          </cell>
          <cell r="BV578">
            <v>834069.87606990465</v>
          </cell>
          <cell r="BW578">
            <v>789441.93028546812</v>
          </cell>
          <cell r="BX578">
            <v>791832.81474329787</v>
          </cell>
        </row>
        <row r="580">
          <cell r="BQ580">
            <v>714787.91942515655</v>
          </cell>
          <cell r="BR580">
            <v>686609.14609806472</v>
          </cell>
          <cell r="BS580">
            <v>705447.37211405986</v>
          </cell>
          <cell r="BT580">
            <v>718421.69828542764</v>
          </cell>
          <cell r="BU580">
            <v>670606.13192617882</v>
          </cell>
          <cell r="BV580">
            <v>716298.2542908492</v>
          </cell>
          <cell r="BW580">
            <v>678127.97035735392</v>
          </cell>
          <cell r="BX580">
            <v>680065.87843559938</v>
          </cell>
        </row>
        <row r="581">
          <cell r="BQ581">
            <v>452764.4758587571</v>
          </cell>
          <cell r="BR581">
            <v>434763.5627336739</v>
          </cell>
          <cell r="BS581">
            <v>446627.5839995158</v>
          </cell>
          <cell r="BT581">
            <v>454907.47581466864</v>
          </cell>
          <cell r="BU581">
            <v>424266.69095159735</v>
          </cell>
          <cell r="BV581">
            <v>453162.19655985344</v>
          </cell>
          <cell r="BW581">
            <v>428819.4220627693</v>
          </cell>
          <cell r="BX581">
            <v>430049.54404003924</v>
          </cell>
        </row>
        <row r="711">
          <cell r="BQ711">
            <v>15418.099999999999</v>
          </cell>
          <cell r="BR711">
            <v>31957.970000000005</v>
          </cell>
          <cell r="BS711">
            <v>41228.879999999997</v>
          </cell>
          <cell r="BT711">
            <v>38549.210000000006</v>
          </cell>
          <cell r="BU711">
            <v>27440.659999999996</v>
          </cell>
          <cell r="BV711">
            <v>14378.250000000002</v>
          </cell>
          <cell r="BW711">
            <v>14403.89</v>
          </cell>
          <cell r="BX711">
            <v>14176.76</v>
          </cell>
        </row>
        <row r="712">
          <cell r="BQ712">
            <v>29883.5</v>
          </cell>
          <cell r="BR712">
            <v>46411.420000000006</v>
          </cell>
          <cell r="BS712">
            <v>47696.689999999995</v>
          </cell>
          <cell r="BT712">
            <v>48815.94000000001</v>
          </cell>
          <cell r="BU712">
            <v>45396.47</v>
          </cell>
          <cell r="BV712">
            <v>29738.389999999996</v>
          </cell>
          <cell r="BW712">
            <v>28183.410000000003</v>
          </cell>
          <cell r="BX712">
            <v>28035.98</v>
          </cell>
        </row>
        <row r="714">
          <cell r="BQ714">
            <v>19828.979999999996</v>
          </cell>
          <cell r="BR714">
            <v>25632.629999999997</v>
          </cell>
          <cell r="BS714">
            <v>26243.29</v>
          </cell>
          <cell r="BT714">
            <v>26853.790000000005</v>
          </cell>
          <cell r="BU714">
            <v>25230.44</v>
          </cell>
          <cell r="BV714">
            <v>19403.54</v>
          </cell>
          <cell r="BW714">
            <v>18182.070000000003</v>
          </cell>
          <cell r="BX714">
            <v>17464.96</v>
          </cell>
        </row>
        <row r="715">
          <cell r="BQ715">
            <v>4481.8</v>
          </cell>
          <cell r="BR715">
            <v>6602.84</v>
          </cell>
          <cell r="BS715">
            <v>6841.5700000000006</v>
          </cell>
          <cell r="BT715">
            <v>7041.2599999999993</v>
          </cell>
          <cell r="BU715">
            <v>6523.670000000001</v>
          </cell>
          <cell r="BV715">
            <v>4469.7000000000007</v>
          </cell>
          <cell r="BW715">
            <v>4209.0200000000004</v>
          </cell>
          <cell r="BX715">
            <v>4038.1299999999992</v>
          </cell>
        </row>
      </sheetData>
      <sheetData sheetId="5">
        <row r="3">
          <cell r="AN3">
            <v>12816.14</v>
          </cell>
          <cell r="AO3">
            <v>11764.97</v>
          </cell>
          <cell r="AP3">
            <v>13858.83</v>
          </cell>
          <cell r="AQ3">
            <v>13806.930000000002</v>
          </cell>
          <cell r="AR3">
            <v>15418.099999999999</v>
          </cell>
          <cell r="AS3">
            <v>31957.970000000005</v>
          </cell>
          <cell r="AT3">
            <v>41228.879999999997</v>
          </cell>
          <cell r="AU3">
            <v>38549.210000000006</v>
          </cell>
          <cell r="AV3">
            <v>27440.659999999996</v>
          </cell>
          <cell r="AW3">
            <v>14378.250000000002</v>
          </cell>
          <cell r="AX3">
            <v>14403.89</v>
          </cell>
          <cell r="AY3">
            <v>14176.76</v>
          </cell>
        </row>
        <row r="4">
          <cell r="AN4">
            <v>29239.369999999995</v>
          </cell>
          <cell r="AO4">
            <v>26590.2</v>
          </cell>
          <cell r="AP4">
            <v>29563.15</v>
          </cell>
          <cell r="AQ4">
            <v>28425.32</v>
          </cell>
          <cell r="AR4">
            <v>29883.5</v>
          </cell>
          <cell r="AS4">
            <v>46411.420000000006</v>
          </cell>
          <cell r="AT4">
            <v>47696.689999999995</v>
          </cell>
          <cell r="AU4">
            <v>48815.94000000001</v>
          </cell>
          <cell r="AV4">
            <v>45396.47</v>
          </cell>
          <cell r="AW4">
            <v>29738.389999999996</v>
          </cell>
          <cell r="AX4">
            <v>28183.410000000003</v>
          </cell>
          <cell r="AY4">
            <v>28035.98</v>
          </cell>
        </row>
        <row r="6">
          <cell r="AN6">
            <v>19315.809999999998</v>
          </cell>
          <cell r="AO6">
            <v>16975.469999999998</v>
          </cell>
          <cell r="AP6">
            <v>19095.16</v>
          </cell>
          <cell r="AQ6">
            <v>18781.13</v>
          </cell>
          <cell r="AR6">
            <v>19828.979999999996</v>
          </cell>
          <cell r="AS6">
            <v>25632.629999999997</v>
          </cell>
          <cell r="AT6">
            <v>26243.29</v>
          </cell>
          <cell r="AU6">
            <v>26853.790000000005</v>
          </cell>
          <cell r="AV6">
            <v>25230.44</v>
          </cell>
          <cell r="AW6">
            <v>19403.54</v>
          </cell>
          <cell r="AX6">
            <v>18182.070000000003</v>
          </cell>
          <cell r="AY6">
            <v>17464.96</v>
          </cell>
        </row>
        <row r="7">
          <cell r="AN7">
            <v>4080.4500000000003</v>
          </cell>
          <cell r="AO7">
            <v>3915.6600000000003</v>
          </cell>
          <cell r="AP7">
            <v>4397.9599999999991</v>
          </cell>
          <cell r="AQ7">
            <v>4315.28</v>
          </cell>
          <cell r="AR7">
            <v>4481.8</v>
          </cell>
          <cell r="AS7">
            <v>6602.84</v>
          </cell>
          <cell r="AT7">
            <v>6841.5700000000006</v>
          </cell>
          <cell r="AU7">
            <v>7041.2599999999993</v>
          </cell>
          <cell r="AV7">
            <v>6523.670000000001</v>
          </cell>
          <cell r="AW7">
            <v>4469.7000000000007</v>
          </cell>
          <cell r="AX7">
            <v>4209.0200000000004</v>
          </cell>
          <cell r="AY7">
            <v>4038.1299999999992</v>
          </cell>
        </row>
        <row r="18">
          <cell r="AN18">
            <v>561911.46364113956</v>
          </cell>
          <cell r="AO18">
            <v>504580.87245460798</v>
          </cell>
          <cell r="AP18">
            <v>544606.19895476592</v>
          </cell>
          <cell r="AQ18">
            <v>519975.37585522007</v>
          </cell>
          <cell r="AR18">
            <v>569448.59727654757</v>
          </cell>
          <cell r="AS18">
            <v>671243.4594059753</v>
          </cell>
          <cell r="AT18">
            <v>830295.10057608143</v>
          </cell>
          <cell r="AU18">
            <v>774557.94441162422</v>
          </cell>
          <cell r="AV18">
            <v>561940.32239909854</v>
          </cell>
          <cell r="AW18">
            <v>538772.01752119826</v>
          </cell>
          <cell r="AX18">
            <v>514469.69248379796</v>
          </cell>
          <cell r="AY18">
            <v>557966.03421994462</v>
          </cell>
        </row>
        <row r="19">
          <cell r="AN19">
            <v>830454.50546697376</v>
          </cell>
          <cell r="AO19">
            <v>750771.15273600724</v>
          </cell>
          <cell r="AP19">
            <v>831923.5366674019</v>
          </cell>
          <cell r="AQ19">
            <v>794156.35140484432</v>
          </cell>
          <cell r="AR19">
            <v>832798.32883624791</v>
          </cell>
          <cell r="AS19">
            <v>799483.49167752918</v>
          </cell>
          <cell r="AT19">
            <v>821354.44914000644</v>
          </cell>
          <cell r="AU19">
            <v>836559.29240124091</v>
          </cell>
          <cell r="AV19">
            <v>780568.02519116621</v>
          </cell>
          <cell r="AW19">
            <v>834069.87606990465</v>
          </cell>
          <cell r="AX19">
            <v>789441.93028546812</v>
          </cell>
          <cell r="AY19">
            <v>791832.81474329787</v>
          </cell>
        </row>
        <row r="21">
          <cell r="AN21">
            <v>712770.00450926623</v>
          </cell>
          <cell r="AO21">
            <v>644320.21219431201</v>
          </cell>
          <cell r="AP21">
            <v>713996.55501918739</v>
          </cell>
          <cell r="AQ21">
            <v>681946.96936054493</v>
          </cell>
          <cell r="AR21">
            <v>714787.91942515655</v>
          </cell>
          <cell r="AS21">
            <v>686609.14609806472</v>
          </cell>
          <cell r="AT21">
            <v>705447.37211405986</v>
          </cell>
          <cell r="AU21">
            <v>718421.69828542764</v>
          </cell>
          <cell r="AV21">
            <v>670606.13192617882</v>
          </cell>
          <cell r="AW21">
            <v>716298.2542908492</v>
          </cell>
          <cell r="AX21">
            <v>678127.97035735392</v>
          </cell>
          <cell r="AY21">
            <v>680065.87843559938</v>
          </cell>
        </row>
        <row r="22">
          <cell r="AN22">
            <v>451336.11787093006</v>
          </cell>
          <cell r="AO22">
            <v>408047.18300182046</v>
          </cell>
          <cell r="AP22">
            <v>452304.31808731862</v>
          </cell>
          <cell r="AQ22">
            <v>431511.09568299807</v>
          </cell>
          <cell r="AR22">
            <v>452764.4758587571</v>
          </cell>
          <cell r="AS22">
            <v>434763.5627336739</v>
          </cell>
          <cell r="AT22">
            <v>446627.5839995158</v>
          </cell>
          <cell r="AU22">
            <v>454907.47581466864</v>
          </cell>
          <cell r="AV22">
            <v>424266.69095159735</v>
          </cell>
          <cell r="AW22">
            <v>453162.19655985344</v>
          </cell>
          <cell r="AX22">
            <v>428819.4220627693</v>
          </cell>
          <cell r="AY22">
            <v>430049.54404003924</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put"/>
      <sheetName val="Program Descriptions"/>
      <sheetName val="Monthly TD Calc"/>
      <sheetName val="Summary Monthly TD Calc"/>
    </sheetNames>
    <sheetDataSet>
      <sheetData sheetId="0"/>
      <sheetData sheetId="1"/>
      <sheetData sheetId="2"/>
      <sheetData sheetId="3">
        <row r="3">
          <cell r="F3">
            <v>0</v>
          </cell>
          <cell r="G3">
            <v>110.07999999999998</v>
          </cell>
          <cell r="H3">
            <v>320.5</v>
          </cell>
          <cell r="I3">
            <v>1759.9600000000003</v>
          </cell>
          <cell r="J3">
            <v>2853.2800000000011</v>
          </cell>
          <cell r="K3">
            <v>375.05</v>
          </cell>
          <cell r="L3">
            <v>355.67999999999995</v>
          </cell>
          <cell r="M3">
            <v>462.15</v>
          </cell>
          <cell r="N3">
            <v>632.58999999999992</v>
          </cell>
          <cell r="O3">
            <v>706.7</v>
          </cell>
          <cell r="P3">
            <v>934.91</v>
          </cell>
          <cell r="Q3">
            <v>941.12999999999977</v>
          </cell>
          <cell r="R3">
            <v>2301.0100000000007</v>
          </cell>
          <cell r="S3">
            <v>26906</v>
          </cell>
          <cell r="T3">
            <v>44326.16</v>
          </cell>
          <cell r="U3">
            <v>44431.329999999987</v>
          </cell>
          <cell r="V3">
            <v>30784.949999999993</v>
          </cell>
          <cell r="W3">
            <v>2389.5900000000006</v>
          </cell>
          <cell r="X3">
            <v>2362.65</v>
          </cell>
          <cell r="Y3">
            <v>3334.2299999999996</v>
          </cell>
        </row>
        <row r="4">
          <cell r="F4">
            <v>81.44</v>
          </cell>
          <cell r="G4">
            <v>555.72</v>
          </cell>
          <cell r="H4">
            <v>1125.0999999999999</v>
          </cell>
          <cell r="I4">
            <v>2419.17</v>
          </cell>
          <cell r="J4">
            <v>5297.55</v>
          </cell>
          <cell r="K4">
            <v>2638.89</v>
          </cell>
          <cell r="L4">
            <v>3119.96</v>
          </cell>
          <cell r="M4">
            <v>3782.6800000000003</v>
          </cell>
          <cell r="N4">
            <v>4534.2900000000009</v>
          </cell>
          <cell r="O4">
            <v>4221.09</v>
          </cell>
          <cell r="P4">
            <v>5561.11</v>
          </cell>
          <cell r="Q4">
            <v>5295.93</v>
          </cell>
          <cell r="R4">
            <v>6048.2699999999995</v>
          </cell>
          <cell r="S4">
            <v>22515.99</v>
          </cell>
          <cell r="T4">
            <v>30265.42</v>
          </cell>
          <cell r="U4">
            <v>29710.020000000004</v>
          </cell>
          <cell r="V4">
            <v>23214.21</v>
          </cell>
          <cell r="W4">
            <v>8125.7900000000009</v>
          </cell>
          <cell r="X4">
            <v>8886.2099999999991</v>
          </cell>
          <cell r="Y4">
            <v>9172.27</v>
          </cell>
        </row>
        <row r="5">
          <cell r="F5">
            <v>52.79</v>
          </cell>
          <cell r="G5">
            <v>404.03</v>
          </cell>
          <cell r="H5">
            <v>519.87</v>
          </cell>
          <cell r="I5">
            <v>486.93</v>
          </cell>
          <cell r="J5">
            <v>616.91999999999996</v>
          </cell>
          <cell r="K5">
            <v>259.31</v>
          </cell>
          <cell r="L5">
            <v>423.46</v>
          </cell>
          <cell r="M5">
            <v>677.06</v>
          </cell>
          <cell r="N5">
            <v>1045.7</v>
          </cell>
          <cell r="O5">
            <v>1002.44</v>
          </cell>
          <cell r="P5">
            <v>2411.98</v>
          </cell>
          <cell r="Q5">
            <v>2266.23</v>
          </cell>
          <cell r="R5">
            <v>3459.88</v>
          </cell>
          <cell r="S5">
            <v>13124.08</v>
          </cell>
          <cell r="T5">
            <v>16765.509999999998</v>
          </cell>
          <cell r="U5">
            <v>16376.82</v>
          </cell>
          <cell r="V5">
            <v>10572.52</v>
          </cell>
          <cell r="W5">
            <v>3126.96</v>
          </cell>
          <cell r="X5">
            <v>3246.31</v>
          </cell>
          <cell r="Y5">
            <v>2341.0700000000002</v>
          </cell>
        </row>
        <row r="6">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row>
        <row r="17">
          <cell r="F17">
            <v>0</v>
          </cell>
          <cell r="G17">
            <v>1111.6533527526519</v>
          </cell>
          <cell r="H17">
            <v>3248.9268865412723</v>
          </cell>
          <cell r="I17">
            <v>17560.923688871419</v>
          </cell>
          <cell r="J17">
            <v>28860.84024083288</v>
          </cell>
          <cell r="K17">
            <v>5628.6353646040161</v>
          </cell>
          <cell r="L17">
            <v>5533.5554118047294</v>
          </cell>
          <cell r="M17">
            <v>7203.7157417687922</v>
          </cell>
          <cell r="N17">
            <v>9879.015740756442</v>
          </cell>
          <cell r="O17">
            <v>11046.563380427131</v>
          </cell>
          <cell r="P17">
            <v>14616.131714896237</v>
          </cell>
          <cell r="Q17">
            <v>14733.487070308562</v>
          </cell>
          <cell r="R17">
            <v>33967.198717752668</v>
          </cell>
          <cell r="S17">
            <v>266117.39476346516</v>
          </cell>
          <cell r="T17">
            <v>441448.87370441726</v>
          </cell>
          <cell r="U17">
            <v>443142.51231701794</v>
          </cell>
          <cell r="V17">
            <v>311420.9686675652</v>
          </cell>
          <cell r="W17">
            <v>36169.028356821742</v>
          </cell>
          <cell r="X17">
            <v>36995.862051068158</v>
          </cell>
          <cell r="Y17">
            <v>52373.209153634321</v>
          </cell>
        </row>
        <row r="18">
          <cell r="F18">
            <v>2573.7971503898057</v>
          </cell>
          <cell r="G18">
            <v>10869.380229426268</v>
          </cell>
          <cell r="H18">
            <v>20255.747982481207</v>
          </cell>
          <cell r="I18">
            <v>37627.949904155881</v>
          </cell>
          <cell r="J18">
            <v>75740.145229547532</v>
          </cell>
          <cell r="K18">
            <v>60217.212648972672</v>
          </cell>
          <cell r="L18">
            <v>71845.681846491017</v>
          </cell>
          <cell r="M18">
            <v>88842.092191193646</v>
          </cell>
          <cell r="N18">
            <v>108047.55669349703</v>
          </cell>
          <cell r="O18">
            <v>100369.84384709982</v>
          </cell>
          <cell r="P18">
            <v>138104.9714113184</v>
          </cell>
          <cell r="Q18">
            <v>130154.04066619034</v>
          </cell>
          <cell r="R18">
            <v>153091.36026775278</v>
          </cell>
          <cell r="S18">
            <v>363005.088006487</v>
          </cell>
          <cell r="T18">
            <v>484529.66201519413</v>
          </cell>
          <cell r="U18">
            <v>472952.38777757343</v>
          </cell>
          <cell r="V18">
            <v>361072.06319313921</v>
          </cell>
          <cell r="W18">
            <v>198751.45982974317</v>
          </cell>
          <cell r="X18">
            <v>216411.50980462425</v>
          </cell>
          <cell r="Y18">
            <v>219636.09784779453</v>
          </cell>
        </row>
        <row r="19">
          <cell r="F19">
            <v>2161.6488024180185</v>
          </cell>
          <cell r="G19">
            <v>12374.826257023595</v>
          </cell>
          <cell r="H19">
            <v>15987.444245980347</v>
          </cell>
          <cell r="I19">
            <v>14898.524923457886</v>
          </cell>
          <cell r="J19">
            <v>18752.414416903503</v>
          </cell>
          <cell r="K19">
            <v>10875.878800393379</v>
          </cell>
          <cell r="L19">
            <v>17961.285638804333</v>
          </cell>
          <cell r="M19">
            <v>29947.442168449914</v>
          </cell>
          <cell r="N19">
            <v>43737.354542365625</v>
          </cell>
          <cell r="O19">
            <v>43150.025195447524</v>
          </cell>
          <cell r="P19">
            <v>102402.22910776973</v>
          </cell>
          <cell r="Q19">
            <v>93456.192451729803</v>
          </cell>
          <cell r="R19">
            <v>141671.77281014743</v>
          </cell>
          <cell r="S19">
            <v>401972.30298995157</v>
          </cell>
          <cell r="T19">
            <v>515589.37095522822</v>
          </cell>
          <cell r="U19">
            <v>501082.37784760015</v>
          </cell>
          <cell r="V19">
            <v>321373.72333476943</v>
          </cell>
          <cell r="W19">
            <v>131152.07747165742</v>
          </cell>
          <cell r="X19">
            <v>137694.83498008217</v>
          </cell>
          <cell r="Y19">
            <v>103549.37931889284</v>
          </cell>
        </row>
        <row r="20">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Monthly TD Calc"/>
    </sheetNames>
    <sheetDataSet>
      <sheetData sheetId="0"/>
      <sheetData sheetId="1">
        <row r="44">
          <cell r="CZ44">
            <v>0.39209287804949344</v>
          </cell>
          <cell r="DB44">
            <v>0.45435908608374953</v>
          </cell>
          <cell r="DC44">
            <v>0.15354803586675725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MO CONTRACT_DETAIL IMPORT"/>
    </sheetNames>
    <sheetDataSet>
      <sheetData sheetId="0">
        <row r="211">
          <cell r="AW211">
            <v>657746.80000000005</v>
          </cell>
          <cell r="AX211">
            <v>737455.73</v>
          </cell>
          <cell r="BA211">
            <v>5896699.0899999999</v>
          </cell>
        </row>
        <row r="212">
          <cell r="AW212">
            <v>205071.09</v>
          </cell>
          <cell r="AX212">
            <v>396437.97000000003</v>
          </cell>
          <cell r="BA212">
            <v>2319131.77</v>
          </cell>
        </row>
        <row r="214">
          <cell r="AW214">
            <v>206345.94</v>
          </cell>
          <cell r="AX214">
            <v>299266.37</v>
          </cell>
          <cell r="BA214">
            <v>3504312.21</v>
          </cell>
        </row>
        <row r="215">
          <cell r="AW215">
            <v>35504.910000000003</v>
          </cell>
          <cell r="AX215">
            <v>35504.910000000003</v>
          </cell>
          <cell r="BA215">
            <v>3670850.14</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 Matrix @Meter"/>
      <sheetName val="PY1 Final EM&amp;V"/>
      <sheetName val="Tariff Table"/>
      <sheetName val="EMV Results"/>
    </sheetNames>
    <sheetDataSet>
      <sheetData sheetId="0">
        <row r="20">
          <cell r="R20">
            <v>1600473.2590000001</v>
          </cell>
          <cell r="V20">
            <v>310910.24</v>
          </cell>
          <cell r="X20">
            <v>318131.55000000005</v>
          </cell>
          <cell r="Y20">
            <v>264768.76</v>
          </cell>
        </row>
      </sheetData>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1">
          <cell r="E571">
            <v>20417.009999999995</v>
          </cell>
          <cell r="F571">
            <v>26427.869999999995</v>
          </cell>
          <cell r="G571">
            <v>25762.399999999994</v>
          </cell>
          <cell r="H571">
            <v>25475.879999999976</v>
          </cell>
          <cell r="I571">
            <v>25719.17</v>
          </cell>
          <cell r="J571">
            <v>41841.229999999981</v>
          </cell>
          <cell r="K571">
            <v>43382.389999999985</v>
          </cell>
          <cell r="L571">
            <v>59447.949999999953</v>
          </cell>
          <cell r="M571">
            <v>63195.650000000081</v>
          </cell>
          <cell r="N571">
            <v>31780.369999999995</v>
          </cell>
          <cell r="O571">
            <v>32268.829999999958</v>
          </cell>
          <cell r="P571">
            <v>35300.74000000002</v>
          </cell>
          <cell r="Q571">
            <v>13388.950000000012</v>
          </cell>
          <cell r="R571">
            <v>12882.320000000007</v>
          </cell>
          <cell r="S571">
            <v>12528.659999999989</v>
          </cell>
          <cell r="T571">
            <v>12194.229999999996</v>
          </cell>
          <cell r="U571">
            <v>13551.040000000008</v>
          </cell>
          <cell r="V571">
            <v>15902.689999999973</v>
          </cell>
          <cell r="W571">
            <v>16082.380000000005</v>
          </cell>
          <cell r="X571">
            <v>16628.290000000008</v>
          </cell>
          <cell r="Y571">
            <v>18457.01999999999</v>
          </cell>
          <cell r="Z571">
            <v>12601.330000000002</v>
          </cell>
          <cell r="AA571">
            <v>12496.970000000001</v>
          </cell>
          <cell r="AB571">
            <v>14872.529999999984</v>
          </cell>
          <cell r="AC571">
            <v>9244.6600000000035</v>
          </cell>
          <cell r="AD571">
            <v>8897.4599999999919</v>
          </cell>
          <cell r="AE571">
            <v>8602.3499999999913</v>
          </cell>
          <cell r="AF571">
            <v>8378.8800000000047</v>
          </cell>
          <cell r="AG571">
            <v>9281.8500000000058</v>
          </cell>
          <cell r="AH571">
            <v>10569.740000000005</v>
          </cell>
          <cell r="AI571">
            <v>10545.420000000013</v>
          </cell>
          <cell r="AJ571">
            <v>11000.430000000022</v>
          </cell>
          <cell r="AK571">
            <v>12534.810000000012</v>
          </cell>
          <cell r="AL571">
            <v>8641.7700000000186</v>
          </cell>
          <cell r="AM571">
            <v>8576.5</v>
          </cell>
          <cell r="AN571">
            <v>10271.900000000009</v>
          </cell>
        </row>
        <row r="572">
          <cell r="E572">
            <v>0</v>
          </cell>
          <cell r="F572">
            <v>0</v>
          </cell>
          <cell r="G572">
            <v>39.70999999999998</v>
          </cell>
          <cell r="H572">
            <v>130.26000000000022</v>
          </cell>
          <cell r="I572">
            <v>216.1899999999996</v>
          </cell>
          <cell r="J572">
            <v>411.05999999999949</v>
          </cell>
          <cell r="K572">
            <v>1101.5800000000017</v>
          </cell>
          <cell r="L572">
            <v>1355.6599999999999</v>
          </cell>
          <cell r="M572">
            <v>1039.7599999999984</v>
          </cell>
          <cell r="N572">
            <v>902.48000000000138</v>
          </cell>
          <cell r="O572">
            <v>1030.7699999999968</v>
          </cell>
          <cell r="P572">
            <v>1303.760000000002</v>
          </cell>
          <cell r="Q572">
            <v>1672.4700000000012</v>
          </cell>
          <cell r="R572">
            <v>1521.3499999999985</v>
          </cell>
          <cell r="S572">
            <v>1697</v>
          </cell>
          <cell r="T572">
            <v>1761.9300000000003</v>
          </cell>
          <cell r="U572">
            <v>1875.8300000000017</v>
          </cell>
          <cell r="V572">
            <v>2826.2700000000041</v>
          </cell>
          <cell r="W572">
            <v>4160.1399999999994</v>
          </cell>
          <cell r="X572">
            <v>4064.8399999999965</v>
          </cell>
          <cell r="Y572">
            <v>2726.6600000000108</v>
          </cell>
          <cell r="Z572">
            <v>1853.9300000000039</v>
          </cell>
          <cell r="AA572">
            <v>1763.4200000000019</v>
          </cell>
          <cell r="AB572">
            <v>1604.5900000000001</v>
          </cell>
          <cell r="AC572">
            <v>1684.510000000002</v>
          </cell>
          <cell r="AD572">
            <v>1532.2800000000025</v>
          </cell>
          <cell r="AE572">
            <v>1709.1900000000023</v>
          </cell>
          <cell r="AF572">
            <v>1774.6799999999967</v>
          </cell>
          <cell r="AG572">
            <v>1889.3100000000013</v>
          </cell>
          <cell r="AH572">
            <v>2846.6500000000015</v>
          </cell>
          <cell r="AI572">
            <v>4180.7299999999959</v>
          </cell>
          <cell r="AJ572">
            <v>4085.8700000000099</v>
          </cell>
          <cell r="AK572">
            <v>2746.4300000000076</v>
          </cell>
          <cell r="AL572">
            <v>1867.3500000000058</v>
          </cell>
          <cell r="AM572">
            <v>1776.2199999999975</v>
          </cell>
          <cell r="AN572">
            <v>1616.2300000000032</v>
          </cell>
        </row>
        <row r="574">
          <cell r="E574">
            <v>0</v>
          </cell>
          <cell r="F574">
            <v>0</v>
          </cell>
          <cell r="G574">
            <v>21.79000000000002</v>
          </cell>
          <cell r="H574">
            <v>131.46000000000026</v>
          </cell>
          <cell r="I574">
            <v>265.22000000000025</v>
          </cell>
          <cell r="J574">
            <v>318.80000000000018</v>
          </cell>
          <cell r="K574">
            <v>379.60000000000036</v>
          </cell>
          <cell r="L574">
            <v>563.39999999999964</v>
          </cell>
          <cell r="M574">
            <v>690.21999999999935</v>
          </cell>
          <cell r="N574">
            <v>710.29000000000087</v>
          </cell>
          <cell r="O574">
            <v>747.90999999999985</v>
          </cell>
          <cell r="P574">
            <v>815.53999999999905</v>
          </cell>
          <cell r="Q574">
            <v>905.54000000000087</v>
          </cell>
          <cell r="R574">
            <v>866.09000000000196</v>
          </cell>
          <cell r="S574">
            <v>967.59999999999854</v>
          </cell>
          <cell r="T574">
            <v>911.14000000000124</v>
          </cell>
          <cell r="U574">
            <v>1009.9300000000003</v>
          </cell>
          <cell r="V574">
            <v>1135.0700000000033</v>
          </cell>
          <cell r="W574">
            <v>1122.9399999999987</v>
          </cell>
          <cell r="X574">
            <v>1158.5</v>
          </cell>
          <cell r="Y574">
            <v>1091.7099999999991</v>
          </cell>
          <cell r="Z574">
            <v>966.81999999999971</v>
          </cell>
          <cell r="AA574">
            <v>939.02000000000044</v>
          </cell>
          <cell r="AB574">
            <v>900.35999999999876</v>
          </cell>
          <cell r="AC574">
            <v>917.57000000000153</v>
          </cell>
          <cell r="AD574">
            <v>877.59000000000196</v>
          </cell>
          <cell r="AE574">
            <v>980.43000000000029</v>
          </cell>
          <cell r="AF574">
            <v>923.29000000000087</v>
          </cell>
          <cell r="AG574">
            <v>1023.3200000000033</v>
          </cell>
          <cell r="AH574">
            <v>1150.1200000000026</v>
          </cell>
          <cell r="AI574">
            <v>1137.8299999999981</v>
          </cell>
          <cell r="AJ574">
            <v>1173.8600000000006</v>
          </cell>
          <cell r="AK574">
            <v>1106.2599999999948</v>
          </cell>
          <cell r="AL574">
            <v>979.7300000000032</v>
          </cell>
          <cell r="AM574">
            <v>951.59999999999854</v>
          </cell>
          <cell r="AN574">
            <v>912.42000000000007</v>
          </cell>
        </row>
        <row r="575">
          <cell r="E575">
            <v>0</v>
          </cell>
          <cell r="F575">
            <v>0</v>
          </cell>
          <cell r="G575">
            <v>0</v>
          </cell>
          <cell r="H575">
            <v>-3.6100000000000136</v>
          </cell>
          <cell r="I575">
            <v>14.779999999999973</v>
          </cell>
          <cell r="J575">
            <v>52.480000000000018</v>
          </cell>
          <cell r="K575">
            <v>63.8900000000001</v>
          </cell>
          <cell r="L575">
            <v>78.479999999999791</v>
          </cell>
          <cell r="M575">
            <v>86.590000000000146</v>
          </cell>
          <cell r="N575">
            <v>95.920000000000982</v>
          </cell>
          <cell r="O575">
            <v>119.86999999999989</v>
          </cell>
          <cell r="P575">
            <v>143.69000000000051</v>
          </cell>
          <cell r="Q575">
            <v>160.54999999999927</v>
          </cell>
          <cell r="R575">
            <v>143.18000000000029</v>
          </cell>
          <cell r="S575">
            <v>160.16000000000076</v>
          </cell>
          <cell r="T575">
            <v>143.22000000000025</v>
          </cell>
          <cell r="U575">
            <v>158.33999999999924</v>
          </cell>
          <cell r="V575">
            <v>182.97000000000116</v>
          </cell>
          <cell r="W575">
            <v>186.25000000000182</v>
          </cell>
          <cell r="X575">
            <v>189.64000000000124</v>
          </cell>
          <cell r="Y575">
            <v>180.03000000000065</v>
          </cell>
          <cell r="Z575">
            <v>150.05999999999949</v>
          </cell>
          <cell r="AA575">
            <v>142.78000000000065</v>
          </cell>
          <cell r="AB575">
            <v>152.88000000000102</v>
          </cell>
          <cell r="AC575">
            <v>173.07999999999993</v>
          </cell>
          <cell r="AD575">
            <v>154.32999999999993</v>
          </cell>
          <cell r="AE575">
            <v>172.57000000000062</v>
          </cell>
          <cell r="AF575">
            <v>154.40000000000055</v>
          </cell>
          <cell r="AG575">
            <v>170.58999999999924</v>
          </cell>
          <cell r="AH575">
            <v>196.94000000000142</v>
          </cell>
          <cell r="AI575">
            <v>200.46000000000095</v>
          </cell>
          <cell r="AJ575">
            <v>204.11999999999898</v>
          </cell>
          <cell r="AK575">
            <v>193.90000000000055</v>
          </cell>
          <cell r="AL575">
            <v>161.76999999999953</v>
          </cell>
          <cell r="AM575">
            <v>153.97999999999956</v>
          </cell>
          <cell r="AN575">
            <v>164.91000000000167</v>
          </cell>
        </row>
      </sheetData>
      <sheetData sheetId="5">
        <row r="436">
          <cell r="E436">
            <v>0</v>
          </cell>
          <cell r="F436">
            <v>-548.9600000000064</v>
          </cell>
          <cell r="G436">
            <v>-1984.6900000000023</v>
          </cell>
          <cell r="H436">
            <v>-3620.7999999999884</v>
          </cell>
          <cell r="I436">
            <v>-6432.4400000000023</v>
          </cell>
          <cell r="J436">
            <v>-13309.329999999987</v>
          </cell>
          <cell r="K436">
            <v>-19322.069999999978</v>
          </cell>
          <cell r="L436">
            <v>-23382.190000000002</v>
          </cell>
          <cell r="M436">
            <v>-27168.590000000026</v>
          </cell>
          <cell r="N436">
            <v>-20964.75</v>
          </cell>
          <cell r="O436">
            <v>-24073.289999999979</v>
          </cell>
          <cell r="P436">
            <v>-31950.319999999978</v>
          </cell>
          <cell r="Q436">
            <v>-31073.87000000001</v>
          </cell>
          <cell r="R436">
            <v>-29844.37000000001</v>
          </cell>
          <cell r="S436">
            <v>-30065.810000000012</v>
          </cell>
          <cell r="T436">
            <v>-29138.509999999995</v>
          </cell>
          <cell r="U436">
            <v>-32975.600000000006</v>
          </cell>
          <cell r="V436">
            <v>-45276.329999999987</v>
          </cell>
          <cell r="W436">
            <v>-48702.25</v>
          </cell>
          <cell r="X436">
            <v>-48386.34</v>
          </cell>
          <cell r="Y436">
            <v>-47116.179999999993</v>
          </cell>
          <cell r="Z436">
            <v>-30455.539999999994</v>
          </cell>
          <cell r="AA436">
            <v>-30075.509999999995</v>
          </cell>
          <cell r="AB436">
            <v>-34457.949999999983</v>
          </cell>
          <cell r="AC436">
            <v>0</v>
          </cell>
          <cell r="AD436">
            <v>0</v>
          </cell>
          <cell r="AE436">
            <v>0</v>
          </cell>
          <cell r="AF436">
            <v>0</v>
          </cell>
          <cell r="AG436">
            <v>-1.0000000009313226E-2</v>
          </cell>
          <cell r="AH436">
            <v>0</v>
          </cell>
          <cell r="AI436">
            <v>0</v>
          </cell>
          <cell r="AJ436">
            <v>0</v>
          </cell>
          <cell r="AK436">
            <v>0</v>
          </cell>
          <cell r="AL436">
            <v>0</v>
          </cell>
          <cell r="AM436">
            <v>0</v>
          </cell>
          <cell r="AN436">
            <v>0</v>
          </cell>
        </row>
        <row r="437">
          <cell r="E437">
            <v>0</v>
          </cell>
          <cell r="F437">
            <v>0</v>
          </cell>
          <cell r="G437">
            <v>-9.9999999999909051E-3</v>
          </cell>
          <cell r="H437">
            <v>-138.95000000000027</v>
          </cell>
          <cell r="I437">
            <v>-301.80999999999949</v>
          </cell>
          <cell r="J437">
            <v>-468.01999999999862</v>
          </cell>
          <cell r="K437">
            <v>-483.04999999999927</v>
          </cell>
          <cell r="L437">
            <v>-504.46999999999753</v>
          </cell>
          <cell r="M437">
            <v>-504.92000000000189</v>
          </cell>
          <cell r="N437">
            <v>-365.14999999999964</v>
          </cell>
          <cell r="O437">
            <v>-350.93000000000029</v>
          </cell>
          <cell r="P437">
            <v>-339.45000000000073</v>
          </cell>
          <cell r="Q437">
            <v>-371.04000000000087</v>
          </cell>
          <cell r="R437">
            <v>-337.18999999999505</v>
          </cell>
          <cell r="S437">
            <v>-375.75</v>
          </cell>
          <cell r="T437">
            <v>-392.68999999999869</v>
          </cell>
          <cell r="U437">
            <v>-415.60000000000218</v>
          </cell>
          <cell r="V437">
            <v>-628.45999999999913</v>
          </cell>
          <cell r="W437">
            <v>-634.21999999999389</v>
          </cell>
          <cell r="X437">
            <v>-647.95999999999185</v>
          </cell>
          <cell r="Y437">
            <v>-609.12000000000262</v>
          </cell>
          <cell r="Z437">
            <v>-413.63999999999942</v>
          </cell>
          <cell r="AA437">
            <v>-394.46000000000276</v>
          </cell>
          <cell r="AB437">
            <v>-358.65999999999985</v>
          </cell>
          <cell r="AC437">
            <v>0</v>
          </cell>
          <cell r="AD437">
            <v>2.0000000004074536E-2</v>
          </cell>
          <cell r="AE437">
            <v>9.9999999983992893E-3</v>
          </cell>
          <cell r="AF437">
            <v>0</v>
          </cell>
          <cell r="AG437">
            <v>0</v>
          </cell>
          <cell r="AH437">
            <v>0</v>
          </cell>
          <cell r="AI437">
            <v>-9.9999999947613105E-3</v>
          </cell>
          <cell r="AJ437">
            <v>0</v>
          </cell>
          <cell r="AK437">
            <v>0</v>
          </cell>
          <cell r="AL437">
            <v>0</v>
          </cell>
          <cell r="AM437">
            <v>9.9999999983992893E-3</v>
          </cell>
          <cell r="AN437">
            <v>0</v>
          </cell>
        </row>
        <row r="439">
          <cell r="E439">
            <v>0</v>
          </cell>
          <cell r="F439">
            <v>0</v>
          </cell>
          <cell r="G439">
            <v>0</v>
          </cell>
          <cell r="H439">
            <v>-28.470000000000027</v>
          </cell>
          <cell r="I439">
            <v>-97.300000000000182</v>
          </cell>
          <cell r="J439">
            <v>-148.3100000000004</v>
          </cell>
          <cell r="K439">
            <v>-146.75999999999931</v>
          </cell>
          <cell r="L439">
            <v>-151.30999999999949</v>
          </cell>
          <cell r="M439">
            <v>-143.32999999999993</v>
          </cell>
          <cell r="N439">
            <v>-141.61999999999898</v>
          </cell>
          <cell r="O439">
            <v>-160.02000000000044</v>
          </cell>
          <cell r="P439">
            <v>-266.28999999999905</v>
          </cell>
          <cell r="Q439">
            <v>-370.76000000000022</v>
          </cell>
          <cell r="R439">
            <v>-354.30000000000109</v>
          </cell>
          <cell r="S439">
            <v>-395.27000000000044</v>
          </cell>
          <cell r="T439">
            <v>-374.63999999999942</v>
          </cell>
          <cell r="U439">
            <v>-412.68999999999869</v>
          </cell>
          <cell r="V439">
            <v>-464.04000000000087</v>
          </cell>
          <cell r="W439">
            <v>-459.25</v>
          </cell>
          <cell r="X439">
            <v>-473.41999999999825</v>
          </cell>
          <cell r="Y439">
            <v>-448.45000000000073</v>
          </cell>
          <cell r="Z439">
            <v>-397.92999999999665</v>
          </cell>
          <cell r="AA439">
            <v>-387.53999999999724</v>
          </cell>
          <cell r="AB439">
            <v>-371.46999999999753</v>
          </cell>
          <cell r="AC439">
            <v>0</v>
          </cell>
          <cell r="AD439">
            <v>-1.0000000000218279E-2</v>
          </cell>
          <cell r="AE439">
            <v>-1.0000000002037268E-2</v>
          </cell>
          <cell r="AF439">
            <v>0</v>
          </cell>
          <cell r="AG439">
            <v>0</v>
          </cell>
          <cell r="AH439">
            <v>-1.0000000002037268E-2</v>
          </cell>
          <cell r="AI439">
            <v>0</v>
          </cell>
          <cell r="AJ439">
            <v>1.0000000002037268E-2</v>
          </cell>
          <cell r="AK439">
            <v>-9.9999999983992893E-3</v>
          </cell>
          <cell r="AL439">
            <v>0</v>
          </cell>
          <cell r="AM439">
            <v>-9.9999999983992893E-3</v>
          </cell>
          <cell r="AN439">
            <v>-9.9999999983992893E-3</v>
          </cell>
        </row>
        <row r="440">
          <cell r="E440">
            <v>0</v>
          </cell>
          <cell r="F440">
            <v>0</v>
          </cell>
          <cell r="G440">
            <v>0</v>
          </cell>
          <cell r="H440">
            <v>-23.949999999999989</v>
          </cell>
          <cell r="I440">
            <v>-52.449999999999932</v>
          </cell>
          <cell r="J440">
            <v>-60.920000000000073</v>
          </cell>
          <cell r="K440">
            <v>-63.069999999999936</v>
          </cell>
          <cell r="L440">
            <v>-64.170000000000073</v>
          </cell>
          <cell r="M440">
            <v>-64.789999999999964</v>
          </cell>
          <cell r="N440">
            <v>-202.78999999999996</v>
          </cell>
          <cell r="O440">
            <v>-332.19000000000051</v>
          </cell>
          <cell r="P440">
            <v>-364.09000000000015</v>
          </cell>
          <cell r="Q440">
            <v>-386.06999999999971</v>
          </cell>
          <cell r="R440">
            <v>-343.43000000000029</v>
          </cell>
          <cell r="S440">
            <v>-382.55000000000109</v>
          </cell>
          <cell r="T440">
            <v>-344.73000000000047</v>
          </cell>
          <cell r="U440">
            <v>-377.5</v>
          </cell>
          <cell r="V440">
            <v>-430.94000000000051</v>
          </cell>
          <cell r="W440">
            <v>-438.64000000000124</v>
          </cell>
          <cell r="X440">
            <v>-446.36000000000058</v>
          </cell>
          <cell r="Y440">
            <v>-427.32999999999993</v>
          </cell>
          <cell r="Z440">
            <v>-361.26000000000022</v>
          </cell>
          <cell r="AA440">
            <v>-344.86000000000058</v>
          </cell>
          <cell r="AB440">
            <v>-370.92000000000007</v>
          </cell>
          <cell r="AC440">
            <v>0</v>
          </cell>
          <cell r="AD440">
            <v>-1.0000000000218279E-2</v>
          </cell>
          <cell r="AE440">
            <v>0</v>
          </cell>
          <cell r="AF440">
            <v>-1.0000000000218279E-2</v>
          </cell>
          <cell r="AG440">
            <v>0</v>
          </cell>
          <cell r="AH440">
            <v>0</v>
          </cell>
          <cell r="AI440">
            <v>0</v>
          </cell>
          <cell r="AJ440">
            <v>0</v>
          </cell>
          <cell r="AK440">
            <v>0</v>
          </cell>
          <cell r="AL440">
            <v>0</v>
          </cell>
          <cell r="AM440">
            <v>0</v>
          </cell>
          <cell r="AN440">
            <v>0</v>
          </cell>
        </row>
      </sheetData>
      <sheetData sheetId="6">
        <row r="55">
          <cell r="C55">
            <v>31.6</v>
          </cell>
          <cell r="D55">
            <v>88.55</v>
          </cell>
          <cell r="E55">
            <v>154.47</v>
          </cell>
          <cell r="F55">
            <v>215.77</v>
          </cell>
          <cell r="G55">
            <v>270.38</v>
          </cell>
          <cell r="H55">
            <v>333.85</v>
          </cell>
          <cell r="I55">
            <v>330.37</v>
          </cell>
          <cell r="J55">
            <v>395.69</v>
          </cell>
          <cell r="K55">
            <v>474.01</v>
          </cell>
          <cell r="L55">
            <v>529.29</v>
          </cell>
          <cell r="M55">
            <v>549.95000000000005</v>
          </cell>
          <cell r="N55">
            <v>745.19</v>
          </cell>
          <cell r="O55">
            <v>724.56</v>
          </cell>
          <cell r="P55">
            <v>546.58000000000004</v>
          </cell>
          <cell r="Q55">
            <v>209.29</v>
          </cell>
          <cell r="R55">
            <v>229.64</v>
          </cell>
          <cell r="S55">
            <v>220.93</v>
          </cell>
          <cell r="T55">
            <v>190.66</v>
          </cell>
          <cell r="U55">
            <v>161.38</v>
          </cell>
          <cell r="V55">
            <v>132.44999999999999</v>
          </cell>
          <cell r="W55">
            <v>97.48</v>
          </cell>
          <cell r="X55">
            <v>72.510000000000005</v>
          </cell>
          <cell r="Y55">
            <v>49.02</v>
          </cell>
          <cell r="Z55">
            <v>16.97</v>
          </cell>
          <cell r="AA55">
            <v>9.5399999999999991</v>
          </cell>
          <cell r="AB55">
            <v>34.32</v>
          </cell>
          <cell r="AC55">
            <v>60.47</v>
          </cell>
          <cell r="AD55">
            <v>13.42</v>
          </cell>
          <cell r="AE55">
            <v>20.51</v>
          </cell>
          <cell r="AF55">
            <v>30.64</v>
          </cell>
          <cell r="AG55">
            <v>49.59</v>
          </cell>
          <cell r="AH55">
            <v>70.73</v>
          </cell>
          <cell r="AI55">
            <v>96.69</v>
          </cell>
          <cell r="AJ55">
            <v>125.08</v>
          </cell>
          <cell r="AK55">
            <v>155.63999999999999</v>
          </cell>
          <cell r="AL55">
            <v>195.78</v>
          </cell>
        </row>
        <row r="56">
          <cell r="C56">
            <v>0</v>
          </cell>
          <cell r="D56">
            <v>0</v>
          </cell>
          <cell r="E56">
            <v>0.05</v>
          </cell>
          <cell r="F56">
            <v>0.09</v>
          </cell>
          <cell r="G56">
            <v>-0.03</v>
          </cell>
          <cell r="H56">
            <v>-0.22</v>
          </cell>
          <cell r="I56">
            <v>0.43</v>
          </cell>
          <cell r="J56">
            <v>2.0299999999999998</v>
          </cell>
          <cell r="K56">
            <v>3.53</v>
          </cell>
          <cell r="L56">
            <v>4.71</v>
          </cell>
          <cell r="M56">
            <v>6.03</v>
          </cell>
          <cell r="N56">
            <v>10.36</v>
          </cell>
          <cell r="O56">
            <v>13.62</v>
          </cell>
          <cell r="P56">
            <v>13.93</v>
          </cell>
          <cell r="Q56">
            <v>6.97</v>
          </cell>
          <cell r="R56">
            <v>9.75</v>
          </cell>
          <cell r="S56">
            <v>11.99</v>
          </cell>
          <cell r="T56">
            <v>14.09</v>
          </cell>
          <cell r="U56">
            <v>18.34</v>
          </cell>
          <cell r="V56">
            <v>24.75</v>
          </cell>
          <cell r="W56">
            <v>30.41</v>
          </cell>
          <cell r="X56">
            <v>36.83</v>
          </cell>
          <cell r="Y56">
            <v>43.59</v>
          </cell>
          <cell r="Z56">
            <v>49.85</v>
          </cell>
          <cell r="AA56">
            <v>72.97</v>
          </cell>
          <cell r="AB56">
            <v>78</v>
          </cell>
          <cell r="AC56">
            <v>85.7</v>
          </cell>
          <cell r="AD56">
            <v>14.44</v>
          </cell>
          <cell r="AE56">
            <v>18.03</v>
          </cell>
          <cell r="AF56">
            <v>22.94</v>
          </cell>
          <cell r="AG56">
            <v>33.47</v>
          </cell>
          <cell r="AH56">
            <v>44.57</v>
          </cell>
          <cell r="AI56">
            <v>56.21</v>
          </cell>
          <cell r="AJ56">
            <v>67.56</v>
          </cell>
          <cell r="AK56">
            <v>79.73</v>
          </cell>
          <cell r="AL56">
            <v>94.76</v>
          </cell>
        </row>
        <row r="58">
          <cell r="C58">
            <v>0</v>
          </cell>
          <cell r="D58">
            <v>0</v>
          </cell>
          <cell r="E58">
            <v>0.03</v>
          </cell>
          <cell r="F58">
            <v>0.19</v>
          </cell>
          <cell r="G58">
            <v>0.55000000000000004</v>
          </cell>
          <cell r="H58">
            <v>1</v>
          </cell>
          <cell r="I58">
            <v>1.26</v>
          </cell>
          <cell r="J58">
            <v>1.96</v>
          </cell>
          <cell r="K58">
            <v>3</v>
          </cell>
          <cell r="L58">
            <v>4.2300000000000004</v>
          </cell>
          <cell r="M58">
            <v>5.49</v>
          </cell>
          <cell r="N58">
            <v>8.91</v>
          </cell>
          <cell r="O58">
            <v>10.47</v>
          </cell>
          <cell r="P58">
            <v>9.6999999999999993</v>
          </cell>
          <cell r="Q58">
            <v>4.53</v>
          </cell>
          <cell r="R58">
            <v>5.99</v>
          </cell>
          <cell r="S58">
            <v>7</v>
          </cell>
          <cell r="T58">
            <v>7.72</v>
          </cell>
          <cell r="U58">
            <v>8.92</v>
          </cell>
          <cell r="V58">
            <v>10.66</v>
          </cell>
          <cell r="W58">
            <v>12.33</v>
          </cell>
          <cell r="X58">
            <v>14.77</v>
          </cell>
          <cell r="Y58">
            <v>17.47</v>
          </cell>
          <cell r="Z58">
            <v>20.010000000000002</v>
          </cell>
          <cell r="AA58">
            <v>29.66</v>
          </cell>
          <cell r="AB58">
            <v>32.36</v>
          </cell>
          <cell r="AC58">
            <v>36.29</v>
          </cell>
          <cell r="AD58">
            <v>6.21</v>
          </cell>
          <cell r="AE58">
            <v>7.85</v>
          </cell>
          <cell r="AF58">
            <v>10.02</v>
          </cell>
          <cell r="AG58">
            <v>14.29</v>
          </cell>
          <cell r="AH58">
            <v>18.420000000000002</v>
          </cell>
          <cell r="AI58">
            <v>22.91</v>
          </cell>
          <cell r="AJ58">
            <v>27.68</v>
          </cell>
          <cell r="AK58">
            <v>33</v>
          </cell>
          <cell r="AL58">
            <v>39.630000000000003</v>
          </cell>
        </row>
        <row r="59">
          <cell r="C59">
            <v>0</v>
          </cell>
          <cell r="D59">
            <v>0</v>
          </cell>
          <cell r="E59">
            <v>0</v>
          </cell>
          <cell r="F59">
            <v>-0.04</v>
          </cell>
          <cell r="G59">
            <v>-0.12</v>
          </cell>
          <cell r="H59">
            <v>-0.18</v>
          </cell>
          <cell r="I59">
            <v>-0.16</v>
          </cell>
          <cell r="J59">
            <v>-0.14000000000000001</v>
          </cell>
          <cell r="K59">
            <v>-0.1</v>
          </cell>
          <cell r="L59">
            <v>-0.2</v>
          </cell>
          <cell r="M59">
            <v>-0.54</v>
          </cell>
          <cell r="N59">
            <v>-1.34</v>
          </cell>
          <cell r="O59">
            <v>-1.99</v>
          </cell>
          <cell r="P59">
            <v>-2.11</v>
          </cell>
          <cell r="Q59">
            <v>-1.07</v>
          </cell>
          <cell r="R59">
            <v>-1.51</v>
          </cell>
          <cell r="S59">
            <v>-1.84</v>
          </cell>
          <cell r="T59">
            <v>-2.11</v>
          </cell>
          <cell r="U59">
            <v>-2.52</v>
          </cell>
          <cell r="V59">
            <v>-3.1</v>
          </cell>
          <cell r="W59">
            <v>-3.67</v>
          </cell>
          <cell r="X59">
            <v>-4.4800000000000004</v>
          </cell>
          <cell r="Y59">
            <v>-5.36</v>
          </cell>
          <cell r="Z59">
            <v>-6.23</v>
          </cell>
          <cell r="AA59">
            <v>-8.68</v>
          </cell>
          <cell r="AB59">
            <v>-8.31</v>
          </cell>
          <cell r="AC59">
            <v>-8.18</v>
          </cell>
          <cell r="AD59">
            <v>-1.23</v>
          </cell>
          <cell r="AE59">
            <v>-1.37</v>
          </cell>
          <cell r="AF59">
            <v>-1.52</v>
          </cell>
          <cell r="AG59">
            <v>-1.86</v>
          </cell>
          <cell r="AH59">
            <v>-2.04</v>
          </cell>
          <cell r="AI59">
            <v>-2.15</v>
          </cell>
          <cell r="AJ59">
            <v>-2.23</v>
          </cell>
          <cell r="AK59">
            <v>-2.2999999999999998</v>
          </cell>
          <cell r="AL59">
            <v>-2.36</v>
          </cell>
        </row>
      </sheetData>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 Matrix @Meter"/>
      <sheetName val="PY2 Final EM&amp;V"/>
      <sheetName val="Tariff Table"/>
      <sheetName val="EMV Results"/>
    </sheetNames>
    <sheetDataSet>
      <sheetData sheetId="0">
        <row r="20">
          <cell r="AL20">
            <v>2070956.0390000003</v>
          </cell>
          <cell r="AP20">
            <v>283722.18000000005</v>
          </cell>
          <cell r="AR20">
            <v>576681.62</v>
          </cell>
          <cell r="AS20">
            <v>212408.31999999998</v>
          </cell>
        </row>
      </sheetData>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1">
          <cell r="Q571">
            <v>-2408.8799999999901</v>
          </cell>
          <cell r="R571">
            <v>-3144.3899999999994</v>
          </cell>
          <cell r="S571">
            <v>-3624.8499999999913</v>
          </cell>
          <cell r="T571">
            <v>-4133.4499999999825</v>
          </cell>
          <cell r="U571">
            <v>-4927.1300000000047</v>
          </cell>
          <cell r="V571">
            <v>-9414.859999999986</v>
          </cell>
          <cell r="W571">
            <v>-13776.20000000007</v>
          </cell>
          <cell r="X571">
            <v>-15688.630000000063</v>
          </cell>
          <cell r="Y571">
            <v>-13694.340000000026</v>
          </cell>
          <cell r="Z571">
            <v>-8529.5599999999686</v>
          </cell>
          <cell r="AA571">
            <v>-8619.4300000000803</v>
          </cell>
          <cell r="AB571">
            <v>-9770.2200000000303</v>
          </cell>
          <cell r="AC571">
            <v>-5600.5100000000093</v>
          </cell>
          <cell r="AD571">
            <v>-5358.5399999999936</v>
          </cell>
          <cell r="AE571">
            <v>-5788.1200000000099</v>
          </cell>
          <cell r="AF571">
            <v>-5570.9100000000035</v>
          </cell>
          <cell r="AG571">
            <v>-6492.6600000000035</v>
          </cell>
          <cell r="AH571">
            <v>-11105.249999999942</v>
          </cell>
          <cell r="AI571">
            <v>-15519.619999999995</v>
          </cell>
          <cell r="AJ571">
            <v>-14596.25999999998</v>
          </cell>
          <cell r="AK571">
            <v>-10082.270000000019</v>
          </cell>
          <cell r="AL571">
            <v>-5946.570000000007</v>
          </cell>
          <cell r="AM571">
            <v>-5830.9099999999889</v>
          </cell>
          <cell r="AN571">
            <v>-6187.6000000000058</v>
          </cell>
        </row>
        <row r="572">
          <cell r="Q572">
            <v>1.6299999999999955</v>
          </cell>
          <cell r="R572">
            <v>16.759999999999991</v>
          </cell>
          <cell r="S572">
            <v>46.529999999999973</v>
          </cell>
          <cell r="T572">
            <v>71.809999999999491</v>
          </cell>
          <cell r="U572">
            <v>107.01999999999862</v>
          </cell>
          <cell r="V572">
            <v>198.73999999999978</v>
          </cell>
          <cell r="W572">
            <v>461.02999999999702</v>
          </cell>
          <cell r="X572">
            <v>599.27000000000044</v>
          </cell>
          <cell r="Y572">
            <v>312.79999999999927</v>
          </cell>
          <cell r="Z572">
            <v>231.96999999999753</v>
          </cell>
          <cell r="AA572">
            <v>205.54999999999927</v>
          </cell>
          <cell r="AB572">
            <v>161.16999999999825</v>
          </cell>
          <cell r="AC572">
            <v>191.80999999999767</v>
          </cell>
          <cell r="AD572">
            <v>172.09000000000015</v>
          </cell>
          <cell r="AE572">
            <v>180.79999999999927</v>
          </cell>
          <cell r="AF572">
            <v>192.27999999999884</v>
          </cell>
          <cell r="AG572">
            <v>200.09000000000015</v>
          </cell>
          <cell r="AH572">
            <v>257.07999999999447</v>
          </cell>
          <cell r="AI572">
            <v>1125.7099999999991</v>
          </cell>
          <cell r="AJ572">
            <v>1030.3699999999953</v>
          </cell>
          <cell r="AK572">
            <v>245.56999999999971</v>
          </cell>
          <cell r="AL572">
            <v>197.08999999999651</v>
          </cell>
          <cell r="AM572">
            <v>184.08999999999651</v>
          </cell>
          <cell r="AN572">
            <v>173.14999999999782</v>
          </cell>
        </row>
        <row r="574">
          <cell r="Q574">
            <v>4.9999999999997158E-2</v>
          </cell>
          <cell r="R574">
            <v>-7.1299999999998818</v>
          </cell>
          <cell r="S574">
            <v>-13.030000000000655</v>
          </cell>
          <cell r="T574">
            <v>0.93000000000029104</v>
          </cell>
          <cell r="U574">
            <v>17.470000000000255</v>
          </cell>
          <cell r="V574">
            <v>-2.4700000000011642</v>
          </cell>
          <cell r="W574">
            <v>83.980000000001382</v>
          </cell>
          <cell r="X574">
            <v>195.82999999999447</v>
          </cell>
          <cell r="Y574">
            <v>93.070000000003347</v>
          </cell>
          <cell r="Z574">
            <v>41.729999999999563</v>
          </cell>
          <cell r="AA574">
            <v>-31.609999999996944</v>
          </cell>
          <cell r="AB574">
            <v>-244.1299999999901</v>
          </cell>
          <cell r="AC574">
            <v>-268.50999999999476</v>
          </cell>
          <cell r="AD574">
            <v>-255.41000000000349</v>
          </cell>
          <cell r="AE574">
            <v>-295.27000000001135</v>
          </cell>
          <cell r="AF574">
            <v>-285.25</v>
          </cell>
          <cell r="AG574">
            <v>-313.41999999999825</v>
          </cell>
          <cell r="AH574">
            <v>-431.2300000000032</v>
          </cell>
          <cell r="AI574">
            <v>-437.60999999999331</v>
          </cell>
          <cell r="AJ574">
            <v>-443.7899999999936</v>
          </cell>
          <cell r="AK574">
            <v>-420.31999999999971</v>
          </cell>
          <cell r="AL574">
            <v>-307.58000000000902</v>
          </cell>
          <cell r="AM574">
            <v>-301.67000000001281</v>
          </cell>
          <cell r="AN574">
            <v>-279.20999999999185</v>
          </cell>
        </row>
        <row r="575">
          <cell r="Q575">
            <v>0</v>
          </cell>
          <cell r="R575">
            <v>0.13999999999999968</v>
          </cell>
          <cell r="S575">
            <v>-1.0299999999999976</v>
          </cell>
          <cell r="T575">
            <v>-3.8400000000000034</v>
          </cell>
          <cell r="U575">
            <v>-17.829999999999927</v>
          </cell>
          <cell r="V575">
            <v>-45.049999999999955</v>
          </cell>
          <cell r="W575">
            <v>-51.879999999999882</v>
          </cell>
          <cell r="X575">
            <v>-72.019999999999982</v>
          </cell>
          <cell r="Y575">
            <v>-93.360000000000127</v>
          </cell>
          <cell r="Z575">
            <v>-69.070000000000164</v>
          </cell>
          <cell r="AA575">
            <v>-70.5600000000004</v>
          </cell>
          <cell r="AB575">
            <v>-66.819999999999709</v>
          </cell>
          <cell r="AC575">
            <v>-52.699999999999818</v>
          </cell>
          <cell r="AD575">
            <v>-49.630000000001019</v>
          </cell>
          <cell r="AE575">
            <v>-63.199999999999818</v>
          </cell>
          <cell r="AF575">
            <v>-61.780000000000655</v>
          </cell>
          <cell r="AG575">
            <v>-69.429999999999382</v>
          </cell>
          <cell r="AH575">
            <v>-134.48000000000047</v>
          </cell>
          <cell r="AI575">
            <v>-140.8100000000004</v>
          </cell>
          <cell r="AJ575">
            <v>-140.13000000000102</v>
          </cell>
          <cell r="AK575">
            <v>-130.97000000000025</v>
          </cell>
          <cell r="AL575">
            <v>-68.569999999999709</v>
          </cell>
          <cell r="AM575">
            <v>-67.409999999999854</v>
          </cell>
          <cell r="AN575">
            <v>-57.869999999998981</v>
          </cell>
        </row>
      </sheetData>
      <sheetData sheetId="5">
        <row r="436">
          <cell r="Q436">
            <v>-641.34000000001106</v>
          </cell>
          <cell r="R436">
            <v>-2901.9800000000105</v>
          </cell>
          <cell r="S436">
            <v>-5866.820000000007</v>
          </cell>
          <cell r="T436">
            <v>-7720.0300000000134</v>
          </cell>
          <cell r="U436">
            <v>-11625.00999999998</v>
          </cell>
          <cell r="V436">
            <v>-20929.540000000008</v>
          </cell>
          <cell r="W436">
            <v>-27117.840000000026</v>
          </cell>
          <cell r="X436">
            <v>-31034.819999999949</v>
          </cell>
          <cell r="Y436">
            <v>-33735.23000000004</v>
          </cell>
          <cell r="Z436">
            <v>-24111.200000000012</v>
          </cell>
          <cell r="AA436">
            <v>-26395.179999999993</v>
          </cell>
          <cell r="AB436">
            <v>-33283.26999999996</v>
          </cell>
          <cell r="AC436">
            <v>4184.2200000000012</v>
          </cell>
          <cell r="AD436">
            <v>4029.7399999999907</v>
          </cell>
          <cell r="AE436">
            <v>3844.75</v>
          </cell>
          <cell r="AF436">
            <v>3750.8899999999994</v>
          </cell>
          <cell r="AG436">
            <v>4126.3699999999953</v>
          </cell>
          <cell r="AH436">
            <v>4376.1999999999825</v>
          </cell>
          <cell r="AI436">
            <v>4220.7799999999988</v>
          </cell>
          <cell r="AJ436">
            <v>4502.6599999999744</v>
          </cell>
          <cell r="AK436">
            <v>5462.4899999999907</v>
          </cell>
          <cell r="AL436">
            <v>3851.5299999999988</v>
          </cell>
          <cell r="AM436">
            <v>3828.6600000000035</v>
          </cell>
          <cell r="AN436">
            <v>4652.0900000000111</v>
          </cell>
        </row>
        <row r="437">
          <cell r="Q437">
            <v>-15.120000000000005</v>
          </cell>
          <cell r="R437">
            <v>-98.520000000000095</v>
          </cell>
          <cell r="S437">
            <v>-309.26</v>
          </cell>
          <cell r="T437">
            <v>-515.55999999999995</v>
          </cell>
          <cell r="U437">
            <v>-720.84999999999945</v>
          </cell>
          <cell r="V437">
            <v>-1334.5500000000002</v>
          </cell>
          <cell r="W437">
            <v>-1769.0399999999991</v>
          </cell>
          <cell r="X437">
            <v>-2306.9800000000014</v>
          </cell>
          <cell r="Y437">
            <v>-2446.1499999999996</v>
          </cell>
          <cell r="Z437">
            <v>-1833.9199999999983</v>
          </cell>
          <cell r="AA437">
            <v>-1944.33</v>
          </cell>
          <cell r="AB437">
            <v>-2420.2099999999991</v>
          </cell>
          <cell r="AC437">
            <v>-2126.239999999998</v>
          </cell>
          <cell r="AD437">
            <v>-1934.0200000000004</v>
          </cell>
          <cell r="AE437">
            <v>-2156.7700000000004</v>
          </cell>
          <cell r="AF437">
            <v>-2239.5400000000009</v>
          </cell>
          <cell r="AG437">
            <v>-2384.0600000000013</v>
          </cell>
          <cell r="AH437">
            <v>-3589.9500000000007</v>
          </cell>
          <cell r="AI437">
            <v>-3619.6899999999951</v>
          </cell>
          <cell r="AJ437">
            <v>-3702.1699999999983</v>
          </cell>
          <cell r="AK437">
            <v>-3463.3000000000029</v>
          </cell>
          <cell r="AL437">
            <v>-2356.2199999999975</v>
          </cell>
          <cell r="AM437">
            <v>-2241.0199999999968</v>
          </cell>
          <cell r="AN437">
            <v>-2039.4599999999991</v>
          </cell>
        </row>
        <row r="439">
          <cell r="Q439">
            <v>-3.6199999999999974</v>
          </cell>
          <cell r="R439">
            <v>-139.03999999999996</v>
          </cell>
          <cell r="S439">
            <v>-329.15999999999985</v>
          </cell>
          <cell r="T439">
            <v>-509.73000000000047</v>
          </cell>
          <cell r="U439">
            <v>-780.57000000000062</v>
          </cell>
          <cell r="V439">
            <v>-1342.9899999999998</v>
          </cell>
          <cell r="W439">
            <v>-2306.1900000000023</v>
          </cell>
          <cell r="X439">
            <v>-3080.489999999998</v>
          </cell>
          <cell r="Y439">
            <v>-3427.7099999999991</v>
          </cell>
          <cell r="Z439">
            <v>-3507.8899999999994</v>
          </cell>
          <cell r="AA439">
            <v>-3799.9599999999991</v>
          </cell>
          <cell r="AB439">
            <v>-4648.1300000000047</v>
          </cell>
          <cell r="AC439">
            <v>-2158.9800000000032</v>
          </cell>
          <cell r="AD439">
            <v>-2065.2000000000044</v>
          </cell>
          <cell r="AE439">
            <v>-2305.9499999999971</v>
          </cell>
          <cell r="AF439">
            <v>-2169.6299999999974</v>
          </cell>
          <cell r="AG439">
            <v>-2406.0200000000041</v>
          </cell>
          <cell r="AH439">
            <v>-2692.2900000000009</v>
          </cell>
          <cell r="AI439">
            <v>-2661.8899999999994</v>
          </cell>
          <cell r="AJ439">
            <v>-2747.4799999999959</v>
          </cell>
          <cell r="AK439">
            <v>-2588.080000000009</v>
          </cell>
          <cell r="AL439">
            <v>-2301.4199999999983</v>
          </cell>
          <cell r="AM439">
            <v>-2234.5</v>
          </cell>
          <cell r="AN439">
            <v>-2144.0300000000061</v>
          </cell>
        </row>
        <row r="440">
          <cell r="Q440">
            <v>0</v>
          </cell>
          <cell r="R440">
            <v>-0.6599999999999997</v>
          </cell>
          <cell r="S440">
            <v>-1.4800000000000004</v>
          </cell>
          <cell r="T440">
            <v>-8.9399999999999977</v>
          </cell>
          <cell r="U440">
            <v>-64.460000000000036</v>
          </cell>
          <cell r="V440">
            <v>-139.69000000000005</v>
          </cell>
          <cell r="W440">
            <v>-156.40000000000009</v>
          </cell>
          <cell r="X440">
            <v>-191.63999999999987</v>
          </cell>
          <cell r="Y440">
            <v>-213.69000000000005</v>
          </cell>
          <cell r="Z440">
            <v>-190.38999999999987</v>
          </cell>
          <cell r="AA440">
            <v>-198.24999999999977</v>
          </cell>
          <cell r="AB440">
            <v>-459.0600000000004</v>
          </cell>
          <cell r="AC440">
            <v>-362.24999999999909</v>
          </cell>
          <cell r="AD440">
            <v>-322.57999999999902</v>
          </cell>
          <cell r="AE440">
            <v>-359.64999999999964</v>
          </cell>
          <cell r="AF440">
            <v>-321.63000000000011</v>
          </cell>
          <cell r="AG440">
            <v>-354.65000000000055</v>
          </cell>
          <cell r="AH440">
            <v>-402.84999999999945</v>
          </cell>
          <cell r="AI440">
            <v>-409.61000000000058</v>
          </cell>
          <cell r="AJ440">
            <v>-417.38000000000011</v>
          </cell>
          <cell r="AK440">
            <v>-397.27999999999884</v>
          </cell>
          <cell r="AL440">
            <v>-336.59000000000015</v>
          </cell>
          <cell r="AM440">
            <v>-320.32999999999993</v>
          </cell>
          <cell r="AN440">
            <v>-344.88000000000011</v>
          </cell>
        </row>
      </sheetData>
      <sheetData sheetId="6">
        <row r="55">
          <cell r="O55">
            <v>-4.3899999999999997</v>
          </cell>
          <cell r="P55">
            <v>-14.16</v>
          </cell>
          <cell r="Q55">
            <v>-13.34</v>
          </cell>
          <cell r="R55">
            <v>-27.74</v>
          </cell>
          <cell r="S55">
            <v>-46.27</v>
          </cell>
          <cell r="T55">
            <v>-73.83</v>
          </cell>
          <cell r="U55">
            <v>-121.78</v>
          </cell>
          <cell r="V55">
            <v>-192.53</v>
          </cell>
          <cell r="W55">
            <v>-273.61</v>
          </cell>
          <cell r="X55">
            <v>-369.74</v>
          </cell>
          <cell r="Y55">
            <v>-473.02</v>
          </cell>
          <cell r="Z55">
            <v>-589.34</v>
          </cell>
          <cell r="AA55">
            <v>-876.02</v>
          </cell>
          <cell r="AB55">
            <v>-887.48</v>
          </cell>
          <cell r="AC55">
            <v>-927.54</v>
          </cell>
          <cell r="AD55">
            <v>-148.76</v>
          </cell>
          <cell r="AE55">
            <v>-176.92</v>
          </cell>
          <cell r="AF55">
            <v>-213.4</v>
          </cell>
          <cell r="AG55">
            <v>-291.57</v>
          </cell>
          <cell r="AH55">
            <v>-362.76</v>
          </cell>
          <cell r="AI55">
            <v>-433.39</v>
          </cell>
          <cell r="AJ55">
            <v>-501.69</v>
          </cell>
          <cell r="AK55">
            <v>-574.44000000000005</v>
          </cell>
          <cell r="AL55">
            <v>-664.26</v>
          </cell>
        </row>
        <row r="56">
          <cell r="O56">
            <v>-0.02</v>
          </cell>
          <cell r="P56">
            <v>-0.13</v>
          </cell>
          <cell r="Q56">
            <v>-0.22</v>
          </cell>
          <cell r="R56">
            <v>-0.66</v>
          </cell>
          <cell r="S56">
            <v>-1.32</v>
          </cell>
          <cell r="T56">
            <v>-2.35</v>
          </cell>
          <cell r="U56">
            <v>-3.99</v>
          </cell>
          <cell r="V56">
            <v>-6.41</v>
          </cell>
          <cell r="W56">
            <v>-9.6199999999999992</v>
          </cell>
          <cell r="X56">
            <v>-13.74</v>
          </cell>
          <cell r="Y56">
            <v>-18.32</v>
          </cell>
          <cell r="Z56">
            <v>-23.77</v>
          </cell>
          <cell r="AA56">
            <v>-38.57</v>
          </cell>
          <cell r="AB56">
            <v>-43.95</v>
          </cell>
          <cell r="AC56">
            <v>-50.99</v>
          </cell>
          <cell r="AD56">
            <v>-9.01</v>
          </cell>
          <cell r="AE56">
            <v>-11.77</v>
          </cell>
          <cell r="AF56">
            <v>-15.73</v>
          </cell>
          <cell r="AG56">
            <v>-23.37</v>
          </cell>
          <cell r="AH56">
            <v>-30.82</v>
          </cell>
          <cell r="AI56">
            <v>-39.56</v>
          </cell>
          <cell r="AJ56">
            <v>-48.98</v>
          </cell>
          <cell r="AK56">
            <v>-59.01</v>
          </cell>
          <cell r="AL56">
            <v>-71.38</v>
          </cell>
        </row>
        <row r="58">
          <cell r="O58">
            <v>-0.01</v>
          </cell>
          <cell r="P58">
            <v>-0.18</v>
          </cell>
          <cell r="Q58">
            <v>-0.31</v>
          </cell>
          <cell r="R58">
            <v>-0.84</v>
          </cell>
          <cell r="S58">
            <v>-1.65</v>
          </cell>
          <cell r="T58">
            <v>-2.89</v>
          </cell>
          <cell r="U58">
            <v>-5.26</v>
          </cell>
          <cell r="V58">
            <v>-9.2100000000000009</v>
          </cell>
          <cell r="W58">
            <v>-14.33</v>
          </cell>
          <cell r="X58">
            <v>-21.46</v>
          </cell>
          <cell r="Y58">
            <v>-30.48</v>
          </cell>
          <cell r="Z58">
            <v>-41.58</v>
          </cell>
          <cell r="AA58">
            <v>-67.45</v>
          </cell>
          <cell r="AB58">
            <v>-74.510000000000005</v>
          </cell>
          <cell r="AC58">
            <v>-84.45</v>
          </cell>
          <cell r="AD58">
            <v>-14.57</v>
          </cell>
          <cell r="AE58">
            <v>-18.579999999999998</v>
          </cell>
          <cell r="AF58">
            <v>-23.95</v>
          </cell>
          <cell r="AG58">
            <v>-34.47</v>
          </cell>
          <cell r="AH58">
            <v>-44.79</v>
          </cell>
          <cell r="AI58">
            <v>-56.09</v>
          </cell>
          <cell r="AJ58">
            <v>-68.11</v>
          </cell>
          <cell r="AK58">
            <v>-81.510000000000005</v>
          </cell>
          <cell r="AL58">
            <v>-98.19</v>
          </cell>
        </row>
        <row r="59">
          <cell r="O59">
            <v>0</v>
          </cell>
          <cell r="P59">
            <v>0</v>
          </cell>
          <cell r="Q59">
            <v>0</v>
          </cell>
          <cell r="R59">
            <v>-0.01</v>
          </cell>
          <cell r="S59">
            <v>-7.0000000000000007E-2</v>
          </cell>
          <cell r="T59">
            <v>-0.23</v>
          </cell>
          <cell r="U59">
            <v>-0.48</v>
          </cell>
          <cell r="V59">
            <v>-0.85</v>
          </cell>
          <cell r="W59">
            <v>-1.32</v>
          </cell>
          <cell r="X59">
            <v>-1.92</v>
          </cell>
          <cell r="Y59">
            <v>-2.62</v>
          </cell>
          <cell r="Z59">
            <v>-3.62</v>
          </cell>
          <cell r="AA59">
            <v>-6.28</v>
          </cell>
          <cell r="AB59">
            <v>-7.41</v>
          </cell>
          <cell r="AC59">
            <v>-8.83</v>
          </cell>
          <cell r="AD59">
            <v>-1.58</v>
          </cell>
          <cell r="AE59">
            <v>-2.08</v>
          </cell>
          <cell r="AF59">
            <v>-2.78</v>
          </cell>
          <cell r="AG59">
            <v>-4.16</v>
          </cell>
          <cell r="AH59">
            <v>-5.58</v>
          </cell>
          <cell r="AI59">
            <v>-7.17</v>
          </cell>
          <cell r="AJ59">
            <v>-8.85</v>
          </cell>
          <cell r="AK59">
            <v>-10.69</v>
          </cell>
          <cell r="AL59">
            <v>-13</v>
          </cell>
        </row>
      </sheetData>
      <sheetData sheetId="7"/>
      <sheetData sheetId="8"/>
      <sheetData sheetId="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 Matrix @Meter"/>
      <sheetName val="PY3 Final EM&amp;V"/>
      <sheetName val="Tariff Table"/>
      <sheetName val="EMV Results"/>
    </sheetNames>
    <sheetDataSet>
      <sheetData sheetId="0">
        <row r="22">
          <cell r="AL22">
            <v>1831459.6889999998</v>
          </cell>
          <cell r="AP22">
            <v>286244.42</v>
          </cell>
          <cell r="AR22">
            <v>619125.67000000016</v>
          </cell>
          <cell r="AS22">
            <v>500775.76</v>
          </cell>
        </row>
      </sheetData>
      <sheetData sheetId="1"/>
      <sheetData sheetId="2"/>
      <sheetData sheetId="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put"/>
      <sheetName val="Program Descriptions"/>
      <sheetName val="Deemed TD Calc"/>
      <sheetName val="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2">
          <cell r="AC572">
            <v>6551.8400000000256</v>
          </cell>
          <cell r="AD572">
            <v>6912.9499999999971</v>
          </cell>
          <cell r="AE572">
            <v>6056.6900000000169</v>
          </cell>
          <cell r="AF572">
            <v>5185.1299999999901</v>
          </cell>
          <cell r="AG572">
            <v>3728.2700000000041</v>
          </cell>
          <cell r="AH572">
            <v>5965.6700000000128</v>
          </cell>
          <cell r="AI572">
            <v>1176.4599999999919</v>
          </cell>
          <cell r="AJ572">
            <v>-9860.6799999999785</v>
          </cell>
          <cell r="AK572">
            <v>-7991.4799999999814</v>
          </cell>
          <cell r="AL572">
            <v>-5297.2599999999948</v>
          </cell>
          <cell r="AM572">
            <v>-5652.8099999999977</v>
          </cell>
          <cell r="AN572">
            <v>-7768.2599999999948</v>
          </cell>
          <cell r="AO572">
            <v>-5769.6100000000079</v>
          </cell>
          <cell r="AP572">
            <v>-5332.1300000000047</v>
          </cell>
          <cell r="AQ572">
            <v>-5912.8999999999942</v>
          </cell>
          <cell r="AR572">
            <v>-5970.0600000000049</v>
          </cell>
          <cell r="AS572">
            <v>-6454.1199999999953</v>
          </cell>
          <cell r="AT572">
            <v>-11797.079999999987</v>
          </cell>
          <cell r="AU572">
            <v>-14635.339999999938</v>
          </cell>
          <cell r="AV572">
            <v>-13961.589999999997</v>
          </cell>
          <cell r="AW572">
            <v>-10997.330000000002</v>
          </cell>
          <cell r="AX572">
            <v>-6093.0699999999924</v>
          </cell>
          <cell r="AY572">
            <v>-6189.9500000000116</v>
          </cell>
          <cell r="AZ572">
            <v>-6282.9700000000157</v>
          </cell>
          <cell r="BA572">
            <v>-5564.4800000000178</v>
          </cell>
          <cell r="BB572">
            <v>-5246.93</v>
          </cell>
          <cell r="BC572">
            <v>-5826.8700000000099</v>
          </cell>
          <cell r="BD572">
            <v>-5883.0399999999936</v>
          </cell>
          <cell r="BE572">
            <v>-6363.2200000000084</v>
          </cell>
          <cell r="BF572">
            <v>-11682.89</v>
          </cell>
          <cell r="BG572">
            <v>-14519.619999999995</v>
          </cell>
          <cell r="BH572">
            <v>-13841.640000000014</v>
          </cell>
          <cell r="BI572">
            <v>-10862.560000000012</v>
          </cell>
          <cell r="BJ572">
            <v>-6006.5300000000061</v>
          </cell>
          <cell r="BK572">
            <v>-6101.9200000000055</v>
          </cell>
          <cell r="BL572">
            <v>-6180.1100000000006</v>
          </cell>
          <cell r="BM572">
            <v>0</v>
          </cell>
          <cell r="BN572">
            <v>0</v>
          </cell>
          <cell r="BO572">
            <v>0</v>
          </cell>
          <cell r="BP572">
            <v>0</v>
          </cell>
        </row>
        <row r="573">
          <cell r="AC573">
            <v>4.3700000000000045</v>
          </cell>
          <cell r="AD573">
            <v>-3.410000000000025</v>
          </cell>
          <cell r="AE573">
            <v>-55.590000000000032</v>
          </cell>
          <cell r="AF573">
            <v>-164.78999999999974</v>
          </cell>
          <cell r="AG573">
            <v>-313.63999999999987</v>
          </cell>
          <cell r="AH573">
            <v>-614.38000000000011</v>
          </cell>
          <cell r="AI573">
            <v>-1072.6800000000003</v>
          </cell>
          <cell r="AJ573">
            <v>-1272.58</v>
          </cell>
          <cell r="AK573">
            <v>-1062.159999999998</v>
          </cell>
          <cell r="AL573">
            <v>-914.53999999999905</v>
          </cell>
          <cell r="AM573">
            <v>-1057.58</v>
          </cell>
          <cell r="AN573">
            <v>-2070.0699999999997</v>
          </cell>
          <cell r="AO573">
            <v>-2215.4900000000052</v>
          </cell>
          <cell r="AP573">
            <v>-1903.8700000000026</v>
          </cell>
          <cell r="AQ573">
            <v>-2173.5999999999949</v>
          </cell>
          <cell r="AR573">
            <v>-2209.3600000000006</v>
          </cell>
          <cell r="AS573">
            <v>-2377.9399999999987</v>
          </cell>
          <cell r="AT573">
            <v>-3455.8600000000006</v>
          </cell>
          <cell r="AU573">
            <v>-5528.2500000000036</v>
          </cell>
          <cell r="AV573">
            <v>-5303.6399999999921</v>
          </cell>
          <cell r="AW573">
            <v>-3249.16</v>
          </cell>
          <cell r="AX573">
            <v>-2354.5200000000004</v>
          </cell>
          <cell r="AY573">
            <v>-2200.4599999999991</v>
          </cell>
          <cell r="AZ573">
            <v>-2162.7599999999984</v>
          </cell>
          <cell r="BA573">
            <v>-2550.5599999999977</v>
          </cell>
          <cell r="BB573">
            <v>-2253.3700000000026</v>
          </cell>
          <cell r="BC573">
            <v>-2574.3599999999969</v>
          </cell>
          <cell r="BD573">
            <v>-2616.6100000000006</v>
          </cell>
          <cell r="BE573">
            <v>-2816.1499999999978</v>
          </cell>
          <cell r="BF573">
            <v>-4101.1500000000015</v>
          </cell>
          <cell r="BG573">
            <v>-6172.9000000000015</v>
          </cell>
          <cell r="BH573">
            <v>-5956.6699999999983</v>
          </cell>
          <cell r="BI573">
            <v>-3857.1099999999933</v>
          </cell>
          <cell r="BJ573">
            <v>-2788.5800000000017</v>
          </cell>
          <cell r="BK573">
            <v>-2607.0600000000013</v>
          </cell>
          <cell r="BL573">
            <v>-2560.4400000000023</v>
          </cell>
          <cell r="BM573">
            <v>0</v>
          </cell>
          <cell r="BN573">
            <v>0</v>
          </cell>
          <cell r="BO573">
            <v>0</v>
          </cell>
          <cell r="BP573">
            <v>0</v>
          </cell>
        </row>
        <row r="575">
          <cell r="AC575">
            <v>13.469999999999999</v>
          </cell>
          <cell r="AD575">
            <v>15.439999999999998</v>
          </cell>
          <cell r="AE575">
            <v>-39.599999999999909</v>
          </cell>
          <cell r="AF575">
            <v>-106.27999999999997</v>
          </cell>
          <cell r="AG575">
            <v>-150.38000000000011</v>
          </cell>
          <cell r="AH575">
            <v>-198.96000000000049</v>
          </cell>
          <cell r="AI575">
            <v>-254.47999999999911</v>
          </cell>
          <cell r="AJ575">
            <v>-355.24000000000069</v>
          </cell>
          <cell r="AK575">
            <v>-478.18999999999869</v>
          </cell>
          <cell r="AL575">
            <v>-604.14999999999782</v>
          </cell>
          <cell r="AM575">
            <v>-629.29000000000087</v>
          </cell>
          <cell r="AN575">
            <v>-1070.2099999999991</v>
          </cell>
          <cell r="AO575">
            <v>-906.93999999999869</v>
          </cell>
          <cell r="AP575">
            <v>-748.87000000000262</v>
          </cell>
          <cell r="AQ575">
            <v>-878.47999999999956</v>
          </cell>
          <cell r="AR575">
            <v>-886.39999999999782</v>
          </cell>
          <cell r="AS575">
            <v>-999.65999999999622</v>
          </cell>
          <cell r="AT575">
            <v>-1038.6200000000026</v>
          </cell>
          <cell r="AU575">
            <v>-972.76000000000568</v>
          </cell>
          <cell r="AV575">
            <v>-980.34999999999854</v>
          </cell>
          <cell r="AW575">
            <v>-905.97000000000116</v>
          </cell>
          <cell r="AX575">
            <v>-868.13999999999578</v>
          </cell>
          <cell r="AY575">
            <v>-870.45999999999913</v>
          </cell>
          <cell r="AZ575">
            <v>-818.42999999999665</v>
          </cell>
          <cell r="BA575">
            <v>-981.28999999999724</v>
          </cell>
          <cell r="BB575">
            <v>-903</v>
          </cell>
          <cell r="BC575">
            <v>-1060.7900000000045</v>
          </cell>
          <cell r="BD575">
            <v>-1070.4400000000023</v>
          </cell>
          <cell r="BE575">
            <v>-1206.3500000000022</v>
          </cell>
          <cell r="BF575">
            <v>-1267.8599999999933</v>
          </cell>
          <cell r="BG575">
            <v>-1190.7000000000116</v>
          </cell>
          <cell r="BH575">
            <v>-1199.6699999999983</v>
          </cell>
          <cell r="BI575">
            <v>-1109.2200000000048</v>
          </cell>
          <cell r="BJ575">
            <v>-1049.5499999999956</v>
          </cell>
          <cell r="BK575">
            <v>-1052.4499999999971</v>
          </cell>
          <cell r="BL575">
            <v>-988.07999999999811</v>
          </cell>
          <cell r="BM575">
            <v>0</v>
          </cell>
          <cell r="BN575">
            <v>0</v>
          </cell>
          <cell r="BO575">
            <v>0</v>
          </cell>
          <cell r="BP575">
            <v>0</v>
          </cell>
        </row>
        <row r="576">
          <cell r="AC576">
            <v>-1.1100000000000136</v>
          </cell>
          <cell r="AD576">
            <v>-0.23000000000001819</v>
          </cell>
          <cell r="AE576">
            <v>-1.9500000000000455</v>
          </cell>
          <cell r="AF576">
            <v>-0.91999999999995907</v>
          </cell>
          <cell r="AG576">
            <v>5.010000000000673</v>
          </cell>
          <cell r="AH576">
            <v>27.850000000000364</v>
          </cell>
          <cell r="AI576">
            <v>23.739999999999782</v>
          </cell>
          <cell r="AJ576">
            <v>41.479999999999563</v>
          </cell>
          <cell r="AK576">
            <v>49.009999999999309</v>
          </cell>
          <cell r="AL576">
            <v>-4.9700000000002547</v>
          </cell>
          <cell r="AM576">
            <v>6.9899999999997817</v>
          </cell>
          <cell r="AN576">
            <v>-237.47000000000116</v>
          </cell>
          <cell r="AO576">
            <v>-187.56999999999994</v>
          </cell>
          <cell r="AP576">
            <v>-88.1099999999999</v>
          </cell>
          <cell r="AQ576">
            <v>-83.019999999999982</v>
          </cell>
          <cell r="AR576">
            <v>-77.180000000000064</v>
          </cell>
          <cell r="AS576">
            <v>-95.2199999999998</v>
          </cell>
          <cell r="AT576">
            <v>-152.86999999999989</v>
          </cell>
          <cell r="AU576">
            <v>-145.6899999999996</v>
          </cell>
          <cell r="AV576">
            <v>-152.74999999999955</v>
          </cell>
          <cell r="AW576">
            <v>-146.66000000000031</v>
          </cell>
          <cell r="AX576">
            <v>-77.529999999999745</v>
          </cell>
          <cell r="AY576">
            <v>-78.879999999999882</v>
          </cell>
          <cell r="AZ576">
            <v>-93.8900000000001</v>
          </cell>
          <cell r="BA576">
            <v>-121.15999999999985</v>
          </cell>
          <cell r="BB576">
            <v>-110.2800000000002</v>
          </cell>
          <cell r="BC576">
            <v>-106.41999999999985</v>
          </cell>
          <cell r="BD576">
            <v>-99.630000000000109</v>
          </cell>
          <cell r="BE576">
            <v>-121.46000000000004</v>
          </cell>
          <cell r="BF576">
            <v>-199.54000000000042</v>
          </cell>
          <cell r="BG576">
            <v>-192.03999999999951</v>
          </cell>
          <cell r="BH576">
            <v>-200.30999999999995</v>
          </cell>
          <cell r="BI576">
            <v>-191.93000000000029</v>
          </cell>
          <cell r="BJ576">
            <v>-100.6400000000001</v>
          </cell>
          <cell r="BK576">
            <v>-102.29000000000019</v>
          </cell>
          <cell r="BL576">
            <v>-118.44000000000005</v>
          </cell>
          <cell r="BM576">
            <v>0</v>
          </cell>
          <cell r="BN576">
            <v>0</v>
          </cell>
          <cell r="BO576">
            <v>0</v>
          </cell>
          <cell r="BP576">
            <v>0</v>
          </cell>
        </row>
      </sheetData>
      <sheetData sheetId="5">
        <row r="437">
          <cell r="AC437">
            <v>40.349999999976717</v>
          </cell>
          <cell r="AD437">
            <v>191.60000000000582</v>
          </cell>
          <cell r="AE437">
            <v>275.30999999999767</v>
          </cell>
          <cell r="AF437">
            <v>309.49000000000524</v>
          </cell>
          <cell r="AG437">
            <v>414.01999999998952</v>
          </cell>
          <cell r="AH437">
            <v>254.6699999999837</v>
          </cell>
          <cell r="AI437">
            <v>12.889999999984866</v>
          </cell>
          <cell r="AJ437">
            <v>0.41999999999825377</v>
          </cell>
          <cell r="AK437">
            <v>582.20999999999185</v>
          </cell>
          <cell r="AL437">
            <v>658.2899999999936</v>
          </cell>
          <cell r="AM437">
            <v>761.27000000000407</v>
          </cell>
          <cell r="AN437">
            <v>1238.6100000000006</v>
          </cell>
          <cell r="AO437">
            <v>-1847.2400000000052</v>
          </cell>
          <cell r="AP437">
            <v>-1669.4199999999983</v>
          </cell>
          <cell r="AQ437">
            <v>-1752.6300000000047</v>
          </cell>
          <cell r="AR437">
            <v>-1764.6800000000003</v>
          </cell>
          <cell r="AS437">
            <v>-1880.3200000000143</v>
          </cell>
          <cell r="AT437">
            <v>-2805.7800000000134</v>
          </cell>
          <cell r="AU437">
            <v>-3039.7400000000198</v>
          </cell>
          <cell r="AV437">
            <v>-3017.9100000000035</v>
          </cell>
          <cell r="AW437">
            <v>-2939.6300000000047</v>
          </cell>
          <cell r="AX437">
            <v>-1777.1100000000079</v>
          </cell>
          <cell r="AY437">
            <v>-1799.3099999999977</v>
          </cell>
          <cell r="AZ437">
            <v>-2015.7399999999907</v>
          </cell>
          <cell r="BA437">
            <v>0</v>
          </cell>
          <cell r="BB437">
            <v>0</v>
          </cell>
          <cell r="BC437">
            <v>0</v>
          </cell>
          <cell r="BD437">
            <v>9.9999999947613105E-3</v>
          </cell>
          <cell r="BE437">
            <v>0</v>
          </cell>
          <cell r="BF437">
            <v>-1.0000000009313226E-2</v>
          </cell>
          <cell r="BG437">
            <v>0</v>
          </cell>
          <cell r="BH437">
            <v>1.0000000009313226E-2</v>
          </cell>
          <cell r="BI437">
            <v>0</v>
          </cell>
          <cell r="BJ437">
            <v>0</v>
          </cell>
        </row>
        <row r="438">
          <cell r="AC438">
            <v>-2.0300000000000011</v>
          </cell>
          <cell r="AD438">
            <v>-6.2599999999999909</v>
          </cell>
          <cell r="AE438">
            <v>-18.169999999999959</v>
          </cell>
          <cell r="AF438">
            <v>-41.3599999999999</v>
          </cell>
          <cell r="AG438">
            <v>-74.629999999999654</v>
          </cell>
          <cell r="AH438">
            <v>-138.0600000000004</v>
          </cell>
          <cell r="AI438">
            <v>-154.75</v>
          </cell>
          <cell r="AJ438">
            <v>-200.4900000000016</v>
          </cell>
          <cell r="AK438">
            <v>-228.19000000000233</v>
          </cell>
          <cell r="AL438">
            <v>-187.76000000000022</v>
          </cell>
          <cell r="AM438">
            <v>-222.46000000000095</v>
          </cell>
          <cell r="AN438">
            <v>-431.15999999999985</v>
          </cell>
          <cell r="AO438">
            <v>2920.8100000000013</v>
          </cell>
          <cell r="AP438">
            <v>2512.1999999999971</v>
          </cell>
          <cell r="AQ438">
            <v>2880.619999999999</v>
          </cell>
          <cell r="AR438">
            <v>2927.4000000000015</v>
          </cell>
          <cell r="AS438">
            <v>3149.8500000000022</v>
          </cell>
          <cell r="AT438">
            <v>4638.4500000000044</v>
          </cell>
          <cell r="AU438">
            <v>4633.7700000000077</v>
          </cell>
          <cell r="AV438">
            <v>4694.0199999999968</v>
          </cell>
          <cell r="AW438">
            <v>4370.0300000000025</v>
          </cell>
          <cell r="AX438">
            <v>3120.09</v>
          </cell>
          <cell r="AY438">
            <v>2922.75</v>
          </cell>
          <cell r="AZ438">
            <v>2858.5499999999993</v>
          </cell>
          <cell r="BA438">
            <v>0</v>
          </cell>
          <cell r="BB438">
            <v>-1.0000000002037268E-2</v>
          </cell>
          <cell r="BC438">
            <v>0</v>
          </cell>
          <cell r="BD438">
            <v>0</v>
          </cell>
          <cell r="BE438">
            <v>-9.9999999983992893E-3</v>
          </cell>
          <cell r="BF438">
            <v>0</v>
          </cell>
          <cell r="BG438">
            <v>1.0000000002037268E-2</v>
          </cell>
          <cell r="BH438">
            <v>0</v>
          </cell>
          <cell r="BI438">
            <v>0</v>
          </cell>
          <cell r="BJ438">
            <v>-2.0000000000436557E-2</v>
          </cell>
        </row>
        <row r="440">
          <cell r="AC440">
            <v>0</v>
          </cell>
          <cell r="AD440">
            <v>-2.3599999999999852</v>
          </cell>
          <cell r="AE440">
            <v>-15.409999999999968</v>
          </cell>
          <cell r="AF440">
            <v>-30.590000000000146</v>
          </cell>
          <cell r="AG440">
            <v>-42.990000000000236</v>
          </cell>
          <cell r="AH440">
            <v>-63.339999999999236</v>
          </cell>
          <cell r="AI440">
            <v>-76.780000000000655</v>
          </cell>
          <cell r="AJ440">
            <v>-47.739999999999782</v>
          </cell>
          <cell r="AK440">
            <v>24.350000000000364</v>
          </cell>
          <cell r="AL440">
            <v>81.910000000003492</v>
          </cell>
          <cell r="AM440">
            <v>203.97000000000116</v>
          </cell>
          <cell r="AN440">
            <v>200.97999999999593</v>
          </cell>
          <cell r="AO440">
            <v>1335.9799999999959</v>
          </cell>
          <cell r="AP440">
            <v>1107.9500000000007</v>
          </cell>
          <cell r="AQ440">
            <v>1310.4499999999971</v>
          </cell>
          <cell r="AR440">
            <v>1322.9399999999987</v>
          </cell>
          <cell r="AS440">
            <v>1485.6399999999994</v>
          </cell>
          <cell r="AT440">
            <v>1647.6600000000035</v>
          </cell>
          <cell r="AU440">
            <v>1566.5299999999952</v>
          </cell>
          <cell r="AV440">
            <v>1576.4700000000012</v>
          </cell>
          <cell r="AW440">
            <v>1460.9900000000016</v>
          </cell>
          <cell r="AX440">
            <v>1304.0599999999977</v>
          </cell>
          <cell r="AY440">
            <v>1308.1799999999967</v>
          </cell>
          <cell r="AZ440">
            <v>1219.4799999999996</v>
          </cell>
          <cell r="BA440">
            <v>-1.0000000002037268E-2</v>
          </cell>
          <cell r="BB440">
            <v>9.9999999983992893E-3</v>
          </cell>
          <cell r="BC440">
            <v>0</v>
          </cell>
          <cell r="BD440">
            <v>-9.9999999983992893E-3</v>
          </cell>
          <cell r="BE440">
            <v>0</v>
          </cell>
          <cell r="BF440">
            <v>0</v>
          </cell>
          <cell r="BG440">
            <v>0</v>
          </cell>
          <cell r="BH440">
            <v>0</v>
          </cell>
          <cell r="BI440">
            <v>-9.9999999983992893E-3</v>
          </cell>
          <cell r="BJ440">
            <v>0</v>
          </cell>
        </row>
        <row r="441">
          <cell r="AC441">
            <v>-2.3100000000000023</v>
          </cell>
          <cell r="AD441">
            <v>-25.129999999999995</v>
          </cell>
          <cell r="AE441">
            <v>-52.590000000000032</v>
          </cell>
          <cell r="AF441">
            <v>-48.909999999999854</v>
          </cell>
          <cell r="AG441">
            <v>-9.5199999999999818</v>
          </cell>
          <cell r="AH441">
            <v>37.260000000000218</v>
          </cell>
          <cell r="AI441">
            <v>34.900000000000546</v>
          </cell>
          <cell r="AJ441">
            <v>35.260000000000218</v>
          </cell>
          <cell r="AK441">
            <v>33.880000000000109</v>
          </cell>
          <cell r="AL441">
            <v>27.329999999999927</v>
          </cell>
          <cell r="AM441">
            <v>24.530000000000655</v>
          </cell>
          <cell r="AN441">
            <v>-24.399999999998727</v>
          </cell>
          <cell r="AO441">
            <v>292.63999999999965</v>
          </cell>
          <cell r="AP441">
            <v>159.39999999999986</v>
          </cell>
          <cell r="AQ441">
            <v>168.27000000000021</v>
          </cell>
          <cell r="AR441">
            <v>161.3599999999999</v>
          </cell>
          <cell r="AS441">
            <v>188.62999999999988</v>
          </cell>
          <cell r="AT441">
            <v>335.44999999999982</v>
          </cell>
          <cell r="AU441">
            <v>333.17000000000007</v>
          </cell>
          <cell r="AV441">
            <v>341.91999999999962</v>
          </cell>
          <cell r="AW441">
            <v>325.44000000000005</v>
          </cell>
          <cell r="AX441">
            <v>166.11999999999966</v>
          </cell>
          <cell r="AY441">
            <v>168.27999999999997</v>
          </cell>
          <cell r="AZ441">
            <v>176.41000000000008</v>
          </cell>
          <cell r="BA441">
            <v>-1.999999999998181E-2</v>
          </cell>
          <cell r="BB441">
            <v>0</v>
          </cell>
          <cell r="BC441">
            <v>0</v>
          </cell>
          <cell r="BD441">
            <v>0</v>
          </cell>
          <cell r="BE441">
            <v>9.9999999999909051E-3</v>
          </cell>
          <cell r="BF441">
            <v>0</v>
          </cell>
          <cell r="BG441">
            <v>1.0000000000218279E-2</v>
          </cell>
          <cell r="BH441">
            <v>0</v>
          </cell>
          <cell r="BI441">
            <v>0</v>
          </cell>
          <cell r="BJ441">
            <v>-1.0000000000218279E-2</v>
          </cell>
        </row>
      </sheetData>
      <sheetData sheetId="6">
        <row r="55">
          <cell r="AA55">
            <v>8.9</v>
          </cell>
          <cell r="AB55">
            <v>27.62</v>
          </cell>
          <cell r="AC55">
            <v>47.75</v>
          </cell>
          <cell r="AD55">
            <v>10.19</v>
          </cell>
          <cell r="AE55">
            <v>14.59</v>
          </cell>
          <cell r="AF55">
            <v>20.61</v>
          </cell>
          <cell r="AG55">
            <v>30.53</v>
          </cell>
          <cell r="AH55">
            <v>32.479999999999997</v>
          </cell>
          <cell r="AI55">
            <v>27.84</v>
          </cell>
          <cell r="AJ55">
            <v>23.86</v>
          </cell>
          <cell r="AK55">
            <v>19.86</v>
          </cell>
          <cell r="AL55">
            <v>12.77</v>
          </cell>
          <cell r="AM55">
            <v>0.65</v>
          </cell>
          <cell r="AN55">
            <v>-29.69</v>
          </cell>
          <cell r="AO55">
            <v>-60.87</v>
          </cell>
          <cell r="AP55">
            <v>-95.66</v>
          </cell>
          <cell r="AQ55">
            <v>-132.27000000000001</v>
          </cell>
          <cell r="AR55">
            <v>-184.8</v>
          </cell>
          <cell r="AS55">
            <v>-258.89</v>
          </cell>
          <cell r="AT55">
            <v>-340.17</v>
          </cell>
          <cell r="AU55">
            <v>-413.66</v>
          </cell>
          <cell r="AV55">
            <v>-473.21</v>
          </cell>
          <cell r="AW55">
            <v>-512.52</v>
          </cell>
          <cell r="AX55">
            <v>-553.02</v>
          </cell>
          <cell r="AY55">
            <v>-609.05999999999995</v>
          </cell>
          <cell r="AZ55">
            <v>-631.42999999999995</v>
          </cell>
          <cell r="BA55">
            <v>-641.91</v>
          </cell>
          <cell r="BB55">
            <v>-682.98</v>
          </cell>
          <cell r="BC55">
            <v>-710.59</v>
          </cell>
          <cell r="BD55">
            <v>-729.12</v>
          </cell>
          <cell r="BE55">
            <v>-756.48</v>
          </cell>
          <cell r="BF55">
            <v>-816.07</v>
          </cell>
          <cell r="BG55">
            <v>-867.66</v>
          </cell>
          <cell r="BH55">
            <v>-923.18</v>
          </cell>
          <cell r="BI55">
            <v>-948.11</v>
          </cell>
          <cell r="BJ55">
            <v>-972.51</v>
          </cell>
          <cell r="BK55">
            <v>0</v>
          </cell>
          <cell r="BL55">
            <v>0</v>
          </cell>
          <cell r="BM55">
            <v>0</v>
          </cell>
          <cell r="BN55">
            <v>0</v>
          </cell>
        </row>
        <row r="56">
          <cell r="AA56">
            <v>0</v>
          </cell>
          <cell r="AB56">
            <v>-0.01</v>
          </cell>
          <cell r="AC56">
            <v>-0.13</v>
          </cell>
          <cell r="AD56">
            <v>-0.08</v>
          </cell>
          <cell r="AE56">
            <v>-0.25</v>
          </cell>
          <cell r="AF56">
            <v>-0.66</v>
          </cell>
          <cell r="AG56">
            <v>-1.7</v>
          </cell>
          <cell r="AH56">
            <v>-3.42</v>
          </cell>
          <cell r="AI56">
            <v>-5.63</v>
          </cell>
          <cell r="AJ56">
            <v>-8.06</v>
          </cell>
          <cell r="AK56">
            <v>-11.01</v>
          </cell>
          <cell r="AL56">
            <v>-16.010000000000002</v>
          </cell>
          <cell r="AM56">
            <v>-41.12</v>
          </cell>
          <cell r="AN56">
            <v>-38.630000000000003</v>
          </cell>
          <cell r="AO56">
            <v>-36.340000000000003</v>
          </cell>
          <cell r="AP56">
            <v>-34.81</v>
          </cell>
          <cell r="AQ56">
            <v>-32.090000000000003</v>
          </cell>
          <cell r="AR56">
            <v>-28.19</v>
          </cell>
          <cell r="AS56">
            <v>-27.83</v>
          </cell>
          <cell r="AT56">
            <v>-31.54</v>
          </cell>
          <cell r="AU56">
            <v>-30.65</v>
          </cell>
          <cell r="AV56">
            <v>-27.38</v>
          </cell>
          <cell r="AW56">
            <v>-24.09</v>
          </cell>
          <cell r="AX56">
            <v>-20.93</v>
          </cell>
          <cell r="AY56">
            <v>-26.26</v>
          </cell>
          <cell r="AZ56">
            <v>-37.65</v>
          </cell>
          <cell r="BA56">
            <v>-48.04</v>
          </cell>
          <cell r="BB56">
            <v>-60.86</v>
          </cell>
          <cell r="BC56">
            <v>-73.45</v>
          </cell>
          <cell r="BD56">
            <v>-86.78</v>
          </cell>
          <cell r="BE56">
            <v>-105.55</v>
          </cell>
          <cell r="BF56">
            <v>-131.54</v>
          </cell>
          <cell r="BG56">
            <v>-152.44999999999999</v>
          </cell>
          <cell r="BH56">
            <v>-169.32</v>
          </cell>
          <cell r="BI56">
            <v>-180.73</v>
          </cell>
          <cell r="BJ56">
            <v>-191.46</v>
          </cell>
          <cell r="BK56">
            <v>0</v>
          </cell>
          <cell r="BL56">
            <v>0</v>
          </cell>
          <cell r="BM56">
            <v>0</v>
          </cell>
          <cell r="BN56">
            <v>0</v>
          </cell>
        </row>
        <row r="58">
          <cell r="AA58">
            <v>0.02</v>
          </cell>
          <cell r="AB58">
            <v>0.05</v>
          </cell>
          <cell r="AC58">
            <v>0</v>
          </cell>
          <cell r="AD58">
            <v>-0.04</v>
          </cell>
          <cell r="AE58">
            <v>-0.14000000000000001</v>
          </cell>
          <cell r="AF58">
            <v>-0.31</v>
          </cell>
          <cell r="AG58">
            <v>-0.66</v>
          </cell>
          <cell r="AH58">
            <v>-1.1599999999999999</v>
          </cell>
          <cell r="AI58">
            <v>-1.87</v>
          </cell>
          <cell r="AJ58">
            <v>-2.8</v>
          </cell>
          <cell r="AK58">
            <v>-3.91</v>
          </cell>
          <cell r="AL58">
            <v>-5.64</v>
          </cell>
          <cell r="AM58">
            <v>-14.1</v>
          </cell>
          <cell r="AN58">
            <v>-12.54</v>
          </cell>
          <cell r="AO58">
            <v>-11.03</v>
          </cell>
          <cell r="AP58">
            <v>-9.65</v>
          </cell>
          <cell r="AQ58">
            <v>-7.78</v>
          </cell>
          <cell r="AR58">
            <v>-5.46</v>
          </cell>
          <cell r="AS58">
            <v>-2.83</v>
          </cell>
          <cell r="AT58">
            <v>-0.17</v>
          </cell>
          <cell r="AU58">
            <v>2.46</v>
          </cell>
          <cell r="AV58">
            <v>4.6500000000000004</v>
          </cell>
          <cell r="AW58">
            <v>6.69</v>
          </cell>
          <cell r="AX58">
            <v>8.67</v>
          </cell>
          <cell r="AY58">
            <v>7.62</v>
          </cell>
          <cell r="AZ58">
            <v>3.05</v>
          </cell>
          <cell r="BA58">
            <v>-1.63</v>
          </cell>
          <cell r="BB58">
            <v>-6.46</v>
          </cell>
          <cell r="BC58">
            <v>-11.76</v>
          </cell>
          <cell r="BD58">
            <v>-16.989999999999998</v>
          </cell>
          <cell r="BE58">
            <v>-21.63</v>
          </cell>
          <cell r="BF58">
            <v>-26.75</v>
          </cell>
          <cell r="BG58">
            <v>-31.68</v>
          </cell>
          <cell r="BH58">
            <v>-36.81</v>
          </cell>
          <cell r="BI58">
            <v>-41.29</v>
          </cell>
          <cell r="BJ58">
            <v>-45.59</v>
          </cell>
          <cell r="BK58">
            <v>0</v>
          </cell>
          <cell r="BL58">
            <v>0</v>
          </cell>
          <cell r="BM58">
            <v>0</v>
          </cell>
          <cell r="BN58">
            <v>0</v>
          </cell>
        </row>
        <row r="59">
          <cell r="AA59">
            <v>0</v>
          </cell>
          <cell r="AB59">
            <v>-0.04</v>
          </cell>
          <cell r="AC59">
            <v>-0.16</v>
          </cell>
          <cell r="AD59">
            <v>-0.05</v>
          </cell>
          <cell r="AE59">
            <v>-7.0000000000000007E-2</v>
          </cell>
          <cell r="AF59">
            <v>-7.0000000000000007E-2</v>
          </cell>
          <cell r="AG59">
            <v>-0.04</v>
          </cell>
          <cell r="AH59">
            <v>0.02</v>
          </cell>
          <cell r="AI59">
            <v>0.12</v>
          </cell>
          <cell r="AJ59">
            <v>0.21</v>
          </cell>
          <cell r="AK59">
            <v>0.28000000000000003</v>
          </cell>
          <cell r="AL59">
            <v>0.12</v>
          </cell>
          <cell r="AM59">
            <v>-0.04</v>
          </cell>
          <cell r="AN59">
            <v>0.32</v>
          </cell>
          <cell r="AO59">
            <v>0.66</v>
          </cell>
          <cell r="AP59">
            <v>1.04</v>
          </cell>
          <cell r="AQ59">
            <v>1.45</v>
          </cell>
          <cell r="AR59">
            <v>2.08</v>
          </cell>
          <cell r="AS59">
            <v>2.93</v>
          </cell>
          <cell r="AT59">
            <v>3.81</v>
          </cell>
          <cell r="AU59">
            <v>4.6900000000000004</v>
          </cell>
          <cell r="AV59">
            <v>5.41</v>
          </cell>
          <cell r="AW59">
            <v>5.85</v>
          </cell>
          <cell r="AX59">
            <v>6.28</v>
          </cell>
          <cell r="AY59">
            <v>6.44</v>
          </cell>
          <cell r="AZ59">
            <v>5.85</v>
          </cell>
          <cell r="BA59">
            <v>5.19</v>
          </cell>
          <cell r="BB59">
            <v>4.8600000000000003</v>
          </cell>
          <cell r="BC59">
            <v>4.34</v>
          </cell>
          <cell r="BD59">
            <v>3.48</v>
          </cell>
          <cell r="BE59">
            <v>2.4900000000000002</v>
          </cell>
          <cell r="BF59">
            <v>1.63</v>
          </cell>
          <cell r="BG59">
            <v>0.78</v>
          </cell>
          <cell r="BH59">
            <v>0.23</v>
          </cell>
          <cell r="BI59">
            <v>-0.21</v>
          </cell>
          <cell r="BJ59">
            <v>-0.69</v>
          </cell>
          <cell r="BK59">
            <v>0</v>
          </cell>
          <cell r="BL59">
            <v>0</v>
          </cell>
          <cell r="BM59">
            <v>0</v>
          </cell>
          <cell r="BN59">
            <v>0</v>
          </cell>
        </row>
      </sheetData>
      <sheetData sheetId="7"/>
      <sheetData sheetId="8"/>
      <sheetData sheetId="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EE EO Summary"/>
      <sheetName val="PY4 2023 EO"/>
      <sheetName val="Small Business"/>
      <sheetName val="Summary- Custom"/>
      <sheetName val="Summary- Std"/>
      <sheetName val="MEEIA 3 PY4 Bus Cust Std"/>
      <sheetName val="MEEIA 3 PY4 by month"/>
      <sheetName val="MEEIA 3 PY4"/>
      <sheetName val="Intake Form Summary"/>
      <sheetName val="Energy Audit Summary"/>
      <sheetName val="RDR Events"/>
      <sheetName val="MEEIA 3"/>
      <sheetName val="MEEIA 3 PY3"/>
      <sheetName val="SI Projects YTD data"/>
      <sheetName val="Instructions"/>
    </sheetNames>
    <sheetDataSet>
      <sheetData sheetId="0" refreshError="1"/>
      <sheetData sheetId="1">
        <row r="116">
          <cell r="E116">
            <v>1409245.8</v>
          </cell>
        </row>
        <row r="117">
          <cell r="E117">
            <v>366668.97000000003</v>
          </cell>
        </row>
        <row r="119">
          <cell r="E119">
            <v>351922.98000000004</v>
          </cell>
        </row>
        <row r="120">
          <cell r="E120">
            <v>258967.71000000002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E EO Summary"/>
      <sheetName val="MEEIA 3 PY5 EO"/>
      <sheetName val="Allocated PY5 spend by program"/>
      <sheetName val="MEEIA 3 PY5 Monthly spend data"/>
      <sheetName val="MEEIA 3 PY5 Bus Cust Std NL SGS"/>
      <sheetName val="Summary FOR EO Rpt"/>
      <sheetName val="MEEIA 3 YTD PY5-Labor"/>
      <sheetName val="MEEIA 3 YTD PY5"/>
      <sheetName val="SI Projects YTD data"/>
      <sheetName val="Instructions"/>
    </sheetNames>
    <sheetDataSet>
      <sheetData sheetId="0"/>
      <sheetData sheetId="1">
        <row r="278">
          <cell r="E278">
            <v>1243468.9281133313</v>
          </cell>
        </row>
        <row r="279">
          <cell r="E279">
            <v>435513.3053627116</v>
          </cell>
        </row>
        <row r="281">
          <cell r="E281">
            <v>429766.19858818926</v>
          </cell>
        </row>
        <row r="282">
          <cell r="E282">
            <v>283886.00825733197</v>
          </cell>
        </row>
      </sheetData>
      <sheetData sheetId="2"/>
      <sheetData sheetId="3"/>
      <sheetData sheetId="4"/>
      <sheetData sheetId="5"/>
      <sheetData sheetId="6"/>
      <sheetData sheetId="7"/>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EE EO Summary"/>
      <sheetName val="MEEIA 3 PY5 EO"/>
      <sheetName val="2024 DR called events"/>
      <sheetName val="Allocated PY5 spend by program"/>
      <sheetName val="MEEIA 3 PY5 Monthly spend data"/>
      <sheetName val="MEEIA 3 PY5 Bus Cust Std NL SGS"/>
      <sheetName val="Summary FOR EO Rpt"/>
      <sheetName val="MEEIA 3 YTD PY5-Labor"/>
      <sheetName val="MEEIA 3 YTD PY5"/>
      <sheetName val="SI Projects YTD data"/>
      <sheetName val="Instructions"/>
    </sheetNames>
    <sheetDataSet>
      <sheetData sheetId="0"/>
      <sheetData sheetId="1">
        <row r="300">
          <cell r="E300">
            <v>-3455.4363846643828</v>
          </cell>
        </row>
        <row r="301">
          <cell r="E301">
            <v>720.55985298706219</v>
          </cell>
        </row>
        <row r="303">
          <cell r="E303">
            <v>539.76379697263474</v>
          </cell>
        </row>
        <row r="304">
          <cell r="E304">
            <v>342.27617171767633</v>
          </cell>
        </row>
      </sheetData>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I Project"/>
      <sheetName val="SI0000 Alloc"/>
      <sheetName val="SI Project Data"/>
      <sheetName val="Input"/>
      <sheetName val="Program Descriptions"/>
    </sheetNames>
    <sheetDataSet>
      <sheetData sheetId="0">
        <row r="34">
          <cell r="N34">
            <v>7535.56</v>
          </cell>
          <cell r="O34">
            <v>1705.2</v>
          </cell>
          <cell r="Q34">
            <v>1274.71</v>
          </cell>
          <cell r="R34">
            <v>786.52000000000089</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I Project"/>
      <sheetName val="SI0000 Alloc"/>
      <sheetName val="SI Project Data"/>
      <sheetName val="Input"/>
      <sheetName val="Program Descriptions"/>
    </sheetNames>
    <sheetDataSet>
      <sheetData sheetId="0">
        <row r="34">
          <cell r="N34">
            <v>10279.749999999998</v>
          </cell>
          <cell r="O34">
            <v>2422.0100000000002</v>
          </cell>
          <cell r="Q34">
            <v>1791.8200000000002</v>
          </cell>
          <cell r="R34">
            <v>1146.3800000000001</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I Project"/>
      <sheetName val="SI0000 Alloc"/>
      <sheetName val="SI Project Data"/>
      <sheetName val="Input"/>
      <sheetName val="Program Descriptions"/>
    </sheetNames>
    <sheetDataSet>
      <sheetData sheetId="0">
        <row r="34">
          <cell r="N34">
            <v>2934.13</v>
          </cell>
          <cell r="O34">
            <v>979.79</v>
          </cell>
          <cell r="Q34">
            <v>680.07999999999993</v>
          </cell>
          <cell r="R34">
            <v>405.96000000000004</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I Project"/>
      <sheetName val="SI0000 Alloc"/>
      <sheetName val="SI Project Data"/>
      <sheetName val="Input"/>
      <sheetName val="Program Descriptions"/>
    </sheetNames>
    <sheetDataSet>
      <sheetData sheetId="0">
        <row r="34">
          <cell r="N34">
            <v>5111.1600000000008</v>
          </cell>
          <cell r="O34">
            <v>708.54</v>
          </cell>
          <cell r="Q34">
            <v>874.12</v>
          </cell>
          <cell r="R34">
            <v>702.31000000000006</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I Project"/>
      <sheetName val="SI0000 Alloc"/>
      <sheetName val="SI Project Data"/>
      <sheetName val="Input"/>
      <sheetName val="Program Descriptions"/>
    </sheetNames>
    <sheetDataSet>
      <sheetData sheetId="0">
        <row r="34">
          <cell r="N34">
            <v>-46224.4</v>
          </cell>
          <cell r="O34">
            <v>-1569.08</v>
          </cell>
          <cell r="Q34">
            <v>-1439.75</v>
          </cell>
          <cell r="R34">
            <v>-1024.06</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I Project"/>
      <sheetName val="SI0000 Alloc"/>
      <sheetName val="SI Project Data"/>
      <sheetName val="Input"/>
      <sheetName val="Program Descriptions"/>
    </sheetNames>
    <sheetDataSet>
      <sheetData sheetId="0">
        <row r="34">
          <cell r="N34">
            <v>0</v>
          </cell>
          <cell r="O34">
            <v>0</v>
          </cell>
          <cell r="Q34">
            <v>0</v>
          </cell>
          <cell r="R34">
            <v>0</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May 2025"/>
      <sheetName val="June 2025"/>
      <sheetName val="July 2025"/>
      <sheetName val="August 2025"/>
      <sheetName val="Sept 2025"/>
      <sheetName val="EMW Oct25"/>
    </sheetNames>
    <sheetDataSet>
      <sheetData sheetId="0">
        <row r="52">
          <cell r="G52">
            <v>4016.52</v>
          </cell>
        </row>
        <row r="53">
          <cell r="G53">
            <v>1944.22</v>
          </cell>
        </row>
        <row r="54">
          <cell r="G54">
            <v>1588.73</v>
          </cell>
        </row>
        <row r="55">
          <cell r="G55">
            <v>679.49</v>
          </cell>
        </row>
        <row r="68">
          <cell r="G68">
            <v>-2007.87</v>
          </cell>
        </row>
        <row r="69">
          <cell r="G69">
            <v>963.49553594523536</v>
          </cell>
        </row>
        <row r="70">
          <cell r="G70">
            <v>0</v>
          </cell>
        </row>
        <row r="71">
          <cell r="G71">
            <v>671.06446405476447</v>
          </cell>
        </row>
        <row r="76">
          <cell r="G76">
            <v>8055.79</v>
          </cell>
        </row>
        <row r="77">
          <cell r="G77">
            <v>3932.89</v>
          </cell>
        </row>
        <row r="78">
          <cell r="G78">
            <v>4000.9</v>
          </cell>
        </row>
        <row r="79">
          <cell r="G79">
            <v>4094.93</v>
          </cell>
        </row>
        <row r="83">
          <cell r="G83">
            <v>128494.14</v>
          </cell>
        </row>
        <row r="84">
          <cell r="G84">
            <v>112101.13</v>
          </cell>
        </row>
        <row r="85">
          <cell r="G85">
            <v>41645.39</v>
          </cell>
        </row>
        <row r="86">
          <cell r="G86">
            <v>-1334.22</v>
          </cell>
        </row>
        <row r="90">
          <cell r="G90">
            <v>12054.04</v>
          </cell>
        </row>
        <row r="91">
          <cell r="G91">
            <v>26314.2</v>
          </cell>
        </row>
        <row r="92">
          <cell r="G92">
            <v>16003.59</v>
          </cell>
        </row>
        <row r="93">
          <cell r="G93">
            <v>3412.44</v>
          </cell>
        </row>
        <row r="97">
          <cell r="G97">
            <v>-0.8</v>
          </cell>
        </row>
        <row r="98">
          <cell r="G98">
            <v>-2925.2</v>
          </cell>
        </row>
        <row r="99">
          <cell r="G99">
            <v>4000.9</v>
          </cell>
        </row>
        <row r="100">
          <cell r="G100">
            <v>2047.46</v>
          </cell>
        </row>
        <row r="104">
          <cell r="G104">
            <v>-22085.390000000003</v>
          </cell>
        </row>
        <row r="105">
          <cell r="G105">
            <v>-9742.34</v>
          </cell>
        </row>
        <row r="106">
          <cell r="G106">
            <v>-9602.16</v>
          </cell>
        </row>
        <row r="107">
          <cell r="G107">
            <v>-8872.35</v>
          </cell>
        </row>
        <row r="111">
          <cell r="G111">
            <v>76304.38</v>
          </cell>
        </row>
        <row r="112">
          <cell r="G112">
            <v>22410.3</v>
          </cell>
        </row>
        <row r="113">
          <cell r="G113">
            <v>35207.910000000003</v>
          </cell>
        </row>
        <row r="114">
          <cell r="G114">
            <v>30711.97</v>
          </cell>
        </row>
        <row r="118">
          <cell r="G118">
            <v>303165.67</v>
          </cell>
        </row>
        <row r="119">
          <cell r="G119">
            <v>97423.4</v>
          </cell>
        </row>
        <row r="120">
          <cell r="G120">
            <v>190442.77</v>
          </cell>
        </row>
        <row r="121">
          <cell r="G121">
            <v>286645.03999999998</v>
          </cell>
        </row>
        <row r="125">
          <cell r="G125">
            <v>2007.8</v>
          </cell>
        </row>
        <row r="126">
          <cell r="G126">
            <v>0.04</v>
          </cell>
        </row>
        <row r="127">
          <cell r="G127">
            <v>800.18</v>
          </cell>
        </row>
        <row r="128">
          <cell r="G128">
            <v>682.49</v>
          </cell>
        </row>
        <row r="132">
          <cell r="G132">
            <v>8030.88</v>
          </cell>
        </row>
        <row r="133">
          <cell r="G133">
            <v>974.23</v>
          </cell>
        </row>
        <row r="134">
          <cell r="G134">
            <v>800.18</v>
          </cell>
        </row>
        <row r="135">
          <cell r="G135">
            <v>682.49</v>
          </cell>
        </row>
        <row r="169">
          <cell r="G169">
            <v>200787058</v>
          </cell>
        </row>
        <row r="170">
          <cell r="G170">
            <v>97473954</v>
          </cell>
        </row>
        <row r="171">
          <cell r="G171">
            <v>80017971</v>
          </cell>
        </row>
        <row r="172">
          <cell r="G172">
            <v>68248817</v>
          </cell>
        </row>
      </sheetData>
      <sheetData sheetId="1">
        <row r="52">
          <cell r="G52">
            <v>5068.33</v>
          </cell>
        </row>
        <row r="53">
          <cell r="G53">
            <v>2201.94</v>
          </cell>
        </row>
        <row r="54">
          <cell r="G54">
            <v>1765.6299999999999</v>
          </cell>
        </row>
        <row r="55">
          <cell r="G55">
            <v>737.46</v>
          </cell>
        </row>
        <row r="68">
          <cell r="G68">
            <v>-2533.8399999999997</v>
          </cell>
        </row>
        <row r="69">
          <cell r="G69">
            <v>1088.3332365089002</v>
          </cell>
        </row>
        <row r="70">
          <cell r="G70">
            <v>0</v>
          </cell>
        </row>
        <row r="71">
          <cell r="G71">
            <v>729.23676349109985</v>
          </cell>
        </row>
        <row r="76">
          <cell r="G76">
            <v>10132.200000000001</v>
          </cell>
        </row>
        <row r="77">
          <cell r="G77">
            <v>4409.05</v>
          </cell>
        </row>
        <row r="78">
          <cell r="G78">
            <v>4442.24</v>
          </cell>
        </row>
        <row r="79">
          <cell r="G79">
            <v>4441.29</v>
          </cell>
        </row>
        <row r="83">
          <cell r="G83">
            <v>162158.13</v>
          </cell>
        </row>
        <row r="84">
          <cell r="G84">
            <v>127670.55</v>
          </cell>
        </row>
        <row r="85">
          <cell r="G85">
            <v>46235.5</v>
          </cell>
        </row>
        <row r="86">
          <cell r="G86">
            <v>-1450.26</v>
          </cell>
        </row>
        <row r="90">
          <cell r="G90">
            <v>15200.9</v>
          </cell>
        </row>
        <row r="91">
          <cell r="G91">
            <v>29948.82</v>
          </cell>
        </row>
        <row r="92">
          <cell r="G92">
            <v>17768.97</v>
          </cell>
        </row>
        <row r="93">
          <cell r="G93">
            <v>3701.07</v>
          </cell>
        </row>
        <row r="97">
          <cell r="G97">
            <v>0.15</v>
          </cell>
        </row>
        <row r="98">
          <cell r="G98">
            <v>-3326.47</v>
          </cell>
        </row>
        <row r="99">
          <cell r="G99">
            <v>4442.24</v>
          </cell>
        </row>
        <row r="100">
          <cell r="G100">
            <v>2220.64</v>
          </cell>
        </row>
        <row r="104">
          <cell r="G104">
            <v>-27870.949999999997</v>
          </cell>
        </row>
        <row r="105">
          <cell r="G105">
            <v>-11095.72</v>
          </cell>
        </row>
        <row r="106">
          <cell r="G106">
            <v>-10661.38</v>
          </cell>
        </row>
        <row r="107">
          <cell r="G107">
            <v>-9622.7900000000009</v>
          </cell>
        </row>
        <row r="111">
          <cell r="G111">
            <v>96279.11</v>
          </cell>
        </row>
        <row r="112">
          <cell r="G112">
            <v>25517.19</v>
          </cell>
        </row>
        <row r="113">
          <cell r="G113">
            <v>39091.74</v>
          </cell>
        </row>
        <row r="114">
          <cell r="G114">
            <v>33309.660000000003</v>
          </cell>
        </row>
        <row r="118">
          <cell r="G118">
            <v>382591.21</v>
          </cell>
        </row>
        <row r="119">
          <cell r="G119">
            <v>110957.17</v>
          </cell>
        </row>
        <row r="120">
          <cell r="G120">
            <v>211450.79</v>
          </cell>
        </row>
        <row r="121">
          <cell r="G121">
            <v>310890.17</v>
          </cell>
        </row>
        <row r="125">
          <cell r="G125">
            <v>2533.69</v>
          </cell>
        </row>
        <row r="126">
          <cell r="G126">
            <v>-0.03</v>
          </cell>
        </row>
        <row r="127">
          <cell r="G127">
            <v>888.45</v>
          </cell>
        </row>
        <row r="128">
          <cell r="G128">
            <v>740.21</v>
          </cell>
        </row>
        <row r="132">
          <cell r="G132">
            <v>10134.870000000001</v>
          </cell>
        </row>
        <row r="133">
          <cell r="G133">
            <v>1109.57</v>
          </cell>
        </row>
        <row r="134">
          <cell r="G134">
            <v>888.45</v>
          </cell>
        </row>
        <row r="135">
          <cell r="G135">
            <v>740.21</v>
          </cell>
        </row>
        <row r="169">
          <cell r="G169">
            <v>253369044.64400005</v>
          </cell>
        </row>
        <row r="170">
          <cell r="G170">
            <v>110977216.84269996</v>
          </cell>
        </row>
        <row r="171">
          <cell r="G171">
            <v>88844870.487599999</v>
          </cell>
        </row>
        <row r="172">
          <cell r="G172">
            <v>74021469.646300003</v>
          </cell>
        </row>
      </sheetData>
      <sheetData sheetId="2">
        <row r="52">
          <cell r="G52">
            <v>7912.2</v>
          </cell>
        </row>
        <row r="53">
          <cell r="G53">
            <v>2808.92</v>
          </cell>
        </row>
        <row r="54">
          <cell r="G54">
            <v>2065.48</v>
          </cell>
        </row>
        <row r="55">
          <cell r="G55">
            <v>797.93</v>
          </cell>
        </row>
        <row r="68">
          <cell r="G68">
            <v>-3953.35</v>
          </cell>
        </row>
        <row r="69">
          <cell r="G69">
            <v>1395.9503065198066</v>
          </cell>
        </row>
        <row r="70">
          <cell r="G70">
            <v>2.8650482589332045</v>
          </cell>
        </row>
        <row r="71">
          <cell r="G71">
            <v>790.64464522126002</v>
          </cell>
        </row>
        <row r="76">
          <cell r="G76">
            <v>15857.41</v>
          </cell>
        </row>
        <row r="77">
          <cell r="G77">
            <v>5657.72</v>
          </cell>
        </row>
        <row r="78">
          <cell r="G78">
            <v>5183</v>
          </cell>
        </row>
        <row r="79">
          <cell r="G79">
            <v>4801.76</v>
          </cell>
        </row>
        <row r="83">
          <cell r="G83">
            <v>252973.39</v>
          </cell>
        </row>
        <row r="84">
          <cell r="G84">
            <v>161186.76999999999</v>
          </cell>
        </row>
        <row r="85">
          <cell r="G85">
            <v>53990.06</v>
          </cell>
        </row>
        <row r="86">
          <cell r="G86">
            <v>-1573.78</v>
          </cell>
        </row>
        <row r="90">
          <cell r="G90">
            <v>23734.27</v>
          </cell>
        </row>
        <row r="91">
          <cell r="G91">
            <v>38002.81</v>
          </cell>
        </row>
        <row r="92">
          <cell r="G92">
            <v>20807.18</v>
          </cell>
        </row>
        <row r="93">
          <cell r="G93">
            <v>4001.47</v>
          </cell>
        </row>
        <row r="97">
          <cell r="G97">
            <v>-1.46</v>
          </cell>
        </row>
        <row r="98">
          <cell r="G98">
            <v>-4207.3100000000004</v>
          </cell>
        </row>
        <row r="99">
          <cell r="G99">
            <v>5194.57</v>
          </cell>
        </row>
        <row r="100">
          <cell r="G100">
            <v>2400.88</v>
          </cell>
        </row>
        <row r="104">
          <cell r="G104">
            <v>-43481.130000000005</v>
          </cell>
        </row>
        <row r="105">
          <cell r="G105">
            <v>-14020.76</v>
          </cell>
        </row>
        <row r="106">
          <cell r="G106">
            <v>-12456.55</v>
          </cell>
        </row>
        <row r="107">
          <cell r="G107">
            <v>-10403.82</v>
          </cell>
        </row>
        <row r="111">
          <cell r="G111">
            <v>150235.25</v>
          </cell>
        </row>
        <row r="112">
          <cell r="G112">
            <v>32441.54</v>
          </cell>
        </row>
        <row r="113">
          <cell r="G113">
            <v>45792.57</v>
          </cell>
        </row>
        <row r="114">
          <cell r="G114">
            <v>36013.24</v>
          </cell>
        </row>
        <row r="118">
          <cell r="G118">
            <v>596881.97</v>
          </cell>
        </row>
        <row r="119">
          <cell r="G119">
            <v>140737.51999999999</v>
          </cell>
        </row>
        <row r="120">
          <cell r="G120">
            <v>247566.71</v>
          </cell>
        </row>
        <row r="121">
          <cell r="G121">
            <v>336123.53</v>
          </cell>
        </row>
        <row r="125">
          <cell r="G125">
            <v>3942.5099999999998</v>
          </cell>
        </row>
        <row r="126">
          <cell r="G126">
            <v>-96.31</v>
          </cell>
        </row>
        <row r="127">
          <cell r="G127">
            <v>865.99</v>
          </cell>
        </row>
        <row r="128">
          <cell r="G128">
            <v>800.29</v>
          </cell>
        </row>
        <row r="132">
          <cell r="G132">
            <v>15811.31</v>
          </cell>
        </row>
        <row r="133">
          <cell r="G133">
            <v>1429.17</v>
          </cell>
        </row>
        <row r="134">
          <cell r="G134">
            <v>1048.17</v>
          </cell>
        </row>
        <row r="135">
          <cell r="G135">
            <v>800.29</v>
          </cell>
        </row>
        <row r="139">
          <cell r="G139">
            <v>-0.51</v>
          </cell>
        </row>
        <row r="140">
          <cell r="G140">
            <v>0</v>
          </cell>
        </row>
        <row r="141">
          <cell r="G141">
            <v>0</v>
          </cell>
        </row>
        <row r="142">
          <cell r="G142">
            <v>0</v>
          </cell>
        </row>
        <row r="176">
          <cell r="G176">
            <v>395315344.39619982</v>
          </cell>
        </row>
        <row r="177">
          <cell r="G177">
            <v>140571534.19329989</v>
          </cell>
        </row>
        <row r="178">
          <cell r="G178">
            <v>103949154.2245</v>
          </cell>
        </row>
        <row r="179">
          <cell r="G179">
            <v>80029411.594000012</v>
          </cell>
        </row>
      </sheetData>
      <sheetData sheetId="3">
        <row r="52">
          <cell r="G52">
            <v>50975.78</v>
          </cell>
        </row>
        <row r="53">
          <cell r="G53">
            <v>13352.070842042976</v>
          </cell>
        </row>
        <row r="54">
          <cell r="G54">
            <v>9918.375200903145</v>
          </cell>
        </row>
        <row r="55">
          <cell r="G55">
            <v>7375.813957053876</v>
          </cell>
        </row>
        <row r="68">
          <cell r="G68">
            <v>-0.20999999999999996</v>
          </cell>
        </row>
        <row r="69">
          <cell r="G69">
            <v>-1.0222411925167829</v>
          </cell>
        </row>
        <row r="70">
          <cell r="G70">
            <v>1002.2928858170984</v>
          </cell>
        </row>
        <row r="71">
          <cell r="G71">
            <v>5.1793553754183677</v>
          </cell>
        </row>
        <row r="76">
          <cell r="G76">
            <v>59.03</v>
          </cell>
        </row>
        <row r="77">
          <cell r="G77">
            <v>-5.73</v>
          </cell>
        </row>
        <row r="78">
          <cell r="G78">
            <v>0</v>
          </cell>
        </row>
        <row r="79">
          <cell r="G79">
            <v>31.94</v>
          </cell>
        </row>
        <row r="83">
          <cell r="G83">
            <v>150405.29999999999</v>
          </cell>
        </row>
        <row r="84">
          <cell r="G84">
            <v>51530.66</v>
          </cell>
        </row>
        <row r="85">
          <cell r="G85">
            <v>18606.11</v>
          </cell>
        </row>
        <row r="86">
          <cell r="G86">
            <v>-32827.410000000003</v>
          </cell>
        </row>
        <row r="90">
          <cell r="G90">
            <v>27728.55</v>
          </cell>
        </row>
        <row r="91">
          <cell r="G91">
            <v>48780.17</v>
          </cell>
        </row>
        <row r="92">
          <cell r="G92">
            <v>26767.31</v>
          </cell>
        </row>
        <row r="93">
          <cell r="G93">
            <v>6901.14</v>
          </cell>
        </row>
        <row r="97">
          <cell r="G97">
            <v>-43063.479999999996</v>
          </cell>
        </row>
        <row r="98">
          <cell r="G98">
            <v>-13362.960842042976</v>
          </cell>
        </row>
        <row r="99">
          <cell r="G99">
            <v>-4774.8852009031443</v>
          </cell>
        </row>
        <row r="100">
          <cell r="G100">
            <v>-5833.4439570538761</v>
          </cell>
        </row>
        <row r="104">
          <cell r="G104">
            <v>-23749.77</v>
          </cell>
        </row>
        <row r="105">
          <cell r="G105">
            <v>-6962.49</v>
          </cell>
        </row>
        <row r="106">
          <cell r="G106">
            <v>-6177.07</v>
          </cell>
        </row>
        <row r="107">
          <cell r="G107">
            <v>-4652.21</v>
          </cell>
        </row>
        <row r="111">
          <cell r="G111">
            <v>201873.33</v>
          </cell>
        </row>
        <row r="112">
          <cell r="G112">
            <v>59941.22</v>
          </cell>
        </row>
        <row r="113">
          <cell r="G113">
            <v>64859.25</v>
          </cell>
        </row>
        <row r="114">
          <cell r="G114">
            <v>45305.84</v>
          </cell>
        </row>
        <row r="118">
          <cell r="G118">
            <v>676763.58</v>
          </cell>
        </row>
        <row r="119">
          <cell r="G119">
            <v>192345.59</v>
          </cell>
        </row>
        <row r="120">
          <cell r="G120">
            <v>304735.53000000003</v>
          </cell>
        </row>
        <row r="121">
          <cell r="G121">
            <v>360474.59</v>
          </cell>
        </row>
        <row r="125">
          <cell r="G125">
            <v>-158287.78999999998</v>
          </cell>
        </row>
        <row r="126">
          <cell r="G126">
            <v>-22312.880000000001</v>
          </cell>
        </row>
        <row r="127">
          <cell r="G127">
            <v>-60741.2</v>
          </cell>
        </row>
        <row r="128">
          <cell r="G128">
            <v>-91654.94</v>
          </cell>
        </row>
        <row r="132">
          <cell r="G132">
            <v>15830.97</v>
          </cell>
        </row>
        <row r="133">
          <cell r="G133">
            <v>6971.74</v>
          </cell>
        </row>
        <row r="134">
          <cell r="G134">
            <v>4118.05</v>
          </cell>
        </row>
        <row r="135">
          <cell r="G135">
            <v>769.16</v>
          </cell>
        </row>
        <row r="139">
          <cell r="G139">
            <v>-7914.44</v>
          </cell>
        </row>
        <row r="140">
          <cell r="G140">
            <v>0</v>
          </cell>
        </row>
        <row r="141">
          <cell r="G141">
            <v>0</v>
          </cell>
        </row>
        <row r="142">
          <cell r="G142">
            <v>0</v>
          </cell>
        </row>
        <row r="176">
          <cell r="G176">
            <v>395820865.71230018</v>
          </cell>
        </row>
        <row r="177">
          <cell r="G177">
            <v>139390028.35640004</v>
          </cell>
        </row>
        <row r="178">
          <cell r="G178">
            <v>102951191.41019996</v>
          </cell>
        </row>
        <row r="179">
          <cell r="G179">
            <v>76915868.770799994</v>
          </cell>
        </row>
      </sheetData>
      <sheetData sheetId="4">
        <row r="52">
          <cell r="G52">
            <v>0</v>
          </cell>
        </row>
        <row r="53">
          <cell r="G53">
            <v>0</v>
          </cell>
        </row>
        <row r="54">
          <cell r="G54">
            <v>0</v>
          </cell>
        </row>
        <row r="55">
          <cell r="G55">
            <v>0</v>
          </cell>
        </row>
        <row r="68">
          <cell r="G68">
            <v>-0.38</v>
          </cell>
        </row>
        <row r="69">
          <cell r="G69">
            <v>-0.47005102393288917</v>
          </cell>
        </row>
        <row r="70">
          <cell r="G70">
            <v>1013.8300510239329</v>
          </cell>
        </row>
        <row r="71">
          <cell r="G71">
            <v>0</v>
          </cell>
        </row>
        <row r="76">
          <cell r="G76">
            <v>-107.42</v>
          </cell>
        </row>
        <row r="77">
          <cell r="G77">
            <v>-1.86</v>
          </cell>
        </row>
        <row r="78">
          <cell r="G78">
            <v>2.2799999999999998</v>
          </cell>
        </row>
        <row r="79">
          <cell r="G79">
            <v>0</v>
          </cell>
        </row>
        <row r="83">
          <cell r="G83">
            <v>123155.9</v>
          </cell>
        </row>
        <row r="84">
          <cell r="G84">
            <v>47812.649999999994</v>
          </cell>
        </row>
        <row r="85">
          <cell r="G85">
            <v>18290.7</v>
          </cell>
        </row>
        <row r="86">
          <cell r="G86">
            <v>-35536.58</v>
          </cell>
        </row>
        <row r="90">
          <cell r="G90">
            <v>22648.93</v>
          </cell>
        </row>
        <row r="91">
          <cell r="G91">
            <v>45254.080000000002</v>
          </cell>
        </row>
        <row r="92">
          <cell r="G92">
            <v>26365.7</v>
          </cell>
        </row>
        <row r="93">
          <cell r="G93">
            <v>7439.61</v>
          </cell>
        </row>
        <row r="97">
          <cell r="G97">
            <v>6473.7000000000007</v>
          </cell>
        </row>
        <row r="98">
          <cell r="G98">
            <v>2.1199999999998909</v>
          </cell>
        </row>
        <row r="99">
          <cell r="G99">
            <v>5074.38</v>
          </cell>
        </row>
        <row r="100">
          <cell r="G100">
            <v>1654.31</v>
          </cell>
        </row>
        <row r="104">
          <cell r="G104">
            <v>-19443.37</v>
          </cell>
        </row>
        <row r="105">
          <cell r="G105">
            <v>-6462.01</v>
          </cell>
        </row>
        <row r="106">
          <cell r="G106">
            <v>-6087.75</v>
          </cell>
        </row>
        <row r="107">
          <cell r="G107">
            <v>-4959.74</v>
          </cell>
        </row>
        <row r="111">
          <cell r="G111">
            <v>165267.06</v>
          </cell>
        </row>
        <row r="112">
          <cell r="G112">
            <v>55602.6</v>
          </cell>
        </row>
        <row r="113">
          <cell r="G113">
            <v>63884.09</v>
          </cell>
        </row>
        <row r="114">
          <cell r="G114">
            <v>48770.77</v>
          </cell>
        </row>
        <row r="118">
          <cell r="G118">
            <v>554198.59</v>
          </cell>
        </row>
        <row r="119">
          <cell r="G119">
            <v>178433.36</v>
          </cell>
        </row>
        <row r="120">
          <cell r="G120">
            <v>300168.06</v>
          </cell>
        </row>
        <row r="121">
          <cell r="G121">
            <v>387686.27</v>
          </cell>
        </row>
        <row r="125">
          <cell r="G125">
            <v>-129638.54</v>
          </cell>
        </row>
        <row r="126">
          <cell r="G126">
            <v>-20712.060000000001</v>
          </cell>
        </row>
        <row r="127">
          <cell r="G127">
            <v>-59808.81</v>
          </cell>
        </row>
        <row r="128">
          <cell r="G128">
            <v>-99194.76999999999</v>
          </cell>
        </row>
        <row r="132">
          <cell r="G132">
            <v>12963.7</v>
          </cell>
        </row>
        <row r="133">
          <cell r="G133">
            <v>6466.2</v>
          </cell>
        </row>
        <row r="134">
          <cell r="G134">
            <v>4055.32</v>
          </cell>
        </row>
        <row r="135">
          <cell r="G135">
            <v>826.62</v>
          </cell>
        </row>
        <row r="139">
          <cell r="G139">
            <v>-6481.91</v>
          </cell>
        </row>
        <row r="140">
          <cell r="G140">
            <v>0</v>
          </cell>
        </row>
        <row r="141">
          <cell r="G141">
            <v>0</v>
          </cell>
        </row>
        <row r="142">
          <cell r="G142">
            <v>0</v>
          </cell>
        </row>
        <row r="176">
          <cell r="G176">
            <v>324045734.58690017</v>
          </cell>
        </row>
        <row r="177">
          <cell r="G177">
            <v>129297404.4403</v>
          </cell>
        </row>
        <row r="178">
          <cell r="G178">
            <v>101417049.8167</v>
          </cell>
        </row>
        <row r="179">
          <cell r="G179">
            <v>82662317.64199999</v>
          </cell>
        </row>
      </sheetData>
      <sheetData sheetId="5">
        <row r="52">
          <cell r="G52">
            <v>0</v>
          </cell>
        </row>
        <row r="53">
          <cell r="G53"/>
        </row>
        <row r="54">
          <cell r="G54"/>
        </row>
        <row r="55">
          <cell r="G55">
            <v>0</v>
          </cell>
        </row>
        <row r="79">
          <cell r="G79">
            <v>-12042.180000000859</v>
          </cell>
        </row>
        <row r="80">
          <cell r="G80">
            <v>5211.25</v>
          </cell>
        </row>
        <row r="81">
          <cell r="G81">
            <v>6038.82</v>
          </cell>
        </row>
        <row r="82">
          <cell r="G82">
            <v>2040.78</v>
          </cell>
        </row>
        <row r="87">
          <cell r="G87">
            <v>66.27</v>
          </cell>
        </row>
        <row r="88">
          <cell r="G88">
            <v>-702.32</v>
          </cell>
        </row>
        <row r="89">
          <cell r="G89">
            <v>0</v>
          </cell>
        </row>
        <row r="90">
          <cell r="G90">
            <v>0</v>
          </cell>
        </row>
        <row r="94">
          <cell r="G94">
            <v>103061.19</v>
          </cell>
        </row>
        <row r="95">
          <cell r="G95">
            <v>44082.71</v>
          </cell>
        </row>
        <row r="96">
          <cell r="G96">
            <v>16673.09</v>
          </cell>
        </row>
        <row r="97">
          <cell r="G97">
            <v>-39124.589999999997</v>
          </cell>
        </row>
        <row r="101">
          <cell r="G101">
            <v>19009.740000000002</v>
          </cell>
        </row>
        <row r="102">
          <cell r="G102">
            <v>41457.31</v>
          </cell>
        </row>
        <row r="103">
          <cell r="G103">
            <v>24083.35</v>
          </cell>
        </row>
        <row r="104">
          <cell r="G104">
            <v>8188.87</v>
          </cell>
        </row>
        <row r="108">
          <cell r="G108">
            <v>5431.32</v>
          </cell>
        </row>
        <row r="109">
          <cell r="G109">
            <v>-43.439999999999827</v>
          </cell>
        </row>
        <row r="110">
          <cell r="G110">
            <v>4631.41</v>
          </cell>
        </row>
        <row r="111">
          <cell r="G111">
            <v>1819.74</v>
          </cell>
        </row>
        <row r="115">
          <cell r="G115">
            <v>-16274.29</v>
          </cell>
        </row>
        <row r="116">
          <cell r="G116">
            <v>-5950.42</v>
          </cell>
        </row>
        <row r="117">
          <cell r="G117">
            <v>-5557.7</v>
          </cell>
        </row>
        <row r="118">
          <cell r="G118">
            <v>-5459.25</v>
          </cell>
        </row>
        <row r="122">
          <cell r="G122">
            <v>150366.66000000085</v>
          </cell>
        </row>
        <row r="123">
          <cell r="G123">
            <v>45806.9</v>
          </cell>
        </row>
        <row r="124">
          <cell r="G124">
            <v>53243.27</v>
          </cell>
        </row>
        <row r="125">
          <cell r="G125">
            <v>51641.8</v>
          </cell>
        </row>
        <row r="129">
          <cell r="G129">
            <v>463772.59</v>
          </cell>
        </row>
        <row r="130">
          <cell r="G130">
            <v>164059.65</v>
          </cell>
        </row>
        <row r="131">
          <cell r="G131">
            <v>274179.69</v>
          </cell>
        </row>
        <row r="132">
          <cell r="G132">
            <v>426730.99</v>
          </cell>
        </row>
        <row r="136">
          <cell r="G136">
            <v>-108481.15</v>
          </cell>
        </row>
        <row r="137">
          <cell r="G137">
            <v>-19009.240000000002</v>
          </cell>
        </row>
        <row r="138">
          <cell r="G138">
            <v>-54650.78</v>
          </cell>
        </row>
        <row r="139">
          <cell r="G139">
            <v>-109184.9</v>
          </cell>
        </row>
        <row r="143">
          <cell r="G143">
            <v>10848.51</v>
          </cell>
        </row>
        <row r="144">
          <cell r="G144">
            <v>5941.63</v>
          </cell>
        </row>
        <row r="145">
          <cell r="G145">
            <v>3705.13</v>
          </cell>
        </row>
        <row r="146">
          <cell r="G146">
            <v>909.87</v>
          </cell>
        </row>
        <row r="150">
          <cell r="G150">
            <v>-5424.15</v>
          </cell>
        </row>
        <row r="151">
          <cell r="G151">
            <v>0</v>
          </cell>
        </row>
        <row r="152">
          <cell r="G152">
            <v>0</v>
          </cell>
        </row>
        <row r="153">
          <cell r="G153">
            <v>0</v>
          </cell>
        </row>
        <row r="182">
          <cell r="G182">
            <v>271237401.47860003</v>
          </cell>
        </row>
        <row r="183">
          <cell r="G183">
            <v>118672194.89719999</v>
          </cell>
        </row>
        <row r="184">
          <cell r="G184">
            <v>92628273.473299995</v>
          </cell>
        </row>
        <row r="185">
          <cell r="G185">
            <v>90987418.858499959</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E246-9D86-4653-B38B-6571C92E4A18}">
  <dimension ref="A1:F72"/>
  <sheetViews>
    <sheetView workbookViewId="0"/>
  </sheetViews>
  <sheetFormatPr defaultColWidth="8.7109375" defaultRowHeight="15" x14ac:dyDescent="0.25"/>
  <cols>
    <col min="1" max="1" width="17" style="3" bestFit="1" customWidth="1"/>
    <col min="2" max="2" width="62.28515625" style="261" customWidth="1"/>
    <col min="3" max="3" width="63.42578125" style="261" customWidth="1"/>
    <col min="4" max="4" width="8.7109375" style="45"/>
    <col min="5" max="5" width="52.140625" style="45" customWidth="1"/>
    <col min="6" max="16384" width="8.7109375" style="45"/>
  </cols>
  <sheetData>
    <row r="1" spans="1:6" x14ac:dyDescent="0.25">
      <c r="A1" s="3" t="str">
        <f>+'PTD Cycle 3'!A1</f>
        <v>Evergy Missouri West, Inc. - DSIM Rider Update Filed 12/01/2025</v>
      </c>
    </row>
    <row r="4" spans="1:6" s="3" customFormat="1" x14ac:dyDescent="0.25">
      <c r="A4" s="262" t="s">
        <v>169</v>
      </c>
      <c r="B4" s="263" t="s">
        <v>170</v>
      </c>
      <c r="C4" s="263" t="s">
        <v>171</v>
      </c>
    </row>
    <row r="5" spans="1:6" s="265" customFormat="1" ht="30" x14ac:dyDescent="0.25">
      <c r="A5" s="264" t="s">
        <v>172</v>
      </c>
      <c r="B5" s="546" t="s">
        <v>281</v>
      </c>
      <c r="C5" s="546" t="s">
        <v>173</v>
      </c>
    </row>
    <row r="6" spans="1:6" s="265" customFormat="1" ht="30" x14ac:dyDescent="0.25">
      <c r="A6" s="264" t="s">
        <v>174</v>
      </c>
      <c r="B6" s="546" t="s">
        <v>175</v>
      </c>
      <c r="C6" s="546" t="s">
        <v>176</v>
      </c>
    </row>
    <row r="7" spans="1:6" s="265" customFormat="1" ht="90" x14ac:dyDescent="0.25">
      <c r="A7" s="264" t="s">
        <v>221</v>
      </c>
      <c r="B7" s="546" t="s">
        <v>288</v>
      </c>
      <c r="C7" s="546" t="s">
        <v>222</v>
      </c>
    </row>
    <row r="8" spans="1:6" s="265" customFormat="1" ht="135" x14ac:dyDescent="0.25">
      <c r="A8" s="264" t="s">
        <v>177</v>
      </c>
      <c r="B8" s="546" t="s">
        <v>289</v>
      </c>
      <c r="C8" s="546" t="s">
        <v>178</v>
      </c>
    </row>
    <row r="9" spans="1:6" s="265" customFormat="1" ht="135" x14ac:dyDescent="0.25">
      <c r="A9" s="264" t="s">
        <v>215</v>
      </c>
      <c r="B9" s="546" t="s">
        <v>290</v>
      </c>
      <c r="C9" s="546" t="s">
        <v>178</v>
      </c>
    </row>
    <row r="10" spans="1:6" s="265" customFormat="1" ht="30" x14ac:dyDescent="0.25">
      <c r="A10" s="264" t="s">
        <v>179</v>
      </c>
      <c r="B10" s="546" t="s">
        <v>282</v>
      </c>
      <c r="C10" s="546" t="s">
        <v>254</v>
      </c>
    </row>
    <row r="11" spans="1:6" s="265" customFormat="1" ht="75" x14ac:dyDescent="0.25">
      <c r="A11" s="264" t="s">
        <v>223</v>
      </c>
      <c r="B11" s="546" t="s">
        <v>283</v>
      </c>
      <c r="C11" s="546" t="s">
        <v>234</v>
      </c>
    </row>
    <row r="12" spans="1:6" s="265" customFormat="1" ht="210" x14ac:dyDescent="0.25">
      <c r="A12" s="264" t="s">
        <v>180</v>
      </c>
      <c r="B12" s="546" t="s">
        <v>204</v>
      </c>
      <c r="C12" s="546" t="s">
        <v>235</v>
      </c>
    </row>
    <row r="13" spans="1:6" s="265" customFormat="1" ht="255" x14ac:dyDescent="0.25">
      <c r="A13" s="264" t="s">
        <v>181</v>
      </c>
      <c r="B13" s="546" t="s">
        <v>291</v>
      </c>
      <c r="C13" s="546" t="s">
        <v>255</v>
      </c>
      <c r="E13" s="492"/>
      <c r="F13" s="492"/>
    </row>
    <row r="14" spans="1:6" s="492" customFormat="1" ht="150" x14ac:dyDescent="0.25">
      <c r="A14" s="493" t="s">
        <v>237</v>
      </c>
      <c r="B14" s="546" t="s">
        <v>292</v>
      </c>
      <c r="C14" s="546" t="s">
        <v>238</v>
      </c>
    </row>
    <row r="15" spans="1:6" s="265" customFormat="1" ht="180" x14ac:dyDescent="0.25">
      <c r="A15" s="264" t="s">
        <v>182</v>
      </c>
      <c r="B15" s="546" t="s">
        <v>284</v>
      </c>
      <c r="C15" s="546" t="s">
        <v>183</v>
      </c>
    </row>
    <row r="16" spans="1:6" s="265" customFormat="1" ht="228" customHeight="1" x14ac:dyDescent="0.25">
      <c r="A16" s="264" t="s">
        <v>184</v>
      </c>
      <c r="B16" s="546" t="s">
        <v>285</v>
      </c>
      <c r="C16" s="546" t="s">
        <v>256</v>
      </c>
      <c r="D16" s="492"/>
    </row>
    <row r="17" spans="1:4" s="492" customFormat="1" ht="200.45" customHeight="1" x14ac:dyDescent="0.25">
      <c r="A17" s="493" t="s">
        <v>236</v>
      </c>
      <c r="B17" s="546" t="s">
        <v>286</v>
      </c>
      <c r="C17" s="546" t="s">
        <v>257</v>
      </c>
    </row>
    <row r="18" spans="1:4" s="265" customFormat="1" ht="105" x14ac:dyDescent="0.25">
      <c r="A18" s="264" t="s">
        <v>185</v>
      </c>
      <c r="B18" s="546" t="s">
        <v>293</v>
      </c>
      <c r="C18" s="546" t="s">
        <v>186</v>
      </c>
    </row>
    <row r="19" spans="1:4" s="265" customFormat="1" ht="105" x14ac:dyDescent="0.25">
      <c r="A19" s="264" t="s">
        <v>187</v>
      </c>
      <c r="B19" s="546" t="s">
        <v>294</v>
      </c>
      <c r="C19" s="546" t="s">
        <v>188</v>
      </c>
      <c r="D19" s="492"/>
    </row>
    <row r="20" spans="1:4" s="265" customFormat="1" ht="45" x14ac:dyDescent="0.25">
      <c r="A20" s="264" t="s">
        <v>189</v>
      </c>
      <c r="B20" s="546" t="s">
        <v>287</v>
      </c>
      <c r="C20" s="546" t="s">
        <v>296</v>
      </c>
    </row>
    <row r="21" spans="1:4" s="265" customFormat="1" ht="75" x14ac:dyDescent="0.25">
      <c r="A21" s="264" t="s">
        <v>191</v>
      </c>
      <c r="B21" s="546" t="s">
        <v>295</v>
      </c>
      <c r="C21" s="546" t="s">
        <v>190</v>
      </c>
      <c r="D21" s="492"/>
    </row>
    <row r="22" spans="1:4" s="265" customFormat="1" x14ac:dyDescent="0.25">
      <c r="A22" s="266"/>
      <c r="B22" s="267"/>
      <c r="C22" s="267"/>
    </row>
    <row r="23" spans="1:4" s="265" customFormat="1" x14ac:dyDescent="0.25">
      <c r="A23" s="266"/>
      <c r="B23" s="267"/>
      <c r="C23" s="267"/>
    </row>
    <row r="24" spans="1:4" s="265" customFormat="1" x14ac:dyDescent="0.25">
      <c r="A24" s="266"/>
      <c r="B24" s="267"/>
      <c r="C24" s="267"/>
    </row>
    <row r="25" spans="1:4" s="265" customFormat="1" x14ac:dyDescent="0.25">
      <c r="A25" s="266"/>
      <c r="B25" s="267"/>
      <c r="C25" s="267"/>
    </row>
    <row r="26" spans="1:4" s="265" customFormat="1" x14ac:dyDescent="0.25">
      <c r="A26" s="266"/>
      <c r="B26" s="267"/>
      <c r="C26" s="267"/>
    </row>
    <row r="27" spans="1:4" s="265" customFormat="1" x14ac:dyDescent="0.25">
      <c r="A27" s="266"/>
      <c r="B27" s="267"/>
      <c r="C27" s="267"/>
    </row>
    <row r="28" spans="1:4" s="265" customFormat="1" x14ac:dyDescent="0.25">
      <c r="A28" s="266"/>
      <c r="B28" s="267"/>
      <c r="C28" s="267"/>
    </row>
    <row r="29" spans="1:4" s="265" customFormat="1" x14ac:dyDescent="0.25">
      <c r="A29" s="266"/>
      <c r="B29" s="267"/>
      <c r="C29" s="267"/>
    </row>
    <row r="30" spans="1:4" s="265" customFormat="1" x14ac:dyDescent="0.25">
      <c r="A30" s="266"/>
      <c r="B30" s="267"/>
      <c r="C30" s="267"/>
    </row>
    <row r="31" spans="1:4" s="265" customFormat="1" x14ac:dyDescent="0.25">
      <c r="A31" s="266"/>
      <c r="B31" s="267"/>
      <c r="C31" s="267"/>
    </row>
    <row r="32" spans="1:4" s="265" customFormat="1" x14ac:dyDescent="0.25">
      <c r="A32" s="266"/>
      <c r="B32" s="267"/>
      <c r="C32" s="267"/>
    </row>
    <row r="33" spans="1:3" s="265" customFormat="1" x14ac:dyDescent="0.25">
      <c r="A33" s="266"/>
      <c r="B33" s="267"/>
      <c r="C33" s="267"/>
    </row>
    <row r="34" spans="1:3" s="265" customFormat="1" x14ac:dyDescent="0.25">
      <c r="A34" s="266"/>
      <c r="B34" s="267"/>
      <c r="C34" s="267"/>
    </row>
    <row r="35" spans="1:3" s="265" customFormat="1" x14ac:dyDescent="0.25">
      <c r="A35" s="266"/>
      <c r="B35" s="267"/>
      <c r="C35" s="267"/>
    </row>
    <row r="36" spans="1:3" s="265" customFormat="1" x14ac:dyDescent="0.25">
      <c r="A36" s="266"/>
      <c r="B36" s="267"/>
      <c r="C36" s="267"/>
    </row>
    <row r="37" spans="1:3" s="265" customFormat="1" x14ac:dyDescent="0.25">
      <c r="A37" s="266"/>
      <c r="B37" s="267"/>
      <c r="C37" s="267"/>
    </row>
    <row r="38" spans="1:3" s="265" customFormat="1" x14ac:dyDescent="0.25">
      <c r="A38" s="266"/>
      <c r="B38" s="267"/>
      <c r="C38" s="267"/>
    </row>
    <row r="39" spans="1:3" s="265" customFormat="1" x14ac:dyDescent="0.25">
      <c r="A39" s="266"/>
      <c r="B39" s="267"/>
      <c r="C39" s="267"/>
    </row>
    <row r="40" spans="1:3" s="265" customFormat="1" x14ac:dyDescent="0.25">
      <c r="A40" s="266"/>
      <c r="B40" s="267"/>
      <c r="C40" s="267"/>
    </row>
    <row r="41" spans="1:3" s="265" customFormat="1" x14ac:dyDescent="0.25">
      <c r="A41" s="266"/>
      <c r="B41" s="267"/>
      <c r="C41" s="267"/>
    </row>
    <row r="42" spans="1:3" s="265" customFormat="1" x14ac:dyDescent="0.25">
      <c r="A42" s="266"/>
      <c r="B42" s="267"/>
      <c r="C42" s="267"/>
    </row>
    <row r="43" spans="1:3" s="265" customFormat="1" x14ac:dyDescent="0.25">
      <c r="A43" s="266"/>
      <c r="B43" s="267"/>
      <c r="C43" s="267"/>
    </row>
    <row r="44" spans="1:3" s="265" customFormat="1" x14ac:dyDescent="0.25">
      <c r="A44" s="266"/>
      <c r="B44" s="267"/>
      <c r="C44" s="267"/>
    </row>
    <row r="45" spans="1:3" s="265" customFormat="1" x14ac:dyDescent="0.25">
      <c r="A45" s="266"/>
      <c r="B45" s="267"/>
      <c r="C45" s="267"/>
    </row>
    <row r="46" spans="1:3" s="265" customFormat="1" x14ac:dyDescent="0.25">
      <c r="A46" s="266"/>
      <c r="B46" s="267"/>
      <c r="C46" s="267"/>
    </row>
    <row r="47" spans="1:3" s="265" customFormat="1" x14ac:dyDescent="0.25">
      <c r="A47" s="266"/>
      <c r="B47" s="267"/>
      <c r="C47" s="267"/>
    </row>
    <row r="48" spans="1:3" s="265" customFormat="1" x14ac:dyDescent="0.25">
      <c r="A48" s="266"/>
      <c r="B48" s="267"/>
      <c r="C48" s="267"/>
    </row>
    <row r="49" spans="1:3" s="265" customFormat="1" x14ac:dyDescent="0.25">
      <c r="A49" s="266"/>
      <c r="B49" s="267"/>
      <c r="C49" s="267"/>
    </row>
    <row r="50" spans="1:3" s="265" customFormat="1" x14ac:dyDescent="0.25">
      <c r="A50" s="266"/>
      <c r="B50" s="267"/>
      <c r="C50" s="267"/>
    </row>
    <row r="51" spans="1:3" s="265" customFormat="1" x14ac:dyDescent="0.25">
      <c r="A51" s="266"/>
      <c r="B51" s="267"/>
      <c r="C51" s="267"/>
    </row>
    <row r="52" spans="1:3" s="265" customFormat="1" x14ac:dyDescent="0.25">
      <c r="A52" s="266"/>
      <c r="B52" s="267"/>
      <c r="C52" s="267"/>
    </row>
    <row r="53" spans="1:3" s="265" customFormat="1" x14ac:dyDescent="0.25">
      <c r="A53" s="266"/>
      <c r="B53" s="267"/>
      <c r="C53" s="267"/>
    </row>
    <row r="54" spans="1:3" s="265" customFormat="1" x14ac:dyDescent="0.25">
      <c r="A54" s="266"/>
      <c r="B54" s="267"/>
      <c r="C54" s="267"/>
    </row>
    <row r="55" spans="1:3" s="265" customFormat="1" x14ac:dyDescent="0.25">
      <c r="A55" s="266"/>
      <c r="B55" s="267"/>
      <c r="C55" s="267"/>
    </row>
    <row r="56" spans="1:3" s="265" customFormat="1" x14ac:dyDescent="0.25">
      <c r="A56" s="266"/>
      <c r="B56" s="267"/>
      <c r="C56" s="267"/>
    </row>
    <row r="57" spans="1:3" s="265" customFormat="1" x14ac:dyDescent="0.25">
      <c r="A57" s="266"/>
      <c r="B57" s="267"/>
      <c r="C57" s="267"/>
    </row>
    <row r="58" spans="1:3" s="265" customFormat="1" x14ac:dyDescent="0.25">
      <c r="A58" s="266"/>
      <c r="B58" s="267"/>
      <c r="C58" s="267"/>
    </row>
    <row r="59" spans="1:3" s="265" customFormat="1" x14ac:dyDescent="0.25">
      <c r="A59" s="266"/>
      <c r="B59" s="267"/>
      <c r="C59" s="267"/>
    </row>
    <row r="60" spans="1:3" s="265" customFormat="1" x14ac:dyDescent="0.25">
      <c r="A60" s="266"/>
      <c r="B60" s="267"/>
      <c r="C60" s="267"/>
    </row>
    <row r="61" spans="1:3" s="265" customFormat="1" x14ac:dyDescent="0.25">
      <c r="A61" s="266"/>
      <c r="B61" s="267"/>
      <c r="C61" s="267"/>
    </row>
    <row r="62" spans="1:3" s="265" customFormat="1" x14ac:dyDescent="0.25">
      <c r="A62" s="266"/>
      <c r="B62" s="267"/>
      <c r="C62" s="267"/>
    </row>
    <row r="63" spans="1:3" s="265" customFormat="1" x14ac:dyDescent="0.25">
      <c r="A63" s="266"/>
      <c r="B63" s="267"/>
      <c r="C63" s="267"/>
    </row>
    <row r="64" spans="1:3" s="265" customFormat="1" x14ac:dyDescent="0.25">
      <c r="A64" s="266"/>
      <c r="B64" s="267"/>
      <c r="C64" s="267"/>
    </row>
    <row r="65" spans="1:3" s="265" customFormat="1" x14ac:dyDescent="0.25">
      <c r="A65" s="266"/>
      <c r="B65" s="267"/>
      <c r="C65" s="267"/>
    </row>
    <row r="66" spans="1:3" s="265" customFormat="1" x14ac:dyDescent="0.25">
      <c r="A66" s="266"/>
      <c r="B66" s="267"/>
      <c r="C66" s="267"/>
    </row>
    <row r="67" spans="1:3" s="265" customFormat="1" x14ac:dyDescent="0.25">
      <c r="A67" s="266"/>
      <c r="B67" s="267"/>
      <c r="C67" s="267"/>
    </row>
    <row r="68" spans="1:3" s="265" customFormat="1" x14ac:dyDescent="0.25">
      <c r="A68" s="266"/>
      <c r="B68" s="267"/>
      <c r="C68" s="267"/>
    </row>
    <row r="69" spans="1:3" s="265" customFormat="1" x14ac:dyDescent="0.25">
      <c r="A69" s="266"/>
      <c r="B69" s="267"/>
      <c r="C69" s="267"/>
    </row>
    <row r="70" spans="1:3" s="265" customFormat="1" x14ac:dyDescent="0.25">
      <c r="A70" s="266"/>
      <c r="B70" s="267"/>
      <c r="C70" s="267"/>
    </row>
    <row r="71" spans="1:3" s="265" customFormat="1" x14ac:dyDescent="0.25">
      <c r="A71" s="266"/>
      <c r="B71" s="267"/>
      <c r="C71" s="267"/>
    </row>
    <row r="72" spans="1:3" s="265" customFormat="1" x14ac:dyDescent="0.25">
      <c r="A72" s="266"/>
      <c r="B72" s="267"/>
      <c r="C72" s="267"/>
    </row>
  </sheetData>
  <autoFilter ref="A4:F72" xr:uid="{4D32E246-9D86-4653-B38B-6571C92E4A18}"/>
  <pageMargins left="0.7" right="0.7" top="0.75" bottom="0.75" header="0.3" footer="0.3"/>
  <pageSetup orientation="portrait" r:id="rId1"/>
  <headerFooter>
    <oddFooter xml:space="preserve">&amp;R_x000D_&amp;1#&amp;"Calibri"&amp;10&amp;KA80000 Restricted – Sensitive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pageSetUpPr fitToPage="1"/>
  </sheetPr>
  <dimension ref="A1:AJ67"/>
  <sheetViews>
    <sheetView zoomScale="85" zoomScaleNormal="85" workbookViewId="0">
      <pane xSplit="2" ySplit="11" topLeftCell="C12" activePane="bottomRight" state="frozen"/>
      <selection pane="topRight"/>
      <selection pane="bottomLeft"/>
      <selection pane="bottomRight" activeCell="N64" sqref="N64"/>
    </sheetView>
  </sheetViews>
  <sheetFormatPr defaultColWidth="9.140625" defaultRowHeight="15" outlineLevelRow="1" outlineLevelCol="1" x14ac:dyDescent="0.25"/>
  <cols>
    <col min="1" max="1" width="61.7109375" style="45" customWidth="1"/>
    <col min="2" max="3" width="20.7109375" style="45" customWidth="1"/>
    <col min="4" max="4" width="12.42578125" style="45" hidden="1" customWidth="1" outlineLevel="1"/>
    <col min="5" max="5" width="15.42578125" style="45" customWidth="1" collapsed="1"/>
    <col min="6" max="6" width="15.85546875" style="45" customWidth="1"/>
    <col min="7" max="7" width="12.28515625" style="45" customWidth="1"/>
    <col min="8" max="9" width="13.28515625" style="45" customWidth="1"/>
    <col min="10" max="10" width="12.28515625" style="45" bestFit="1" customWidth="1"/>
    <col min="11" max="11" width="11.5703125" style="45" bestFit="1" customWidth="1"/>
    <col min="12" max="12" width="12.85546875" style="45" customWidth="1"/>
    <col min="13" max="13" width="12.28515625" style="45" bestFit="1" customWidth="1"/>
    <col min="14" max="14" width="15" style="45" bestFit="1" customWidth="1"/>
    <col min="15" max="15" width="16" style="45" bestFit="1" customWidth="1"/>
    <col min="16" max="16" width="17.85546875" style="166" hidden="1" customWidth="1" outlineLevel="1"/>
    <col min="17" max="17" width="15.28515625" style="45" bestFit="1" customWidth="1" collapsed="1"/>
    <col min="18" max="18" width="17.42578125" style="45" bestFit="1" customWidth="1"/>
    <col min="19" max="19" width="16.28515625" style="45" bestFit="1" customWidth="1"/>
    <col min="20" max="20" width="15.28515625" style="45" bestFit="1" customWidth="1"/>
    <col min="21" max="21" width="12.42578125" style="45" customWidth="1"/>
    <col min="22" max="23" width="14.28515625" style="45" bestFit="1" customWidth="1"/>
    <col min="24" max="16384" width="9.140625" style="45"/>
  </cols>
  <sheetData>
    <row r="1" spans="1:36" x14ac:dyDescent="0.25">
      <c r="A1" s="3" t="str">
        <f>+'PTD Cycle 3'!A1</f>
        <v>Evergy Missouri West, Inc. - DSIM Rider Update Filed 12/01/2025</v>
      </c>
      <c r="B1" s="3"/>
      <c r="C1" s="3"/>
      <c r="D1" s="3"/>
    </row>
    <row r="2" spans="1:36" x14ac:dyDescent="0.25">
      <c r="E2" s="3" t="s">
        <v>124</v>
      </c>
    </row>
    <row r="3" spans="1:36" ht="45" x14ac:dyDescent="0.25">
      <c r="E3" s="47" t="s">
        <v>40</v>
      </c>
      <c r="F3" s="69" t="s">
        <v>62</v>
      </c>
      <c r="G3" s="69" t="s">
        <v>48</v>
      </c>
      <c r="H3" s="47" t="s">
        <v>1</v>
      </c>
      <c r="I3" s="69" t="s">
        <v>49</v>
      </c>
      <c r="J3" s="47" t="s">
        <v>8</v>
      </c>
      <c r="K3" s="47" t="s">
        <v>7</v>
      </c>
      <c r="T3" s="47"/>
    </row>
    <row r="4" spans="1:36" x14ac:dyDescent="0.25">
      <c r="A4" s="19" t="s">
        <v>22</v>
      </c>
      <c r="B4" s="19"/>
      <c r="C4" s="19"/>
      <c r="D4" s="19"/>
      <c r="E4" s="21">
        <f>SUM(C15:M15)</f>
        <v>114660.58000000002</v>
      </c>
      <c r="F4" s="125">
        <f>N21</f>
        <v>3778001.0999999996</v>
      </c>
      <c r="G4" s="21">
        <f>SUM(C27:L27)</f>
        <v>150177.65000000002</v>
      </c>
      <c r="H4" s="21">
        <f>G4-E4</f>
        <v>35517.070000000007</v>
      </c>
      <c r="I4" s="21">
        <f>+B41</f>
        <v>36724.330000000315</v>
      </c>
      <c r="J4" s="21">
        <f>SUM(C48:L48)</f>
        <v>3127.21</v>
      </c>
      <c r="K4" s="24">
        <f>SUM(H4:J4)</f>
        <v>75368.610000000321</v>
      </c>
      <c r="L4" s="46">
        <f>+K4-M41</f>
        <v>0</v>
      </c>
    </row>
    <row r="5" spans="1:36" x14ac:dyDescent="0.25">
      <c r="A5" s="19" t="s">
        <v>94</v>
      </c>
      <c r="B5" s="19"/>
      <c r="C5" s="19"/>
      <c r="D5" s="19"/>
      <c r="E5" s="21">
        <f>SUM(C16:M16)</f>
        <v>235330.81</v>
      </c>
      <c r="F5" s="125">
        <f>N22</f>
        <v>4853826.3900000006</v>
      </c>
      <c r="G5" s="21">
        <f>SUM(C28:L28)</f>
        <v>227866.88</v>
      </c>
      <c r="H5" s="21">
        <f t="shared" ref="H5:H6" si="0">G5-E5</f>
        <v>-7463.929999999993</v>
      </c>
      <c r="I5" s="21">
        <f>+B42</f>
        <v>-7561.070000000047</v>
      </c>
      <c r="J5" s="21">
        <f>SUM(C49:L49)</f>
        <v>997.31999999999994</v>
      </c>
      <c r="K5" s="24">
        <f t="shared" ref="K5:K6" si="1">SUM(H5:J5)</f>
        <v>-14027.68000000004</v>
      </c>
      <c r="L5" s="46">
        <f t="shared" ref="L5:L6" si="2">+K5-M42</f>
        <v>0</v>
      </c>
    </row>
    <row r="6" spans="1:36" x14ac:dyDescent="0.25">
      <c r="A6" s="19" t="s">
        <v>95</v>
      </c>
      <c r="B6" s="19"/>
      <c r="C6" s="19"/>
      <c r="D6" s="19"/>
      <c r="E6" s="21">
        <f>SUM(C17:M17)</f>
        <v>161573.5</v>
      </c>
      <c r="F6" s="125">
        <f>N23</f>
        <v>4168967.3</v>
      </c>
      <c r="G6" s="21">
        <f>SUM(C29:L29)</f>
        <v>133378.09</v>
      </c>
      <c r="H6" s="21">
        <f t="shared" si="0"/>
        <v>-28195.410000000003</v>
      </c>
      <c r="I6" s="21">
        <f>+B43</f>
        <v>45620.710000000028</v>
      </c>
      <c r="J6" s="21">
        <f>SUM(C50:L50)</f>
        <v>1784.88</v>
      </c>
      <c r="K6" s="24">
        <f t="shared" si="1"/>
        <v>19210.180000000026</v>
      </c>
      <c r="L6" s="46">
        <f t="shared" si="2"/>
        <v>0</v>
      </c>
    </row>
    <row r="7" spans="1:36" ht="15.75" thickBot="1" x14ac:dyDescent="0.3">
      <c r="A7" s="19" t="s">
        <v>96</v>
      </c>
      <c r="B7" s="19"/>
      <c r="C7" s="19"/>
      <c r="D7" s="19"/>
      <c r="E7" s="21">
        <f>SUM(C18:M18)</f>
        <v>41156.679999999993</v>
      </c>
      <c r="F7" s="125">
        <f>N24</f>
        <v>2637832.91</v>
      </c>
      <c r="G7" s="21">
        <f>SUM(C30:L30)</f>
        <v>33123.35</v>
      </c>
      <c r="H7" s="21">
        <f>G7-E7</f>
        <v>-8033.3299999999945</v>
      </c>
      <c r="I7" s="21">
        <f>+B44</f>
        <v>10250.730000000045</v>
      </c>
      <c r="J7" s="21">
        <f>SUM(C51:L51)</f>
        <v>386.48</v>
      </c>
      <c r="K7" s="24">
        <f>SUM(H7:J7)</f>
        <v>2603.8800000000506</v>
      </c>
      <c r="L7" s="46">
        <f>+K7-M44</f>
        <v>7.2759576141834259E-12</v>
      </c>
    </row>
    <row r="8" spans="1:36" ht="16.5" thickTop="1" thickBot="1" x14ac:dyDescent="0.3">
      <c r="E8" s="26">
        <f t="shared" ref="E8:K8" si="3">SUM(E4:E7)</f>
        <v>552721.57000000007</v>
      </c>
      <c r="F8" s="126">
        <f t="shared" si="3"/>
        <v>15438627.699999999</v>
      </c>
      <c r="G8" s="26">
        <f t="shared" si="3"/>
        <v>544545.97</v>
      </c>
      <c r="H8" s="26">
        <f t="shared" si="3"/>
        <v>-8175.599999999984</v>
      </c>
      <c r="I8" s="26">
        <f t="shared" si="3"/>
        <v>85034.700000000332</v>
      </c>
      <c r="J8" s="26">
        <f t="shared" si="3"/>
        <v>6295.8899999999994</v>
      </c>
      <c r="K8" s="26">
        <f t="shared" si="3"/>
        <v>83154.990000000354</v>
      </c>
      <c r="U8" s="5"/>
    </row>
    <row r="9" spans="1:36" ht="16.5" thickTop="1" thickBot="1" x14ac:dyDescent="0.3">
      <c r="W9" s="4"/>
      <c r="X9" s="5"/>
    </row>
    <row r="10" spans="1:36" ht="60.75" thickBot="1" x14ac:dyDescent="0.3">
      <c r="B10" s="109" t="str">
        <f>+'PCR Cycle 4'!B10</f>
        <v>Cumulative Over/Under Carryover From 06/01/2025 Filing</v>
      </c>
      <c r="C10" s="139" t="str">
        <f>+'PCR Cycle 4'!C10</f>
        <v>Reverse May 2025 - July 2025 Forecast From 06/01/2025 Filing</v>
      </c>
      <c r="D10" s="339"/>
      <c r="E10" s="544" t="s">
        <v>28</v>
      </c>
      <c r="F10" s="529"/>
      <c r="G10" s="530"/>
      <c r="H10" s="538" t="s">
        <v>28</v>
      </c>
      <c r="I10" s="539"/>
      <c r="J10" s="540"/>
      <c r="K10" s="534" t="s">
        <v>6</v>
      </c>
      <c r="L10" s="535"/>
      <c r="M10" s="536"/>
      <c r="P10" s="261" t="s">
        <v>196</v>
      </c>
    </row>
    <row r="11" spans="1:36" x14ac:dyDescent="0.25">
      <c r="A11" s="45" t="s">
        <v>56</v>
      </c>
      <c r="C11" s="551"/>
      <c r="D11" s="483"/>
      <c r="E11" s="322">
        <f>+'PCR Cycle 4'!E$11</f>
        <v>45808</v>
      </c>
      <c r="F11" s="322">
        <f>+'PCR Cycle 4'!F$11</f>
        <v>45838</v>
      </c>
      <c r="G11" s="322">
        <f>+'PCR Cycle 4'!G$11</f>
        <v>45869</v>
      </c>
      <c r="H11" s="551">
        <f>+'PCR Cycle 4'!H$11</f>
        <v>45900</v>
      </c>
      <c r="I11" s="322">
        <f>+'PCR Cycle 4'!I$11</f>
        <v>45930</v>
      </c>
      <c r="J11" s="552">
        <f>+'PCR Cycle 4'!J$11</f>
        <v>45961</v>
      </c>
      <c r="K11" s="322">
        <f>+'PCR Cycle 4'!K$11</f>
        <v>45991</v>
      </c>
      <c r="L11" s="322">
        <f>+'PCR Cycle 4'!L$11</f>
        <v>46022</v>
      </c>
      <c r="M11" s="553">
        <f>+'PCR Cycle 4'!M$11</f>
        <v>46053</v>
      </c>
      <c r="AA11" s="1"/>
      <c r="AB11" s="1"/>
      <c r="AC11" s="1"/>
      <c r="AD11" s="1"/>
      <c r="AE11" s="1"/>
      <c r="AF11" s="1"/>
      <c r="AG11" s="1"/>
      <c r="AH11" s="1"/>
      <c r="AI11" s="1"/>
      <c r="AJ11" s="1"/>
    </row>
    <row r="12" spans="1:36" x14ac:dyDescent="0.25">
      <c r="A12" s="45" t="s">
        <v>3</v>
      </c>
      <c r="C12" s="340">
        <v>-180217.24</v>
      </c>
      <c r="D12" s="168"/>
      <c r="E12" s="103">
        <f>SUM(E27:E30)</f>
        <v>69612.38</v>
      </c>
      <c r="F12" s="103">
        <f t="shared" ref="F12:L12" si="4">SUM(F27:F30)</f>
        <v>110604.86</v>
      </c>
      <c r="G12" s="104">
        <f t="shared" si="4"/>
        <v>122010.43000000002</v>
      </c>
      <c r="H12" s="15">
        <f t="shared" si="4"/>
        <v>121260.2</v>
      </c>
      <c r="I12" s="54">
        <f t="shared" si="4"/>
        <v>104591.24</v>
      </c>
      <c r="J12" s="150">
        <f t="shared" si="4"/>
        <v>67989.88</v>
      </c>
      <c r="K12" s="143">
        <f t="shared" si="4"/>
        <v>64978.39</v>
      </c>
      <c r="L12" s="75">
        <f t="shared" si="4"/>
        <v>63715.829999999994</v>
      </c>
      <c r="M12" s="76"/>
      <c r="P12" s="166">
        <f>-SUM(K12:M12)</f>
        <v>-128694.22</v>
      </c>
    </row>
    <row r="13" spans="1:36" x14ac:dyDescent="0.25">
      <c r="C13" s="96"/>
      <c r="D13" s="169"/>
      <c r="E13" s="16"/>
      <c r="F13" s="16"/>
      <c r="G13" s="16"/>
      <c r="H13" s="9"/>
      <c r="I13" s="16"/>
      <c r="J13" s="10"/>
      <c r="K13" s="30"/>
      <c r="L13" s="30"/>
      <c r="M13" s="28"/>
    </row>
    <row r="14" spans="1:36" x14ac:dyDescent="0.25">
      <c r="A14" s="45" t="s">
        <v>55</v>
      </c>
      <c r="C14" s="96"/>
      <c r="D14" s="169"/>
      <c r="E14" s="17"/>
      <c r="F14" s="17"/>
      <c r="G14" s="17"/>
      <c r="H14" s="88"/>
      <c r="I14" s="17"/>
      <c r="J14" s="151"/>
      <c r="K14" s="30"/>
      <c r="L14" s="30"/>
      <c r="M14" s="28"/>
      <c r="N14" s="408" t="s">
        <v>59</v>
      </c>
      <c r="O14" s="38"/>
    </row>
    <row r="15" spans="1:36" x14ac:dyDescent="0.25">
      <c r="A15" s="45" t="s">
        <v>22</v>
      </c>
      <c r="C15" s="340">
        <v>-53472.17</v>
      </c>
      <c r="D15" s="168"/>
      <c r="E15" s="123">
        <f>ROUND('[9]May 2025'!$G90+'[9]May 2025'!$G97,2)</f>
        <v>12053.24</v>
      </c>
      <c r="F15" s="123">
        <f>ROUND('[9]June 2025'!$G90+'[9]June 2025'!$G97,2)</f>
        <v>15201.05</v>
      </c>
      <c r="G15" s="123">
        <f>ROUND('[9]July 2025'!$G90+'[9]July 2025'!$G97,2)</f>
        <v>23732.81</v>
      </c>
      <c r="H15" s="15">
        <f>ROUND('[9]August 2025'!$G90+'[9]August 2025'!$G97,2)</f>
        <v>-15334.93</v>
      </c>
      <c r="I15" s="54">
        <f>ROUND('[9]Sept 2025'!$G90+'[9]Sept 2025'!$G97,2)</f>
        <v>29122.63</v>
      </c>
      <c r="J15" s="217">
        <f>ROUND('[9]EMW Oct25'!$G101+'[9]EMW Oct25'!$G108,2)</f>
        <v>24441.06</v>
      </c>
      <c r="K15" s="113">
        <f>ROUND('PCR Cycle 4'!K20*'TDR Cycle 3'!$N15,2)</f>
        <v>19916.240000000002</v>
      </c>
      <c r="L15" s="40">
        <f>ROUND('PCR Cycle 4'!L20*'TDR Cycle 3'!$N15,2)</f>
        <v>26705.5</v>
      </c>
      <c r="M15" s="60">
        <f>ROUND('PCR Cycle 4'!M20*'TDR Cycle 3'!$N15,2)</f>
        <v>32295.15</v>
      </c>
      <c r="N15" s="71">
        <v>7.9999999999999993E-5</v>
      </c>
      <c r="O15" s="4"/>
      <c r="P15" s="166">
        <f t="shared" ref="P15:P18" si="5">-SUM(K15:M15)</f>
        <v>-78916.890000000014</v>
      </c>
    </row>
    <row r="16" spans="1:36" x14ac:dyDescent="0.25">
      <c r="A16" s="45" t="s">
        <v>94</v>
      </c>
      <c r="C16" s="340">
        <v>-76957.570000000007</v>
      </c>
      <c r="D16" s="168"/>
      <c r="E16" s="439">
        <f>ROUND('[9]May 2025'!$G91+'[9]May 2025'!$G98,2)</f>
        <v>23389</v>
      </c>
      <c r="F16" s="123">
        <f>ROUND('[9]June 2025'!$G91+'[9]June 2025'!$G98,2)</f>
        <v>26622.35</v>
      </c>
      <c r="G16" s="123">
        <f>ROUND('[9]July 2025'!$G91+'[9]July 2025'!$G98,2)</f>
        <v>33795.5</v>
      </c>
      <c r="H16" s="15">
        <f>ROUND('[9]August 2025'!$G91+'[9]August 2025'!$G98,2)</f>
        <v>35417.21</v>
      </c>
      <c r="I16" s="54">
        <f>ROUND('[9]Sept 2025'!$G91+'[9]Sept 2025'!$G98,2)</f>
        <v>45256.2</v>
      </c>
      <c r="J16" s="217">
        <f>ROUND('[9]EMW Oct25'!$G102+'[9]EMW Oct25'!$G109,2)</f>
        <v>41413.870000000003</v>
      </c>
      <c r="K16" s="113">
        <f>ROUND('PCR Cycle 4'!K21*'TDR Cycle 3'!$N16,2)</f>
        <v>32094.99</v>
      </c>
      <c r="L16" s="40">
        <f>ROUND('PCR Cycle 4'!L21*'TDR Cycle 3'!$N16,2)</f>
        <v>33082.97</v>
      </c>
      <c r="M16" s="60">
        <f>ROUND('PCR Cycle 4'!M21*'TDR Cycle 3'!$N16,2)</f>
        <v>41216.29</v>
      </c>
      <c r="N16" s="416">
        <v>3.3999999999999997E-4</v>
      </c>
      <c r="O16" s="4"/>
      <c r="P16" s="166">
        <f t="shared" si="5"/>
        <v>-106394.25</v>
      </c>
    </row>
    <row r="17" spans="1:16" x14ac:dyDescent="0.25">
      <c r="A17" s="45" t="s">
        <v>95</v>
      </c>
      <c r="C17" s="340">
        <v>-65524.2</v>
      </c>
      <c r="D17" s="168"/>
      <c r="E17" s="439">
        <f>ROUND('[9]May 2025'!$G92+'[9]May 2025'!$G99,2)</f>
        <v>20004.490000000002</v>
      </c>
      <c r="F17" s="123">
        <f>ROUND('[9]June 2025'!$G92+'[9]June 2025'!$G99,2)</f>
        <v>22211.21</v>
      </c>
      <c r="G17" s="123">
        <f>ROUND('[9]July 2025'!$G92+'[9]July 2025'!$G99,2)</f>
        <v>26001.75</v>
      </c>
      <c r="H17" s="15">
        <f>ROUND('[9]August 2025'!$G92+'[9]August 2025'!$G99,2)</f>
        <v>21992.42</v>
      </c>
      <c r="I17" s="54">
        <f>ROUND('[9]Sept 2025'!$G92+'[9]Sept 2025'!$G99,2)</f>
        <v>31440.080000000002</v>
      </c>
      <c r="J17" s="217">
        <f>ROUND('[9]EMW Oct25'!$G103+'[9]EMW Oct25'!$G110,2)</f>
        <v>28714.76</v>
      </c>
      <c r="K17" s="113">
        <f>ROUND('PCR Cycle 4'!K22*'TDR Cycle 3'!$N17,2)</f>
        <v>23147.35</v>
      </c>
      <c r="L17" s="40">
        <f>ROUND('PCR Cycle 4'!L22*'TDR Cycle 3'!$N17,2)</f>
        <v>23859.89</v>
      </c>
      <c r="M17" s="60">
        <f>ROUND('PCR Cycle 4'!M22*'TDR Cycle 3'!$N17,2)</f>
        <v>29725.75</v>
      </c>
      <c r="N17" s="416">
        <v>2.9999999999999997E-4</v>
      </c>
      <c r="O17" s="4"/>
      <c r="P17" s="166">
        <f t="shared" si="5"/>
        <v>-76732.989999999991</v>
      </c>
    </row>
    <row r="18" spans="1:16" x14ac:dyDescent="0.25">
      <c r="A18" s="45" t="s">
        <v>96</v>
      </c>
      <c r="C18" s="340">
        <v>-14566.27</v>
      </c>
      <c r="D18" s="168"/>
      <c r="E18" s="439">
        <f>ROUND('[9]May 2025'!$G93+'[9]May 2025'!$G100,2)</f>
        <v>5459.9</v>
      </c>
      <c r="F18" s="123">
        <f>ROUND('[9]June 2025'!$G93+'[9]June 2025'!$G100,2)</f>
        <v>5921.71</v>
      </c>
      <c r="G18" s="123">
        <f>ROUND('[9]July 2025'!$G93+'[9]July 2025'!$G100,2)</f>
        <v>6402.35</v>
      </c>
      <c r="H18" s="15">
        <f>ROUND('[9]August 2025'!$G93+'[9]August 2025'!$G100,2)</f>
        <v>1067.7</v>
      </c>
      <c r="I18" s="54">
        <f>ROUND('[9]Sept 2025'!$G93+'[9]Sept 2025'!$G100,2)</f>
        <v>9093.92</v>
      </c>
      <c r="J18" s="217">
        <f>ROUND('[9]EMW Oct25'!$G104+'[9]EMW Oct25'!$G111,2)</f>
        <v>10008.61</v>
      </c>
      <c r="K18" s="113">
        <f>ROUND('PCR Cycle 4'!K23*'TDR Cycle 3'!$N18,2)</f>
        <v>5360.14</v>
      </c>
      <c r="L18" s="40">
        <f>ROUND('PCR Cycle 4'!L23*'TDR Cycle 3'!$N18,2)</f>
        <v>5525.14</v>
      </c>
      <c r="M18" s="60">
        <f>ROUND('PCR Cycle 4'!M23*'TDR Cycle 3'!$N18,2)</f>
        <v>6883.48</v>
      </c>
      <c r="N18" s="416">
        <v>1E-4</v>
      </c>
      <c r="O18" s="4"/>
      <c r="P18" s="166">
        <f t="shared" si="5"/>
        <v>-17768.760000000002</v>
      </c>
    </row>
    <row r="19" spans="1:16" x14ac:dyDescent="0.25">
      <c r="C19" s="66"/>
      <c r="D19" s="170"/>
      <c r="E19" s="67"/>
      <c r="F19" s="67"/>
      <c r="G19" s="67"/>
      <c r="H19" s="66"/>
      <c r="I19" s="67"/>
      <c r="J19" s="152"/>
      <c r="K19" s="55"/>
      <c r="L19" s="55"/>
      <c r="M19" s="12"/>
      <c r="O19" s="4"/>
    </row>
    <row r="20" spans="1:16" x14ac:dyDescent="0.25">
      <c r="A20" s="38" t="s">
        <v>58</v>
      </c>
      <c r="B20" s="38"/>
      <c r="C20" s="66"/>
      <c r="D20" s="170"/>
      <c r="E20" s="67"/>
      <c r="F20" s="67"/>
      <c r="G20" s="67"/>
      <c r="H20" s="66"/>
      <c r="I20" s="67"/>
      <c r="J20" s="301"/>
      <c r="K20" s="67"/>
      <c r="L20" s="67"/>
      <c r="M20" s="12"/>
      <c r="N20" s="6"/>
    </row>
    <row r="21" spans="1:16" x14ac:dyDescent="0.25">
      <c r="A21" s="45" t="s">
        <v>22</v>
      </c>
      <c r="C21" s="341">
        <v>-1240692.06</v>
      </c>
      <c r="D21" s="171"/>
      <c r="E21" s="105">
        <f>ROUND(SUM('[17]Monthly TD Calc-PY1-3'!BQ461:BQ461),2)+ROUND(SUM('[17]Monthly TD Calc-PY4'!BQ469:BQ469),2)+ROUND(SUM('[17]Monthly TD Calc-PY5'!BQ577:BQ577),2)</f>
        <v>569448.6</v>
      </c>
      <c r="F21" s="105">
        <f>ROUND(SUM('[17]Monthly TD Calc-PY1-3'!BR461:BR461),2)+ROUND(SUM('[17]Monthly TD Calc-PY4'!BR469:BR469),2)+ROUND(SUM('[17]Monthly TD Calc-PY5'!BR577:BR577),2)</f>
        <v>671243.46</v>
      </c>
      <c r="G21" s="105">
        <f>ROUND(SUM('[17]Monthly TD Calc-PY1-3'!BS461:BS461),2)+ROUND(SUM('[17]Monthly TD Calc-PY4'!BS469:BS469),2)+ROUND(SUM('[17]Monthly TD Calc-PY5'!BS577:BS577),2)</f>
        <v>830295.1</v>
      </c>
      <c r="H21" s="72">
        <f>ROUND(SUM('[17]Monthly TD Calc-PY1-3'!BT461:BT461),2)+ROUND(SUM('[17]Monthly TD Calc-PY4'!BT469:BT469),2)+ROUND(SUM('[17]Monthly TD Calc-PY5'!BT577:BT577),2)</f>
        <v>774557.94</v>
      </c>
      <c r="I21" s="73">
        <f>ROUND(SUM('[17]Monthly TD Calc-PY1-3'!BU461:BU461),2)+ROUND(SUM('[17]Monthly TD Calc-PY4'!BU469:BU469),2)+ROUND(SUM('[17]Monthly TD Calc-PY5'!BU577:BU577),2)</f>
        <v>561940.31999999995</v>
      </c>
      <c r="J21" s="153">
        <f>ROUND(SUM('[17]Monthly TD Calc-PY1-3'!BV461:BV461),2)+ROUND(SUM('[17]Monthly TD Calc-PY4'!BV469:BV469),2)+ROUND(SUM('[17]Monthly TD Calc-PY5'!BV577:BV577),2)</f>
        <v>538772.02</v>
      </c>
      <c r="K21" s="144">
        <f>ROUND(SUM('[17]Monthly TD Calc-PY1-3'!BW461:BW461),2)+ROUND(SUM('[17]Monthly TD Calc-PY4'!BW469:BW469),2)+ROUND(SUM('[17]Monthly TD Calc-PY5'!BW577:BW577),2)</f>
        <v>514469.69</v>
      </c>
      <c r="L21" s="130">
        <f>ROUND(SUM('[17]Monthly TD Calc-PY1-3'!BX461:BX461),2)+ROUND(SUM('[17]Monthly TD Calc-PY4'!BX469:BX469),2)+ROUND(SUM('[17]Monthly TD Calc-PY5'!BX577:BX577),2)</f>
        <v>557966.03</v>
      </c>
      <c r="M21" s="77"/>
      <c r="N21" s="58">
        <f>SUM(C21:L21)</f>
        <v>3778001.0999999996</v>
      </c>
      <c r="P21" s="166">
        <f t="shared" ref="P21:P24" si="6">-SUM(K21:M21)</f>
        <v>-1072435.72</v>
      </c>
    </row>
    <row r="22" spans="1:16" x14ac:dyDescent="0.25">
      <c r="A22" s="45" t="s">
        <v>94</v>
      </c>
      <c r="C22" s="341">
        <v>-1632281.8199999998</v>
      </c>
      <c r="D22" s="171"/>
      <c r="E22" s="433">
        <f>ROUND(SUM('[17]Monthly TD Calc-PY1-3'!BQ462:BQ462),2)+ROUND(SUM('[17]Monthly TD Calc-PY4'!BQ470:BQ470),2)+ROUND(SUM('[17]Monthly TD Calc-PY5'!BQ578:BQ578),2)</f>
        <v>832798.33</v>
      </c>
      <c r="F22" s="105">
        <f>ROUND(SUM('[17]Monthly TD Calc-PY1-3'!BR462:BR462),2)+ROUND(SUM('[17]Monthly TD Calc-PY4'!BR470:BR470),2)+ROUND(SUM('[17]Monthly TD Calc-PY5'!BR578:BR578),2)</f>
        <v>799483.49</v>
      </c>
      <c r="G22" s="105">
        <f>ROUND(SUM('[17]Monthly TD Calc-PY1-3'!BS462:BS462),2)+ROUND(SUM('[17]Monthly TD Calc-PY4'!BS470:BS470),2)+ROUND(SUM('[17]Monthly TD Calc-PY5'!BS578:BS578),2)</f>
        <v>821354.45</v>
      </c>
      <c r="H22" s="72">
        <f>ROUND(SUM('[17]Monthly TD Calc-PY1-3'!BT462:BT462),2)+ROUND(SUM('[17]Monthly TD Calc-PY4'!BT470:BT470),2)+ROUND(SUM('[17]Monthly TD Calc-PY5'!BT578:BT578),2)</f>
        <v>836559.29</v>
      </c>
      <c r="I22" s="73">
        <f>ROUND(SUM('[17]Monthly TD Calc-PY1-3'!BU462:BU462),2)+ROUND(SUM('[17]Monthly TD Calc-PY4'!BU470:BU470),2)+ROUND(SUM('[17]Monthly TD Calc-PY5'!BU578:BU578),2)</f>
        <v>780568.03</v>
      </c>
      <c r="J22" s="153">
        <f>ROUND(SUM('[17]Monthly TD Calc-PY1-3'!BV462:BV462),2)+ROUND(SUM('[17]Monthly TD Calc-PY4'!BV470:BV470),2)+ROUND(SUM('[17]Monthly TD Calc-PY5'!BV578:BV578),2)</f>
        <v>834069.88</v>
      </c>
      <c r="K22" s="144">
        <f>ROUND(SUM('[17]Monthly TD Calc-PY1-3'!BW462:BW462),2)+ROUND(SUM('[17]Monthly TD Calc-PY4'!BW470:BW470),2)+ROUND(SUM('[17]Monthly TD Calc-PY5'!BW578:BW578),2)</f>
        <v>789441.93</v>
      </c>
      <c r="L22" s="130">
        <f>ROUND(SUM('[17]Monthly TD Calc-PY1-3'!BX462:BX462),2)+ROUND(SUM('[17]Monthly TD Calc-PY4'!BX470:BX470),2)+ROUND(SUM('[17]Monthly TD Calc-PY5'!BX578:BX578),2)</f>
        <v>791832.81</v>
      </c>
      <c r="M22" s="77"/>
      <c r="N22" s="58">
        <f t="shared" ref="N22:N24" si="7">SUM(C22:L22)</f>
        <v>4853826.3900000006</v>
      </c>
      <c r="P22" s="166">
        <f t="shared" si="6"/>
        <v>-1581274.7400000002</v>
      </c>
    </row>
    <row r="23" spans="1:16" x14ac:dyDescent="0.25">
      <c r="A23" s="45" t="s">
        <v>95</v>
      </c>
      <c r="C23" s="341">
        <v>-1401397.07</v>
      </c>
      <c r="D23" s="171"/>
      <c r="E23" s="433">
        <f>ROUND(SUM('[17]Monthly TD Calc-PY1-3'!BQ464:BQ464),2)+ROUND(SUM('[17]Monthly TD Calc-PY4'!BQ472:BQ472),2)+ROUND(SUM('[17]Monthly TD Calc-PY5'!BQ580:BQ580),2)</f>
        <v>714787.92</v>
      </c>
      <c r="F23" s="105">
        <f>ROUND(SUM('[17]Monthly TD Calc-PY1-3'!BR464:BR464),2)+ROUND(SUM('[17]Monthly TD Calc-PY4'!BR472:BR472),2)+ROUND(SUM('[17]Monthly TD Calc-PY5'!BR580:BR580),2)</f>
        <v>686609.15</v>
      </c>
      <c r="G23" s="105">
        <f>ROUND(SUM('[17]Monthly TD Calc-PY1-3'!BS464:BS464),2)+ROUND(SUM('[17]Monthly TD Calc-PY4'!BS472:BS472),2)+ROUND(SUM('[17]Monthly TD Calc-PY5'!BS580:BS580),2)</f>
        <v>705447.37</v>
      </c>
      <c r="H23" s="72">
        <f>ROUND(SUM('[17]Monthly TD Calc-PY1-3'!BT464:BT464),2)+ROUND(SUM('[17]Monthly TD Calc-PY4'!BT472:BT472),2)+ROUND(SUM('[17]Monthly TD Calc-PY5'!BT580:BT580),2)</f>
        <v>718421.7</v>
      </c>
      <c r="I23" s="73">
        <f>ROUND(SUM('[17]Monthly TD Calc-PY1-3'!BU464:BU464),2)+ROUND(SUM('[17]Monthly TD Calc-PY4'!BU472:BU472),2)+ROUND(SUM('[17]Monthly TD Calc-PY5'!BU580:BU580),2)</f>
        <v>670606.13</v>
      </c>
      <c r="J23" s="153">
        <f>ROUND(SUM('[17]Monthly TD Calc-PY1-3'!BV464:BV464),2)+ROUND(SUM('[17]Monthly TD Calc-PY4'!BV472:BV472),2)+ROUND(SUM('[17]Monthly TD Calc-PY5'!BV580:BV580),2)</f>
        <v>716298.25</v>
      </c>
      <c r="K23" s="144">
        <f>ROUND(SUM('[17]Monthly TD Calc-PY1-3'!BW464:BW464),2)+ROUND(SUM('[17]Monthly TD Calc-PY4'!BW472:BW472),2)+ROUND(SUM('[17]Monthly TD Calc-PY5'!BW580:BW580),2)</f>
        <v>678127.97</v>
      </c>
      <c r="L23" s="130">
        <f>ROUND(SUM('[17]Monthly TD Calc-PY1-3'!BX464:BX464),2)+ROUND(SUM('[17]Monthly TD Calc-PY4'!BX472:BX472),2)+ROUND(SUM('[17]Monthly TD Calc-PY5'!BX580:BX580),2)</f>
        <v>680065.88</v>
      </c>
      <c r="M23" s="77"/>
      <c r="N23" s="58">
        <f t="shared" si="7"/>
        <v>4168967.3</v>
      </c>
      <c r="P23" s="166">
        <f t="shared" si="6"/>
        <v>-1358193.85</v>
      </c>
    </row>
    <row r="24" spans="1:16" x14ac:dyDescent="0.25">
      <c r="A24" s="45" t="s">
        <v>96</v>
      </c>
      <c r="C24" s="341">
        <v>-887528.04</v>
      </c>
      <c r="D24" s="171"/>
      <c r="E24" s="433">
        <f>ROUND(SUM('[17]Monthly TD Calc-PY1-3'!BQ465:BQ465),2)+ROUND(SUM('[17]Monthly TD Calc-PY4'!BQ473:BQ473),2)+ROUND(SUM('[17]Monthly TD Calc-PY5'!BQ581:BQ581),2)</f>
        <v>452764.48</v>
      </c>
      <c r="F24" s="105">
        <f>ROUND(SUM('[17]Monthly TD Calc-PY1-3'!BR465:BR465),2)+ROUND(SUM('[17]Monthly TD Calc-PY4'!BR473:BR473),2)+ROUND(SUM('[17]Monthly TD Calc-PY5'!BR581:BR581),2)</f>
        <v>434763.56</v>
      </c>
      <c r="G24" s="105">
        <f>ROUND(SUM('[17]Monthly TD Calc-PY1-3'!BS465:BS465),2)+ROUND(SUM('[17]Monthly TD Calc-PY4'!BS473:BS473),2)+ROUND(SUM('[17]Monthly TD Calc-PY5'!BS581:BS581),2)</f>
        <v>446627.58</v>
      </c>
      <c r="H24" s="72">
        <f>ROUND(SUM('[17]Monthly TD Calc-PY1-3'!BT465:BT465),2)+ROUND(SUM('[17]Monthly TD Calc-PY4'!BT473:BT473),2)+ROUND(SUM('[17]Monthly TD Calc-PY5'!BT581:BT581),2)</f>
        <v>454907.48</v>
      </c>
      <c r="I24" s="73">
        <f>ROUND(SUM('[17]Monthly TD Calc-PY1-3'!BU465:BU465),2)+ROUND(SUM('[17]Monthly TD Calc-PY4'!BU473:BU473),2)+ROUND(SUM('[17]Monthly TD Calc-PY5'!BU581:BU581),2)</f>
        <v>424266.69</v>
      </c>
      <c r="J24" s="153">
        <f>ROUND(SUM('[17]Monthly TD Calc-PY1-3'!BV465:BV465),2)+ROUND(SUM('[17]Monthly TD Calc-PY4'!BV473:BV473),2)+ROUND(SUM('[17]Monthly TD Calc-PY5'!BV581:BV581),2)</f>
        <v>453162.2</v>
      </c>
      <c r="K24" s="144">
        <f>ROUND(SUM('[17]Monthly TD Calc-PY1-3'!BW465:BW465),2)+ROUND(SUM('[17]Monthly TD Calc-PY4'!BW473:BW473),2)+ROUND(SUM('[17]Monthly TD Calc-PY5'!BW581:BW581),2)</f>
        <v>428819.42</v>
      </c>
      <c r="L24" s="130">
        <f>ROUND(SUM('[17]Monthly TD Calc-PY1-3'!BX465:BX465),2)+ROUND(SUM('[17]Monthly TD Calc-PY4'!BX473:BX473),2)+ROUND(SUM('[17]Monthly TD Calc-PY5'!BX581:BX581),2)</f>
        <v>430049.54</v>
      </c>
      <c r="M24" s="77"/>
      <c r="N24" s="58">
        <f t="shared" si="7"/>
        <v>2637832.91</v>
      </c>
      <c r="P24" s="166">
        <f t="shared" si="6"/>
        <v>-858868.96</v>
      </c>
    </row>
    <row r="25" spans="1:16" x14ac:dyDescent="0.25">
      <c r="C25" s="66"/>
      <c r="D25" s="170"/>
      <c r="E25" s="302"/>
      <c r="F25" s="302"/>
      <c r="G25" s="36"/>
      <c r="H25" s="35"/>
      <c r="I25" s="302"/>
      <c r="J25" s="154"/>
      <c r="K25" s="51"/>
      <c r="L25" s="55"/>
      <c r="M25" s="12"/>
    </row>
    <row r="26" spans="1:16" x14ac:dyDescent="0.25">
      <c r="A26" s="45" t="s">
        <v>60</v>
      </c>
      <c r="C26" s="35"/>
      <c r="D26" s="172"/>
      <c r="E26" s="36"/>
      <c r="F26" s="36"/>
      <c r="G26" s="36"/>
      <c r="H26" s="35"/>
      <c r="I26" s="36"/>
      <c r="J26" s="154"/>
      <c r="K26" s="51"/>
      <c r="L26" s="51"/>
      <c r="M26" s="37"/>
    </row>
    <row r="27" spans="1:16" x14ac:dyDescent="0.25">
      <c r="A27" s="45" t="s">
        <v>22</v>
      </c>
      <c r="C27" s="340">
        <v>-47376.07</v>
      </c>
      <c r="D27" s="171"/>
      <c r="E27" s="433">
        <f>+ROUND(SUM('[17]Monthly TD Calc-PY4'!BQ575:BQ575),2)+ROUND(SUM('[17]Monthly TD Calc-PY5'!BQ711:BQ711),2)+ROUND(SUM('[17]Monthly TD Calc-PY1-3'!BQ563:BQ563),2)</f>
        <v>15418.1</v>
      </c>
      <c r="F27" s="103">
        <f>+ROUND(SUM('[17]Monthly TD Calc-PY4'!BR575:BR575),2)+ROUND(SUM('[17]Monthly TD Calc-PY5'!BR711:BR711),2)+ROUND(SUM('[17]Monthly TD Calc-PY1-3'!BR563:BR563),2)</f>
        <v>31957.97</v>
      </c>
      <c r="G27" s="103">
        <f>+ROUND(SUM('[17]Monthly TD Calc-PY4'!BS575:BS575),2)+ROUND(SUM('[17]Monthly TD Calc-PY5'!BS711:BS711),2)+ROUND(SUM('[17]Monthly TD Calc-PY1-3'!BS563:BS563),2)</f>
        <v>41228.879999999997</v>
      </c>
      <c r="H27" s="15">
        <f>+ROUND(SUM('[17]Monthly TD Calc-PY4'!BT575:BT575),2)+ROUND(SUM('[17]Monthly TD Calc-PY5'!BT711:BT711),2)+ROUND(SUM('[17]Monthly TD Calc-PY1-3'!BT563:BT563),2)</f>
        <v>38549.21</v>
      </c>
      <c r="I27" s="54">
        <f>+ROUND(SUM('[17]Monthly TD Calc-PY4'!BU575:BU575),2)+ROUND(SUM('[17]Monthly TD Calc-PY5'!BU711:BU711),2)+ROUND(SUM('[17]Monthly TD Calc-PY1-3'!BU563:BU563),2)</f>
        <v>27440.66</v>
      </c>
      <c r="J27" s="217">
        <f>+ROUND(SUM('[17]Monthly TD Calc-PY4'!BV575:BV575),2)+ROUND(SUM('[17]Monthly TD Calc-PY5'!BV711:BV711),2)+ROUND(SUM('[17]Monthly TD Calc-PY1-3'!BV563:BV563),2)</f>
        <v>14378.25</v>
      </c>
      <c r="K27" s="145">
        <f>+ROUND(SUM('[17]Monthly TD Calc-PY4'!BW575:BW575),2)+ROUND(SUM('[17]Monthly TD Calc-PY5'!BW711:BW711),2)+ROUND(SUM('[17]Monthly TD Calc-PY1-3'!BW563:BW563),2)</f>
        <v>14403.89</v>
      </c>
      <c r="L27" s="145">
        <f>+ROUND(SUM('[17]Monthly TD Calc-PY4'!BX575:BX575),2)+ROUND(SUM('[17]Monthly TD Calc-PY5'!BX711:BX711),2)+ROUND(SUM('[17]Monthly TD Calc-PY1-3'!BX563:BX563),2)</f>
        <v>14176.76</v>
      </c>
      <c r="M27" s="76"/>
      <c r="P27" s="166">
        <f t="shared" ref="P27:P32" si="8">-SUM(K27:M27)</f>
        <v>-28580.65</v>
      </c>
    </row>
    <row r="28" spans="1:16" x14ac:dyDescent="0.25">
      <c r="A28" s="45" t="s">
        <v>94</v>
      </c>
      <c r="C28" s="340">
        <v>-76294.92</v>
      </c>
      <c r="D28" s="171"/>
      <c r="E28" s="433">
        <f>+ROUND(SUM('[17]Monthly TD Calc-PY4'!BQ576:BQ576),2)+ROUND(SUM('[17]Monthly TD Calc-PY5'!BQ712:BQ712),2)+ROUND(SUM('[17]Monthly TD Calc-PY1-3'!BQ564:BQ564),2)</f>
        <v>29883.5</v>
      </c>
      <c r="F28" s="103">
        <f>+ROUND(SUM('[17]Monthly TD Calc-PY4'!BR576:BR576),2)+ROUND(SUM('[17]Monthly TD Calc-PY5'!BR712:BR712),2)+ROUND(SUM('[17]Monthly TD Calc-PY1-3'!BR564:BR564),2)</f>
        <v>46411.42</v>
      </c>
      <c r="G28" s="103">
        <f>+ROUND(SUM('[17]Monthly TD Calc-PY4'!BS576:BS576),2)+ROUND(SUM('[17]Monthly TD Calc-PY5'!BS712:BS712),2)+ROUND(SUM('[17]Monthly TD Calc-PY1-3'!BS564:BS564),2)</f>
        <v>47696.69</v>
      </c>
      <c r="H28" s="15">
        <f>+ROUND(SUM('[17]Monthly TD Calc-PY4'!BT576:BT576),2)+ROUND(SUM('[17]Monthly TD Calc-PY5'!BT712:BT712),2)+ROUND(SUM('[17]Monthly TD Calc-PY1-3'!BT564:BT564),2)</f>
        <v>48815.94</v>
      </c>
      <c r="I28" s="54">
        <f>+ROUND(SUM('[17]Monthly TD Calc-PY4'!BU576:BU576),2)+ROUND(SUM('[17]Monthly TD Calc-PY5'!BU712:BU712),2)+ROUND(SUM('[17]Monthly TD Calc-PY1-3'!BU564:BU564),2)</f>
        <v>45396.47</v>
      </c>
      <c r="J28" s="217">
        <f>+ROUND(SUM('[17]Monthly TD Calc-PY4'!BV576:BV576),2)+ROUND(SUM('[17]Monthly TD Calc-PY5'!BV712:BV712),2)+ROUND(SUM('[17]Monthly TD Calc-PY1-3'!BV564:BV564),2)</f>
        <v>29738.39</v>
      </c>
      <c r="K28" s="145">
        <f>+ROUND(SUM('[17]Monthly TD Calc-PY4'!BW576:BW576),2)+ROUND(SUM('[17]Monthly TD Calc-PY5'!BW712:BW712),2)+ROUND(SUM('[17]Monthly TD Calc-PY1-3'!BW564:BW564),2)</f>
        <v>28183.41</v>
      </c>
      <c r="L28" s="145">
        <f>+ROUND(SUM('[17]Monthly TD Calc-PY4'!BX576:BX576),2)+ROUND(SUM('[17]Monthly TD Calc-PY5'!BX712:BX712),2)+ROUND(SUM('[17]Monthly TD Calc-PY1-3'!BX564:BX564),2)</f>
        <v>28035.98</v>
      </c>
      <c r="M28" s="76"/>
      <c r="P28" s="166">
        <f t="shared" si="8"/>
        <v>-56219.39</v>
      </c>
    </row>
    <row r="29" spans="1:16" x14ac:dyDescent="0.25">
      <c r="A29" s="45" t="s">
        <v>95</v>
      </c>
      <c r="C29" s="340">
        <v>-45461.61</v>
      </c>
      <c r="D29" s="171"/>
      <c r="E29" s="433">
        <f>+ROUND(SUM('[17]Monthly TD Calc-PY4'!BQ578:BQ578),2)+ROUND(SUM('[17]Monthly TD Calc-PY5'!BQ714:BQ714),2)+ROUND(SUM('[17]Monthly TD Calc-PY1-3'!BQ566:BQ566),2)</f>
        <v>19828.98</v>
      </c>
      <c r="F29" s="103">
        <f>+ROUND(SUM('[17]Monthly TD Calc-PY4'!BR578:BR578),2)+ROUND(SUM('[17]Monthly TD Calc-PY5'!BR714:BR714),2)+ROUND(SUM('[17]Monthly TD Calc-PY1-3'!BR566:BR566),2)</f>
        <v>25632.63</v>
      </c>
      <c r="G29" s="103">
        <f>+ROUND(SUM('[17]Monthly TD Calc-PY4'!BS578:BS578),2)+ROUND(SUM('[17]Monthly TD Calc-PY5'!BS714:BS714),2)+ROUND(SUM('[17]Monthly TD Calc-PY1-3'!BS566:BS566),2)</f>
        <v>26243.29</v>
      </c>
      <c r="H29" s="15">
        <f>+ROUND(SUM('[17]Monthly TD Calc-PY4'!BT578:BT578),2)+ROUND(SUM('[17]Monthly TD Calc-PY5'!BT714:BT714),2)+ROUND(SUM('[17]Monthly TD Calc-PY1-3'!BT566:BT566),2)</f>
        <v>26853.79</v>
      </c>
      <c r="I29" s="54">
        <f>+ROUND(SUM('[17]Monthly TD Calc-PY4'!BU578:BU578),2)+ROUND(SUM('[17]Monthly TD Calc-PY5'!BU714:BU714),2)+ROUND(SUM('[17]Monthly TD Calc-PY1-3'!BU566:BU566),2)</f>
        <v>25230.44</v>
      </c>
      <c r="J29" s="217">
        <f>+ROUND(SUM('[17]Monthly TD Calc-PY4'!BV578:BV578),2)+ROUND(SUM('[17]Monthly TD Calc-PY5'!BV714:BV714),2)+ROUND(SUM('[17]Monthly TD Calc-PY1-3'!BV566:BV566),2)</f>
        <v>19403.54</v>
      </c>
      <c r="K29" s="145">
        <f>+ROUND(SUM('[17]Monthly TD Calc-PY4'!BW578:BW578),2)+ROUND(SUM('[17]Monthly TD Calc-PY5'!BW714:BW714),2)+ROUND(SUM('[17]Monthly TD Calc-PY1-3'!BW566:BW566),2)</f>
        <v>18182.07</v>
      </c>
      <c r="L29" s="145">
        <f>+ROUND(SUM('[17]Monthly TD Calc-PY4'!BX578:BX578),2)+ROUND(SUM('[17]Monthly TD Calc-PY5'!BX714:BX714),2)+ROUND(SUM('[17]Monthly TD Calc-PY1-3'!BX566:BX566),2)</f>
        <v>17464.96</v>
      </c>
      <c r="M29" s="76"/>
      <c r="P29" s="166">
        <f t="shared" si="8"/>
        <v>-35647.03</v>
      </c>
    </row>
    <row r="30" spans="1:16" x14ac:dyDescent="0.25">
      <c r="A30" s="45" t="s">
        <v>96</v>
      </c>
      <c r="C30" s="340">
        <v>-11084.64</v>
      </c>
      <c r="D30" s="171"/>
      <c r="E30" s="433">
        <f>+ROUND(SUM('[17]Monthly TD Calc-PY4'!BQ579:BQ579),2)+ROUND(SUM('[17]Monthly TD Calc-PY5'!BQ715:BQ715),2)+ROUND(SUM('[17]Monthly TD Calc-PY1-3'!BQ567:BQ567),2)</f>
        <v>4481.8</v>
      </c>
      <c r="F30" s="103">
        <f>+ROUND(SUM('[17]Monthly TD Calc-PY4'!BR579:BR579),2)+ROUND(SUM('[17]Monthly TD Calc-PY5'!BR715:BR715),2)+ROUND(SUM('[17]Monthly TD Calc-PY1-3'!BR567:BR567),2)</f>
        <v>6602.84</v>
      </c>
      <c r="G30" s="103">
        <f>+ROUND(SUM('[17]Monthly TD Calc-PY4'!BS579:BS579),2)+ROUND(SUM('[17]Monthly TD Calc-PY5'!BS715:BS715),2)+ROUND(SUM('[17]Monthly TD Calc-PY1-3'!BS567:BS567),2)</f>
        <v>6841.57</v>
      </c>
      <c r="H30" s="15">
        <f>+ROUND(SUM('[17]Monthly TD Calc-PY4'!BT579:BT579),2)+ROUND(SUM('[17]Monthly TD Calc-PY5'!BT715:BT715),2)+ROUND(SUM('[17]Monthly TD Calc-PY1-3'!BT567:BT567),2)</f>
        <v>7041.26</v>
      </c>
      <c r="I30" s="54">
        <f>+ROUND(SUM('[17]Monthly TD Calc-PY4'!BU579:BU579),2)+ROUND(SUM('[17]Monthly TD Calc-PY5'!BU715:BU715),2)+ROUND(SUM('[17]Monthly TD Calc-PY1-3'!BU567:BU567),2)</f>
        <v>6523.67</v>
      </c>
      <c r="J30" s="217">
        <f>+ROUND(SUM('[17]Monthly TD Calc-PY4'!BV579:BV579),2)+ROUND(SUM('[17]Monthly TD Calc-PY5'!BV715:BV715),2)+ROUND(SUM('[17]Monthly TD Calc-PY1-3'!BV567:BV567),2)</f>
        <v>4469.7</v>
      </c>
      <c r="K30" s="145">
        <f>+ROUND(SUM('[17]Monthly TD Calc-PY4'!BW579:BW579),2)+ROUND(SUM('[17]Monthly TD Calc-PY5'!BW715:BW715),2)+ROUND(SUM('[17]Monthly TD Calc-PY1-3'!BW567:BW567),2)</f>
        <v>4209.0200000000004</v>
      </c>
      <c r="L30" s="145">
        <f>+ROUND(SUM('[17]Monthly TD Calc-PY4'!BX579:BX579),2)+ROUND(SUM('[17]Monthly TD Calc-PY5'!BX715:BX715),2)+ROUND(SUM('[17]Monthly TD Calc-PY1-3'!BX567:BX567),2)</f>
        <v>4038.13</v>
      </c>
      <c r="M30" s="76"/>
      <c r="O30" s="46"/>
      <c r="P30" s="166">
        <f t="shared" si="8"/>
        <v>-8247.1500000000015</v>
      </c>
    </row>
    <row r="31" spans="1:16" x14ac:dyDescent="0.25">
      <c r="C31" s="96"/>
      <c r="D31" s="169"/>
      <c r="E31" s="321"/>
      <c r="F31" s="17"/>
      <c r="G31" s="17"/>
      <c r="H31" s="88"/>
      <c r="I31" s="17"/>
      <c r="J31" s="151"/>
      <c r="K31" s="55"/>
      <c r="L31" s="55"/>
      <c r="M31" s="12"/>
    </row>
    <row r="32" spans="1:16" ht="15.75" thickBot="1" x14ac:dyDescent="0.3">
      <c r="A32" s="3" t="s">
        <v>13</v>
      </c>
      <c r="B32" s="3"/>
      <c r="C32" s="342">
        <v>-1221.9000000000001</v>
      </c>
      <c r="D32" s="173"/>
      <c r="E32" s="123">
        <v>560.55999999999995</v>
      </c>
      <c r="F32" s="123">
        <f>678.78-0.01</f>
        <v>678.77</v>
      </c>
      <c r="G32" s="124">
        <f>857.73-0.01</f>
        <v>857.72</v>
      </c>
      <c r="H32" s="25">
        <f>1121.72-0.01</f>
        <v>1121.71</v>
      </c>
      <c r="I32" s="112">
        <v>1250.47</v>
      </c>
      <c r="J32" s="155">
        <v>1119.99</v>
      </c>
      <c r="K32" s="146">
        <f>ROUND((SUM(J41:J44)+SUM(J48:J51)+SUM(K35:K38)/2)*K$46,2)</f>
        <v>1008.03</v>
      </c>
      <c r="L32" s="131">
        <f>ROUND((SUM(K41:K44)+SUM(K48:K51)+SUM(L35:L38)/2)*L$46,2)</f>
        <v>920.54</v>
      </c>
      <c r="M32" s="79"/>
      <c r="P32" s="166">
        <f t="shared" si="8"/>
        <v>-1928.57</v>
      </c>
    </row>
    <row r="33" spans="1:16" x14ac:dyDescent="0.25">
      <c r="C33" s="63"/>
      <c r="D33" s="176"/>
      <c r="E33" s="65"/>
      <c r="F33" s="65"/>
      <c r="G33" s="32"/>
      <c r="H33" s="63"/>
      <c r="I33" s="32"/>
      <c r="J33" s="156"/>
      <c r="K33" s="33"/>
      <c r="L33" s="33"/>
      <c r="M33" s="59"/>
    </row>
    <row r="34" spans="1:16" x14ac:dyDescent="0.25">
      <c r="A34" s="45" t="s">
        <v>46</v>
      </c>
      <c r="C34" s="64"/>
      <c r="D34" s="177"/>
      <c r="E34" s="34"/>
      <c r="F34" s="34"/>
      <c r="G34" s="34"/>
      <c r="H34" s="64"/>
      <c r="I34" s="34"/>
      <c r="J34" s="157"/>
      <c r="K34" s="33"/>
      <c r="L34" s="33"/>
      <c r="M34" s="59"/>
    </row>
    <row r="35" spans="1:16" outlineLevel="1" x14ac:dyDescent="0.25">
      <c r="A35" s="45" t="s">
        <v>22</v>
      </c>
      <c r="C35" s="174">
        <f t="shared" ref="C35:M35" si="9">C27-C15</f>
        <v>6096.0999999999985</v>
      </c>
      <c r="D35" s="178">
        <f t="shared" si="9"/>
        <v>0</v>
      </c>
      <c r="E35" s="40">
        <f t="shared" si="9"/>
        <v>3364.8600000000006</v>
      </c>
      <c r="F35" s="40">
        <f t="shared" si="9"/>
        <v>16756.920000000002</v>
      </c>
      <c r="G35" s="102">
        <f t="shared" si="9"/>
        <v>17496.069999999996</v>
      </c>
      <c r="H35" s="39">
        <f t="shared" si="9"/>
        <v>53884.14</v>
      </c>
      <c r="I35" s="40">
        <f t="shared" si="9"/>
        <v>-1681.9700000000012</v>
      </c>
      <c r="J35" s="60">
        <f t="shared" si="9"/>
        <v>-10062.810000000001</v>
      </c>
      <c r="K35" s="113">
        <f t="shared" si="9"/>
        <v>-5512.3500000000022</v>
      </c>
      <c r="L35" s="40">
        <f t="shared" si="9"/>
        <v>-12528.74</v>
      </c>
      <c r="M35" s="60">
        <f t="shared" si="9"/>
        <v>-32295.15</v>
      </c>
    </row>
    <row r="36" spans="1:16" outlineLevel="1" x14ac:dyDescent="0.25">
      <c r="A36" s="45" t="s">
        <v>94</v>
      </c>
      <c r="C36" s="174">
        <f t="shared" ref="C36:M36" si="10">C28-C16</f>
        <v>662.65000000000873</v>
      </c>
      <c r="D36" s="178">
        <f t="shared" si="10"/>
        <v>0</v>
      </c>
      <c r="E36" s="40">
        <f t="shared" si="10"/>
        <v>6494.5</v>
      </c>
      <c r="F36" s="40">
        <f t="shared" si="10"/>
        <v>19789.07</v>
      </c>
      <c r="G36" s="102">
        <f t="shared" si="10"/>
        <v>13901.190000000002</v>
      </c>
      <c r="H36" s="39">
        <f t="shared" si="10"/>
        <v>13398.730000000003</v>
      </c>
      <c r="I36" s="40">
        <f t="shared" si="10"/>
        <v>140.27000000000407</v>
      </c>
      <c r="J36" s="60">
        <f t="shared" si="10"/>
        <v>-11675.480000000003</v>
      </c>
      <c r="K36" s="113">
        <f t="shared" si="10"/>
        <v>-3911.5800000000017</v>
      </c>
      <c r="L36" s="40">
        <f t="shared" si="10"/>
        <v>-5046.9900000000016</v>
      </c>
      <c r="M36" s="60">
        <f t="shared" si="10"/>
        <v>-41216.29</v>
      </c>
    </row>
    <row r="37" spans="1:16" outlineLevel="1" x14ac:dyDescent="0.25">
      <c r="A37" s="45" t="s">
        <v>95</v>
      </c>
      <c r="C37" s="174">
        <f t="shared" ref="C37:M37" si="11">C29-C17</f>
        <v>20062.589999999997</v>
      </c>
      <c r="D37" s="178">
        <f t="shared" si="11"/>
        <v>0</v>
      </c>
      <c r="E37" s="40">
        <f t="shared" si="11"/>
        <v>-175.51000000000204</v>
      </c>
      <c r="F37" s="40">
        <f t="shared" si="11"/>
        <v>3421.4200000000019</v>
      </c>
      <c r="G37" s="102">
        <f t="shared" si="11"/>
        <v>241.54000000000087</v>
      </c>
      <c r="H37" s="39">
        <f t="shared" si="11"/>
        <v>4861.3700000000026</v>
      </c>
      <c r="I37" s="40">
        <f t="shared" si="11"/>
        <v>-6209.6400000000031</v>
      </c>
      <c r="J37" s="60">
        <f t="shared" si="11"/>
        <v>-9311.2199999999975</v>
      </c>
      <c r="K37" s="113">
        <f t="shared" si="11"/>
        <v>-4965.2799999999988</v>
      </c>
      <c r="L37" s="40">
        <f t="shared" si="11"/>
        <v>-6394.93</v>
      </c>
      <c r="M37" s="60">
        <f t="shared" si="11"/>
        <v>-29725.75</v>
      </c>
    </row>
    <row r="38" spans="1:16" outlineLevel="1" x14ac:dyDescent="0.25">
      <c r="A38" s="45" t="s">
        <v>96</v>
      </c>
      <c r="C38" s="174">
        <f t="shared" ref="C38:M38" si="12">C30-C18</f>
        <v>3481.630000000001</v>
      </c>
      <c r="D38" s="178">
        <f t="shared" si="12"/>
        <v>0</v>
      </c>
      <c r="E38" s="40">
        <f t="shared" si="12"/>
        <v>-978.09999999999945</v>
      </c>
      <c r="F38" s="40">
        <f t="shared" si="12"/>
        <v>681.13000000000011</v>
      </c>
      <c r="G38" s="102">
        <f t="shared" si="12"/>
        <v>439.21999999999935</v>
      </c>
      <c r="H38" s="39">
        <f t="shared" si="12"/>
        <v>5973.56</v>
      </c>
      <c r="I38" s="40">
        <f t="shared" si="12"/>
        <v>-2570.25</v>
      </c>
      <c r="J38" s="60">
        <f t="shared" si="12"/>
        <v>-5538.9100000000008</v>
      </c>
      <c r="K38" s="113">
        <f t="shared" si="12"/>
        <v>-1151.1199999999999</v>
      </c>
      <c r="L38" s="40">
        <f t="shared" si="12"/>
        <v>-1487.0100000000002</v>
      </c>
      <c r="M38" s="60">
        <f t="shared" si="12"/>
        <v>-6883.48</v>
      </c>
    </row>
    <row r="39" spans="1:16" outlineLevel="1" x14ac:dyDescent="0.25">
      <c r="C39" s="96"/>
      <c r="D39" s="169"/>
      <c r="E39" s="30"/>
      <c r="F39" s="16"/>
      <c r="G39" s="16"/>
      <c r="H39" s="9"/>
      <c r="I39" s="16"/>
      <c r="J39" s="10"/>
      <c r="K39" s="16"/>
      <c r="L39" s="16"/>
      <c r="M39" s="10"/>
    </row>
    <row r="40" spans="1:16" ht="15.75" outlineLevel="1" thickBot="1" x14ac:dyDescent="0.3">
      <c r="A40" s="45" t="s">
        <v>47</v>
      </c>
      <c r="C40" s="96"/>
      <c r="D40" s="169"/>
      <c r="E40" s="16"/>
      <c r="F40" s="16"/>
      <c r="G40" s="16"/>
      <c r="H40" s="9"/>
      <c r="I40" s="16"/>
      <c r="J40" s="10"/>
      <c r="K40" s="16"/>
      <c r="L40" s="16"/>
      <c r="M40" s="10"/>
    </row>
    <row r="41" spans="1:16" outlineLevel="1" x14ac:dyDescent="0.25">
      <c r="A41" s="45" t="s">
        <v>22</v>
      </c>
      <c r="B41" s="284">
        <v>36724.330000000315</v>
      </c>
      <c r="C41" s="174">
        <f t="shared" ref="C41:M41" si="13">+B41+C35+B48</f>
        <v>42820.430000000313</v>
      </c>
      <c r="D41" s="178">
        <f t="shared" si="13"/>
        <v>42377.660000000316</v>
      </c>
      <c r="E41" s="40">
        <f t="shared" si="13"/>
        <v>45742.520000000317</v>
      </c>
      <c r="F41" s="40">
        <f t="shared" si="13"/>
        <v>62707.920000000326</v>
      </c>
      <c r="G41" s="102">
        <f t="shared" si="13"/>
        <v>80460.610000000321</v>
      </c>
      <c r="H41" s="39">
        <f t="shared" si="13"/>
        <v>134685.05000000031</v>
      </c>
      <c r="I41" s="40">
        <f t="shared" si="13"/>
        <v>133513.66000000029</v>
      </c>
      <c r="J41" s="60">
        <f t="shared" si="13"/>
        <v>124069.1500000003</v>
      </c>
      <c r="K41" s="113">
        <f t="shared" si="13"/>
        <v>119136.28000000029</v>
      </c>
      <c r="L41" s="40">
        <f t="shared" si="13"/>
        <v>107154.67000000029</v>
      </c>
      <c r="M41" s="60">
        <f t="shared" si="13"/>
        <v>75368.610000000277</v>
      </c>
    </row>
    <row r="42" spans="1:16" outlineLevel="1" x14ac:dyDescent="0.25">
      <c r="A42" s="45" t="s">
        <v>94</v>
      </c>
      <c r="B42" s="287">
        <v>-7561.070000000047</v>
      </c>
      <c r="C42" s="174">
        <f t="shared" ref="C42:M42" si="14">+B42+C36+B49</f>
        <v>-6898.4200000000383</v>
      </c>
      <c r="D42" s="178">
        <f t="shared" si="14"/>
        <v>-6931.1500000000378</v>
      </c>
      <c r="E42" s="40">
        <f t="shared" si="14"/>
        <v>-436.65000000003783</v>
      </c>
      <c r="F42" s="40">
        <f t="shared" si="14"/>
        <v>19334.989999999962</v>
      </c>
      <c r="G42" s="102">
        <f t="shared" si="14"/>
        <v>33280.76999999996</v>
      </c>
      <c r="H42" s="39">
        <f t="shared" si="14"/>
        <v>46804.449999999961</v>
      </c>
      <c r="I42" s="40">
        <f t="shared" si="14"/>
        <v>47134.769999999968</v>
      </c>
      <c r="J42" s="60">
        <f t="shared" si="14"/>
        <v>35675.879999999961</v>
      </c>
      <c r="K42" s="113">
        <f t="shared" si="14"/>
        <v>31950.639999999959</v>
      </c>
      <c r="L42" s="40">
        <f t="shared" si="14"/>
        <v>27055.839999999956</v>
      </c>
      <c r="M42" s="60">
        <f t="shared" si="14"/>
        <v>-14027.680000000044</v>
      </c>
    </row>
    <row r="43" spans="1:16" outlineLevel="1" x14ac:dyDescent="0.25">
      <c r="A43" s="45" t="s">
        <v>95</v>
      </c>
      <c r="B43" s="287">
        <v>45620.710000000028</v>
      </c>
      <c r="C43" s="174">
        <f t="shared" ref="C43:M43" si="15">+B43+C37+B50</f>
        <v>65683.300000000017</v>
      </c>
      <c r="D43" s="178">
        <f t="shared" si="15"/>
        <v>65068.220000000016</v>
      </c>
      <c r="E43" s="40">
        <f t="shared" si="15"/>
        <v>64892.710000000014</v>
      </c>
      <c r="F43" s="40">
        <f t="shared" si="15"/>
        <v>68621.60000000002</v>
      </c>
      <c r="G43" s="102">
        <f t="shared" si="15"/>
        <v>69179.180000000008</v>
      </c>
      <c r="H43" s="39">
        <f t="shared" si="15"/>
        <v>74368.260000000024</v>
      </c>
      <c r="I43" s="40">
        <f t="shared" si="15"/>
        <v>68499.530000000028</v>
      </c>
      <c r="J43" s="60">
        <f t="shared" si="15"/>
        <v>59517.830000000024</v>
      </c>
      <c r="K43" s="113">
        <f t="shared" si="15"/>
        <v>54840.600000000028</v>
      </c>
      <c r="L43" s="40">
        <f t="shared" si="15"/>
        <v>48702.97000000003</v>
      </c>
      <c r="M43" s="60">
        <f t="shared" si="15"/>
        <v>19210.180000000029</v>
      </c>
    </row>
    <row r="44" spans="1:16" ht="15.75" outlineLevel="1" thickBot="1" x14ac:dyDescent="0.3">
      <c r="A44" s="45" t="s">
        <v>96</v>
      </c>
      <c r="B44" s="285">
        <v>10250.730000000045</v>
      </c>
      <c r="C44" s="174">
        <f t="shared" ref="C44:M44" si="16">+B44+C38+B51</f>
        <v>13732.360000000046</v>
      </c>
      <c r="D44" s="178">
        <f t="shared" si="16"/>
        <v>13601.040000000046</v>
      </c>
      <c r="E44" s="40">
        <f t="shared" si="16"/>
        <v>12622.940000000046</v>
      </c>
      <c r="F44" s="40">
        <f t="shared" si="16"/>
        <v>13366.110000000048</v>
      </c>
      <c r="G44" s="102">
        <f t="shared" si="16"/>
        <v>13866.850000000048</v>
      </c>
      <c r="H44" s="39">
        <f t="shared" si="16"/>
        <v>19905.170000000046</v>
      </c>
      <c r="I44" s="40">
        <f t="shared" si="16"/>
        <v>17415.090000000044</v>
      </c>
      <c r="J44" s="60">
        <f t="shared" si="16"/>
        <v>11962.240000000043</v>
      </c>
      <c r="K44" s="113">
        <f t="shared" si="16"/>
        <v>10877.240000000043</v>
      </c>
      <c r="L44" s="40">
        <f t="shared" si="16"/>
        <v>9441.6400000000431</v>
      </c>
      <c r="M44" s="60">
        <f t="shared" si="16"/>
        <v>2603.8800000000433</v>
      </c>
    </row>
    <row r="45" spans="1:16" outlineLevel="1" x14ac:dyDescent="0.25">
      <c r="C45" s="96"/>
      <c r="D45" s="169"/>
      <c r="E45" s="16"/>
      <c r="F45" s="16"/>
      <c r="G45" s="16"/>
      <c r="H45" s="9"/>
      <c r="I45" s="16"/>
      <c r="J45" s="10"/>
      <c r="K45" s="16"/>
      <c r="L45" s="16"/>
      <c r="M45" s="10"/>
    </row>
    <row r="46" spans="1:16" outlineLevel="1" x14ac:dyDescent="0.25">
      <c r="A46" s="38" t="s">
        <v>108</v>
      </c>
      <c r="B46" s="38"/>
      <c r="C46" s="99"/>
      <c r="D46" s="179"/>
      <c r="E46" s="289">
        <f>+'PCR Cycle 3'!E45</f>
        <v>4.7316600000000004E-3</v>
      </c>
      <c r="F46" s="289">
        <f>+'PCR Cycle 3'!F45</f>
        <v>4.7233199999999996E-3</v>
      </c>
      <c r="G46" s="289">
        <f>+'PCR Cycle 3'!G45</f>
        <v>4.7454000000000003E-3</v>
      </c>
      <c r="H46" s="290">
        <f>+'PCR Cycle 3'!H45</f>
        <v>4.7389099999999998E-3</v>
      </c>
      <c r="I46" s="289">
        <f>+'PCR Cycle 3'!I45</f>
        <v>4.6019700000000004E-3</v>
      </c>
      <c r="J46" s="291">
        <f>+'PCR Cycle 3'!J45</f>
        <v>4.4886099999999996E-3</v>
      </c>
      <c r="K46" s="80">
        <f>J46</f>
        <v>4.4886099999999996E-3</v>
      </c>
      <c r="L46" s="80">
        <f>J46</f>
        <v>4.4886099999999996E-3</v>
      </c>
      <c r="M46" s="82"/>
    </row>
    <row r="47" spans="1:16" x14ac:dyDescent="0.25">
      <c r="A47" s="38" t="s">
        <v>31</v>
      </c>
      <c r="B47" s="38"/>
      <c r="C47" s="100"/>
      <c r="D47" s="180"/>
      <c r="E47" s="80"/>
      <c r="F47" s="80"/>
      <c r="G47" s="80"/>
      <c r="H47" s="81"/>
      <c r="I47" s="80"/>
      <c r="J47" s="82"/>
      <c r="K47" s="80"/>
      <c r="L47" s="80"/>
      <c r="M47" s="82"/>
    </row>
    <row r="48" spans="1:16" x14ac:dyDescent="0.25">
      <c r="A48" s="45" t="s">
        <v>22</v>
      </c>
      <c r="C48" s="338">
        <v>-442.77</v>
      </c>
      <c r="D48" s="350"/>
      <c r="E48" s="40">
        <f t="shared" ref="E48:M48" si="17">ROUND((D41+D48+E35/2)*E$46,2)</f>
        <v>208.48</v>
      </c>
      <c r="F48" s="40">
        <f t="shared" si="17"/>
        <v>256.62</v>
      </c>
      <c r="G48" s="102">
        <f t="shared" si="17"/>
        <v>340.3</v>
      </c>
      <c r="H48" s="39">
        <f t="shared" si="17"/>
        <v>510.58</v>
      </c>
      <c r="I48" s="113">
        <f t="shared" si="17"/>
        <v>618.29999999999995</v>
      </c>
      <c r="J48" s="60">
        <f t="shared" si="17"/>
        <v>579.48</v>
      </c>
      <c r="K48" s="147">
        <f t="shared" si="17"/>
        <v>547.13</v>
      </c>
      <c r="L48" s="102">
        <f t="shared" si="17"/>
        <v>509.09</v>
      </c>
      <c r="M48" s="60">
        <f t="shared" si="17"/>
        <v>0</v>
      </c>
      <c r="P48" s="166">
        <f t="shared" ref="P48:P51" si="18">-SUM(K48:M48)</f>
        <v>-1056.22</v>
      </c>
    </row>
    <row r="49" spans="1:18" x14ac:dyDescent="0.25">
      <c r="A49" s="45" t="s">
        <v>94</v>
      </c>
      <c r="C49" s="338">
        <v>-32.730000000000004</v>
      </c>
      <c r="D49" s="350"/>
      <c r="E49" s="40">
        <f t="shared" ref="E49:L49" si="19">ROUND((D42+D49+E36/2)*E$46,2)</f>
        <v>-17.43</v>
      </c>
      <c r="F49" s="40">
        <f t="shared" si="19"/>
        <v>44.59</v>
      </c>
      <c r="G49" s="102">
        <f t="shared" si="19"/>
        <v>124.95</v>
      </c>
      <c r="H49" s="39">
        <f t="shared" si="19"/>
        <v>190.05</v>
      </c>
      <c r="I49" s="113">
        <f t="shared" si="19"/>
        <v>216.59</v>
      </c>
      <c r="J49" s="60">
        <f t="shared" si="19"/>
        <v>186.34</v>
      </c>
      <c r="K49" s="147">
        <f t="shared" si="19"/>
        <v>152.19</v>
      </c>
      <c r="L49" s="102">
        <f t="shared" si="19"/>
        <v>132.77000000000001</v>
      </c>
      <c r="M49" s="60"/>
      <c r="P49" s="166">
        <f t="shared" si="18"/>
        <v>-284.96000000000004</v>
      </c>
    </row>
    <row r="50" spans="1:18" x14ac:dyDescent="0.25">
      <c r="A50" s="45" t="s">
        <v>95</v>
      </c>
      <c r="C50" s="338">
        <v>-615.07999999999993</v>
      </c>
      <c r="D50" s="350"/>
      <c r="E50" s="40">
        <f t="shared" ref="E50:L50" si="20">ROUND((D43+D50+E37/2)*E$46,2)</f>
        <v>307.47000000000003</v>
      </c>
      <c r="F50" s="40">
        <f t="shared" si="20"/>
        <v>316.04000000000002</v>
      </c>
      <c r="G50" s="102">
        <f t="shared" si="20"/>
        <v>327.71</v>
      </c>
      <c r="H50" s="39">
        <f t="shared" si="20"/>
        <v>340.91</v>
      </c>
      <c r="I50" s="113">
        <f t="shared" si="20"/>
        <v>329.52</v>
      </c>
      <c r="J50" s="60">
        <f t="shared" si="20"/>
        <v>288.05</v>
      </c>
      <c r="K50" s="147">
        <f t="shared" si="20"/>
        <v>257.3</v>
      </c>
      <c r="L50" s="102">
        <f t="shared" si="20"/>
        <v>232.96</v>
      </c>
      <c r="M50" s="60"/>
      <c r="P50" s="166">
        <f t="shared" si="18"/>
        <v>-490.26</v>
      </c>
    </row>
    <row r="51" spans="1:18" ht="15.75" thickBot="1" x14ac:dyDescent="0.3">
      <c r="A51" s="45" t="s">
        <v>96</v>
      </c>
      <c r="C51" s="338">
        <v>-131.32</v>
      </c>
      <c r="D51" s="350"/>
      <c r="E51" s="40">
        <f t="shared" ref="E51:L51" si="21">ROUND((D44+D51+E38/2)*E$46,2)</f>
        <v>62.04</v>
      </c>
      <c r="F51" s="40">
        <f t="shared" si="21"/>
        <v>61.52</v>
      </c>
      <c r="G51" s="102">
        <f t="shared" si="21"/>
        <v>64.760000000000005</v>
      </c>
      <c r="H51" s="39">
        <f t="shared" si="21"/>
        <v>80.17</v>
      </c>
      <c r="I51" s="113">
        <f t="shared" si="21"/>
        <v>86.06</v>
      </c>
      <c r="J51" s="60">
        <f t="shared" si="21"/>
        <v>66.12</v>
      </c>
      <c r="K51" s="147">
        <f t="shared" si="21"/>
        <v>51.41</v>
      </c>
      <c r="L51" s="102">
        <f t="shared" si="21"/>
        <v>45.72</v>
      </c>
      <c r="M51" s="60">
        <f>ROUND((L44+L51+M38/2)*M$46,2)</f>
        <v>0</v>
      </c>
      <c r="P51" s="166">
        <f t="shared" si="18"/>
        <v>-97.13</v>
      </c>
    </row>
    <row r="52" spans="1:18" ht="16.5" thickTop="1" thickBot="1" x14ac:dyDescent="0.3">
      <c r="A52" s="53" t="s">
        <v>20</v>
      </c>
      <c r="B52" s="53"/>
      <c r="C52" s="175">
        <v>0</v>
      </c>
      <c r="D52" s="181"/>
      <c r="E52" s="41">
        <f t="shared" ref="E52:M52" si="22">SUM(E48:E51)+SUM(E41:E44)-E55</f>
        <v>0</v>
      </c>
      <c r="F52" s="41">
        <f t="shared" si="22"/>
        <v>0</v>
      </c>
      <c r="G52" s="49">
        <f t="shared" si="22"/>
        <v>0</v>
      </c>
      <c r="H52" s="50">
        <f t="shared" si="22"/>
        <v>0</v>
      </c>
      <c r="I52" s="41">
        <f t="shared" si="22"/>
        <v>0</v>
      </c>
      <c r="J52" s="61">
        <f t="shared" si="22"/>
        <v>0</v>
      </c>
      <c r="K52" s="148">
        <f t="shared" si="22"/>
        <v>0</v>
      </c>
      <c r="L52" s="49">
        <f t="shared" si="22"/>
        <v>0</v>
      </c>
      <c r="M52" s="61">
        <f t="shared" si="22"/>
        <v>0</v>
      </c>
    </row>
    <row r="53" spans="1:18" ht="16.5" thickTop="1" thickBot="1" x14ac:dyDescent="0.3">
      <c r="A53" s="53" t="s">
        <v>21</v>
      </c>
      <c r="B53" s="53"/>
      <c r="C53" s="175">
        <v>0</v>
      </c>
      <c r="D53" s="181"/>
      <c r="E53" s="41">
        <f t="shared" ref="E53:M53" si="23">SUM(E48:E51)-E32</f>
        <v>0</v>
      </c>
      <c r="F53" s="41">
        <f t="shared" si="23"/>
        <v>0</v>
      </c>
      <c r="G53" s="49">
        <f t="shared" si="23"/>
        <v>0</v>
      </c>
      <c r="H53" s="50">
        <f t="shared" si="23"/>
        <v>0</v>
      </c>
      <c r="I53" s="41">
        <f t="shared" si="23"/>
        <v>0</v>
      </c>
      <c r="J53" s="61">
        <f t="shared" si="23"/>
        <v>0</v>
      </c>
      <c r="K53" s="149">
        <f>SUM(K48:K51)-K32</f>
        <v>0</v>
      </c>
      <c r="L53" s="41">
        <f t="shared" si="23"/>
        <v>0</v>
      </c>
      <c r="M53" s="41">
        <f t="shared" si="23"/>
        <v>0</v>
      </c>
    </row>
    <row r="54" spans="1:18" ht="16.5" thickTop="1" thickBot="1" x14ac:dyDescent="0.3">
      <c r="C54" s="96"/>
      <c r="D54" s="169"/>
      <c r="E54" s="16"/>
      <c r="F54" s="16"/>
      <c r="G54" s="16"/>
      <c r="H54" s="9"/>
      <c r="I54" s="16"/>
      <c r="J54" s="10"/>
      <c r="K54" s="16"/>
      <c r="L54" s="16"/>
      <c r="M54" s="10"/>
      <c r="Q54" s="509"/>
      <c r="R54" s="509"/>
    </row>
    <row r="55" spans="1:18" ht="15.75" thickBot="1" x14ac:dyDescent="0.3">
      <c r="A55" s="45" t="s">
        <v>30</v>
      </c>
      <c r="B55" s="110">
        <f>SUM(B41:B44)</f>
        <v>85034.700000000332</v>
      </c>
      <c r="C55" s="174">
        <f t="shared" ref="C55:M55" si="24">(C12-SUM(C15:C18))+SUM(C48:C51)+B55</f>
        <v>114115.77000000034</v>
      </c>
      <c r="D55" s="178">
        <f t="shared" si="24"/>
        <v>114115.77000000034</v>
      </c>
      <c r="E55" s="40">
        <f t="shared" si="24"/>
        <v>123382.08000000035</v>
      </c>
      <c r="F55" s="40">
        <f t="shared" si="24"/>
        <v>164709.39000000036</v>
      </c>
      <c r="G55" s="102">
        <f t="shared" si="24"/>
        <v>197645.13000000038</v>
      </c>
      <c r="H55" s="39">
        <f t="shared" si="24"/>
        <v>276884.64000000036</v>
      </c>
      <c r="I55" s="40">
        <f t="shared" si="24"/>
        <v>267813.52000000037</v>
      </c>
      <c r="J55" s="60">
        <f t="shared" si="24"/>
        <v>232345.09000000037</v>
      </c>
      <c r="K55" s="147">
        <f t="shared" si="24"/>
        <v>217812.79000000039</v>
      </c>
      <c r="L55" s="102">
        <f t="shared" si="24"/>
        <v>193275.66000000038</v>
      </c>
      <c r="M55" s="60">
        <f t="shared" si="24"/>
        <v>83154.990000000384</v>
      </c>
      <c r="Q55" s="509"/>
      <c r="R55" s="509"/>
    </row>
    <row r="56" spans="1:18" x14ac:dyDescent="0.25">
      <c r="A56" s="45" t="s">
        <v>10</v>
      </c>
      <c r="C56" s="111"/>
      <c r="D56" s="182"/>
      <c r="E56" s="16"/>
      <c r="F56" s="16"/>
      <c r="G56" s="16"/>
      <c r="H56" s="9"/>
      <c r="I56" s="16"/>
      <c r="J56" s="10"/>
      <c r="K56" s="16"/>
      <c r="L56" s="16"/>
      <c r="M56" s="10"/>
      <c r="Q56" s="509"/>
      <c r="R56" s="509"/>
    </row>
    <row r="57" spans="1:18" ht="15.75" thickBot="1" x14ac:dyDescent="0.3">
      <c r="A57" s="36"/>
      <c r="B57" s="36"/>
      <c r="C57" s="134"/>
      <c r="D57" s="183"/>
      <c r="E57" s="43"/>
      <c r="F57" s="43"/>
      <c r="G57" s="43"/>
      <c r="H57" s="42"/>
      <c r="I57" s="43"/>
      <c r="J57" s="44"/>
      <c r="K57" s="43"/>
      <c r="L57" s="43"/>
      <c r="M57" s="44"/>
    </row>
    <row r="59" spans="1:18" x14ac:dyDescent="0.25">
      <c r="A59" s="68" t="s">
        <v>9</v>
      </c>
      <c r="B59" s="68"/>
      <c r="C59" s="68"/>
      <c r="D59" s="68"/>
    </row>
    <row r="60" spans="1:18" ht="28.9" customHeight="1" x14ac:dyDescent="0.25">
      <c r="A60" s="537" t="s">
        <v>241</v>
      </c>
      <c r="B60" s="537"/>
      <c r="C60" s="537"/>
      <c r="D60" s="537"/>
      <c r="E60" s="537"/>
      <c r="F60" s="537"/>
      <c r="G60" s="537"/>
      <c r="H60" s="537"/>
      <c r="I60" s="537"/>
      <c r="J60" s="537"/>
      <c r="K60" s="525"/>
      <c r="L60" s="525"/>
      <c r="M60" s="202"/>
    </row>
    <row r="61" spans="1:18" ht="30.6" customHeight="1" x14ac:dyDescent="0.25">
      <c r="A61" s="545" t="s">
        <v>267</v>
      </c>
      <c r="B61" s="545"/>
      <c r="C61" s="545"/>
      <c r="D61" s="545"/>
      <c r="E61" s="545"/>
      <c r="F61" s="545"/>
      <c r="G61" s="545"/>
      <c r="H61" s="545"/>
      <c r="I61" s="545"/>
      <c r="J61" s="545"/>
      <c r="K61" s="545"/>
      <c r="L61" s="545"/>
      <c r="M61" s="202"/>
    </row>
    <row r="62" spans="1:18" ht="33.75" customHeight="1" x14ac:dyDescent="0.25">
      <c r="A62" s="537" t="s">
        <v>242</v>
      </c>
      <c r="B62" s="537"/>
      <c r="C62" s="537"/>
      <c r="D62" s="537"/>
      <c r="E62" s="537"/>
      <c r="F62" s="537"/>
      <c r="G62" s="537"/>
      <c r="H62" s="537"/>
      <c r="I62" s="537"/>
      <c r="J62" s="537"/>
      <c r="K62" s="525"/>
      <c r="L62" s="525"/>
      <c r="M62" s="202"/>
    </row>
    <row r="63" spans="1:18" x14ac:dyDescent="0.25">
      <c r="A63" s="537" t="s">
        <v>220</v>
      </c>
      <c r="B63" s="537"/>
      <c r="C63" s="537"/>
      <c r="D63" s="537"/>
      <c r="E63" s="537"/>
      <c r="F63" s="537"/>
      <c r="G63" s="537"/>
      <c r="H63" s="537"/>
      <c r="I63" s="537"/>
      <c r="J63" s="537"/>
      <c r="K63" s="388"/>
      <c r="L63" s="388"/>
    </row>
    <row r="64" spans="1:18" x14ac:dyDescent="0.25">
      <c r="A64" s="408" t="s">
        <v>271</v>
      </c>
      <c r="B64" s="408"/>
      <c r="C64" s="408"/>
      <c r="D64" s="408"/>
      <c r="E64" s="388"/>
      <c r="F64" s="388"/>
      <c r="G64" s="388"/>
      <c r="H64" s="388"/>
      <c r="I64" s="388"/>
      <c r="J64" s="388"/>
      <c r="K64" s="388"/>
      <c r="L64" s="388"/>
    </row>
    <row r="65" spans="1:12" x14ac:dyDescent="0.25">
      <c r="A65" s="408" t="s">
        <v>61</v>
      </c>
      <c r="B65" s="408"/>
      <c r="C65" s="408"/>
      <c r="D65" s="408"/>
      <c r="E65" s="388"/>
      <c r="F65" s="388"/>
      <c r="G65" s="388"/>
      <c r="H65" s="388"/>
      <c r="I65" s="388"/>
      <c r="J65" s="388"/>
      <c r="K65" s="388"/>
      <c r="L65" s="388"/>
    </row>
    <row r="66" spans="1:12" x14ac:dyDescent="0.25">
      <c r="A66" s="541"/>
      <c r="B66" s="542"/>
      <c r="C66" s="542"/>
      <c r="D66" s="542"/>
      <c r="E66" s="542"/>
      <c r="F66" s="542"/>
      <c r="G66" s="542"/>
      <c r="H66" s="543"/>
      <c r="I66" s="543"/>
      <c r="J66" s="543"/>
      <c r="K66" s="543"/>
    </row>
    <row r="67" spans="1:12" x14ac:dyDescent="0.25">
      <c r="A67" s="542"/>
      <c r="B67" s="542"/>
      <c r="C67" s="542"/>
      <c r="D67" s="542"/>
      <c r="E67" s="542"/>
      <c r="F67" s="542"/>
      <c r="G67" s="542"/>
      <c r="H67" s="543"/>
      <c r="I67" s="543"/>
      <c r="J67" s="543"/>
      <c r="K67" s="543"/>
    </row>
  </sheetData>
  <mergeCells count="8">
    <mergeCell ref="A66:K67"/>
    <mergeCell ref="A63:J63"/>
    <mergeCell ref="A62:J62"/>
    <mergeCell ref="E10:G10"/>
    <mergeCell ref="H10:J10"/>
    <mergeCell ref="K10:M10"/>
    <mergeCell ref="A60:J60"/>
    <mergeCell ref="A61:L61"/>
  </mergeCells>
  <pageMargins left="0.2" right="0.2" top="0.75" bottom="0.25" header="0.3" footer="0.3"/>
  <pageSetup scale="49" orientation="landscape" r:id="rId1"/>
  <headerFooter>
    <oddHeader>&amp;C&amp;F &amp;A&amp;R&amp;"Arial"&amp;10&amp;K000000CONFIDENTIAL</oddHeader>
    <oddFooter xml:space="preserve">&amp;R_x000D_&amp;1#&amp;"Calibri"&amp;10&amp;KA80000 Restricted – Sensitive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64F15-FC2E-4DE8-9E25-A1666334CCC3}">
  <sheetPr>
    <pageSetUpPr fitToPage="1"/>
  </sheetPr>
  <dimension ref="A1:AJ67"/>
  <sheetViews>
    <sheetView zoomScale="85" zoomScaleNormal="85" workbookViewId="0">
      <pane xSplit="2" ySplit="11" topLeftCell="C12" activePane="bottomRight" state="frozen"/>
      <selection pane="topRight"/>
      <selection pane="bottomLeft"/>
      <selection pane="bottomRight" activeCell="O61" sqref="O61"/>
    </sheetView>
  </sheetViews>
  <sheetFormatPr defaultColWidth="9.140625" defaultRowHeight="15" outlineLevelRow="1" outlineLevelCol="1" x14ac:dyDescent="0.25"/>
  <cols>
    <col min="1" max="1" width="61.7109375" style="359" customWidth="1"/>
    <col min="2" max="3" width="20.7109375" style="359" customWidth="1"/>
    <col min="4" max="4" width="12.42578125" style="359" hidden="1" customWidth="1" outlineLevel="1"/>
    <col min="5" max="5" width="15.42578125" style="359" customWidth="1" collapsed="1"/>
    <col min="6" max="6" width="15.85546875" style="359" customWidth="1"/>
    <col min="7" max="7" width="12.28515625" style="359" customWidth="1"/>
    <col min="8" max="9" width="13.28515625" style="359" customWidth="1"/>
    <col min="10" max="10" width="12.28515625" style="359" bestFit="1" customWidth="1"/>
    <col min="11" max="11" width="11.5703125" style="359" bestFit="1" customWidth="1"/>
    <col min="12" max="12" width="12.85546875" style="359" customWidth="1"/>
    <col min="13" max="13" width="12.28515625" style="359" bestFit="1" customWidth="1"/>
    <col min="14" max="14" width="15" style="359" bestFit="1" customWidth="1"/>
    <col min="15" max="15" width="16" style="359" bestFit="1" customWidth="1"/>
    <col min="16" max="16" width="17.85546875" style="464" hidden="1" customWidth="1" outlineLevel="1"/>
    <col min="17" max="17" width="15.28515625" style="359" bestFit="1" customWidth="1" collapsed="1"/>
    <col min="18" max="18" width="17.42578125" style="359" bestFit="1" customWidth="1"/>
    <col min="19" max="19" width="16.28515625" style="359" bestFit="1" customWidth="1"/>
    <col min="20" max="20" width="15.28515625" style="359" bestFit="1" customWidth="1"/>
    <col min="21" max="21" width="12.42578125" style="359" customWidth="1"/>
    <col min="22" max="23" width="14.28515625" style="359" bestFit="1" customWidth="1"/>
    <col min="24" max="16384" width="9.140625" style="359"/>
  </cols>
  <sheetData>
    <row r="1" spans="1:36" x14ac:dyDescent="0.25">
      <c r="A1" s="361" t="str">
        <f>+'PTD Cycle 3'!A1</f>
        <v>Evergy Missouri West, Inc. - DSIM Rider Update Filed 12/01/2025</v>
      </c>
      <c r="B1" s="361"/>
      <c r="C1" s="361"/>
      <c r="D1" s="361"/>
    </row>
    <row r="2" spans="1:36" x14ac:dyDescent="0.25">
      <c r="E2" s="361" t="s">
        <v>240</v>
      </c>
    </row>
    <row r="3" spans="1:36" ht="45" x14ac:dyDescent="0.25">
      <c r="E3" s="396" t="s">
        <v>40</v>
      </c>
      <c r="F3" s="415" t="s">
        <v>62</v>
      </c>
      <c r="G3" s="415" t="s">
        <v>48</v>
      </c>
      <c r="H3" s="396" t="s">
        <v>1</v>
      </c>
      <c r="I3" s="415" t="s">
        <v>49</v>
      </c>
      <c r="J3" s="396" t="s">
        <v>8</v>
      </c>
      <c r="K3" s="396" t="s">
        <v>7</v>
      </c>
      <c r="T3" s="396"/>
    </row>
    <row r="4" spans="1:36" x14ac:dyDescent="0.25">
      <c r="A4" s="374" t="s">
        <v>22</v>
      </c>
      <c r="B4" s="374"/>
      <c r="C4" s="374"/>
      <c r="D4" s="374"/>
      <c r="E4" s="375">
        <f>SUM(C15:M15)</f>
        <v>37880.339999999997</v>
      </c>
      <c r="F4" s="441">
        <f>N21</f>
        <v>23153.760000000002</v>
      </c>
      <c r="G4" s="375">
        <f>SUM(C27:L27)</f>
        <v>1706.98</v>
      </c>
      <c r="H4" s="375">
        <f>G4-E4</f>
        <v>-36173.359999999993</v>
      </c>
      <c r="I4" s="375">
        <f>+B41</f>
        <v>-69483.319999999992</v>
      </c>
      <c r="J4" s="375">
        <f>SUM(C48:L48)</f>
        <v>-2265.25</v>
      </c>
      <c r="K4" s="376">
        <f>SUM(H4:J4)</f>
        <v>-107921.93</v>
      </c>
      <c r="L4" s="395">
        <f>+K4-M41</f>
        <v>0</v>
      </c>
    </row>
    <row r="5" spans="1:36" x14ac:dyDescent="0.25">
      <c r="A5" s="374" t="s">
        <v>94</v>
      </c>
      <c r="B5" s="374"/>
      <c r="C5" s="374"/>
      <c r="D5" s="374"/>
      <c r="E5" s="375">
        <f>SUM(C16:M16)</f>
        <v>35332.18</v>
      </c>
      <c r="F5" s="441">
        <f>N22</f>
        <v>337363.5</v>
      </c>
      <c r="G5" s="375">
        <f>SUM(C28:L28)</f>
        <v>17440.03</v>
      </c>
      <c r="H5" s="375">
        <f t="shared" ref="H5:H6" si="0">G5-E5</f>
        <v>-17892.150000000001</v>
      </c>
      <c r="I5" s="375">
        <f>+B42</f>
        <v>-5191.3700000000008</v>
      </c>
      <c r="J5" s="375">
        <f>SUM(C49:L49)</f>
        <v>-313.84000000000003</v>
      </c>
      <c r="K5" s="376">
        <f t="shared" ref="K5:K6" si="1">SUM(H5:J5)</f>
        <v>-23397.360000000004</v>
      </c>
      <c r="L5" s="395">
        <f t="shared" ref="L5:L6" si="2">+K5-M42</f>
        <v>0</v>
      </c>
    </row>
    <row r="6" spans="1:36" x14ac:dyDescent="0.25">
      <c r="A6" s="374" t="s">
        <v>95</v>
      </c>
      <c r="B6" s="374"/>
      <c r="C6" s="374"/>
      <c r="D6" s="374"/>
      <c r="E6" s="375">
        <f>SUM(C17:M17)</f>
        <v>22225.390000000003</v>
      </c>
      <c r="F6" s="441">
        <f>N23</f>
        <v>102905.64</v>
      </c>
      <c r="G6" s="375">
        <f>SUM(C29:L29)</f>
        <v>2747.6099999999997</v>
      </c>
      <c r="H6" s="375">
        <f t="shared" si="0"/>
        <v>-19477.780000000002</v>
      </c>
      <c r="I6" s="375">
        <f>+B43</f>
        <v>-4551.2300000000005</v>
      </c>
      <c r="J6" s="375">
        <f>SUM(C50:L50)</f>
        <v>-314.02999999999997</v>
      </c>
      <c r="K6" s="376">
        <f t="shared" si="1"/>
        <v>-24343.040000000001</v>
      </c>
      <c r="L6" s="395">
        <f t="shared" si="2"/>
        <v>0</v>
      </c>
    </row>
    <row r="7" spans="1:36" ht="15.75" thickBot="1" x14ac:dyDescent="0.3">
      <c r="A7" s="374" t="s">
        <v>96</v>
      </c>
      <c r="B7" s="374"/>
      <c r="C7" s="374"/>
      <c r="D7" s="374"/>
      <c r="E7" s="375">
        <f>SUM(C18:M18)</f>
        <v>4684.7300000000005</v>
      </c>
      <c r="F7" s="441">
        <f>N24</f>
        <v>-12136.73</v>
      </c>
      <c r="G7" s="375">
        <f>SUM(C30:L30)</f>
        <v>-161.47</v>
      </c>
      <c r="H7" s="375">
        <f>G7-E7</f>
        <v>-4846.2000000000007</v>
      </c>
      <c r="I7" s="375">
        <f>+B44</f>
        <v>-3626.41</v>
      </c>
      <c r="J7" s="375">
        <f>SUM(C51:L51)</f>
        <v>-161.21</v>
      </c>
      <c r="K7" s="376">
        <f>SUM(H7:J7)</f>
        <v>-8633.82</v>
      </c>
      <c r="L7" s="395">
        <f>+K7-M44</f>
        <v>0</v>
      </c>
    </row>
    <row r="8" spans="1:36" ht="16.5" thickTop="1" thickBot="1" x14ac:dyDescent="0.3">
      <c r="E8" s="378">
        <f t="shared" ref="E8:K8" si="3">SUM(E4:E7)</f>
        <v>100122.63999999998</v>
      </c>
      <c r="F8" s="442">
        <f t="shared" si="3"/>
        <v>451286.17000000004</v>
      </c>
      <c r="G8" s="378">
        <f t="shared" si="3"/>
        <v>21733.149999999998</v>
      </c>
      <c r="H8" s="378">
        <f t="shared" si="3"/>
        <v>-78389.489999999991</v>
      </c>
      <c r="I8" s="378">
        <f t="shared" si="3"/>
        <v>-82852.329999999987</v>
      </c>
      <c r="J8" s="378">
        <f t="shared" si="3"/>
        <v>-3054.33</v>
      </c>
      <c r="K8" s="378">
        <f t="shared" si="3"/>
        <v>-164296.15000000002</v>
      </c>
      <c r="U8" s="363"/>
    </row>
    <row r="9" spans="1:36" ht="16.5" thickTop="1" thickBot="1" x14ac:dyDescent="0.3">
      <c r="W9" s="362"/>
      <c r="X9" s="363"/>
    </row>
    <row r="10" spans="1:36" ht="60.75" thickBot="1" x14ac:dyDescent="0.3">
      <c r="B10" s="434" t="str">
        <f>+'PCR Cycle 4'!B10</f>
        <v>Cumulative Over/Under Carryover From 06/01/2025 Filing</v>
      </c>
      <c r="C10" s="447" t="str">
        <f>+'PCR Cycle 4'!C10</f>
        <v>Reverse May 2025 - July 2025 Forecast From 06/01/2025 Filing</v>
      </c>
      <c r="D10" s="504"/>
      <c r="E10" s="544" t="s">
        <v>28</v>
      </c>
      <c r="F10" s="529"/>
      <c r="G10" s="530"/>
      <c r="H10" s="538" t="s">
        <v>28</v>
      </c>
      <c r="I10" s="539"/>
      <c r="J10" s="540"/>
      <c r="K10" s="534" t="s">
        <v>6</v>
      </c>
      <c r="L10" s="535"/>
      <c r="M10" s="536"/>
      <c r="P10" s="491" t="s">
        <v>196</v>
      </c>
    </row>
    <row r="11" spans="1:36" x14ac:dyDescent="0.25">
      <c r="A11" s="359" t="s">
        <v>56</v>
      </c>
      <c r="C11" s="551"/>
      <c r="D11" s="483"/>
      <c r="E11" s="322">
        <f>+'PCR Cycle 4'!E$11</f>
        <v>45808</v>
      </c>
      <c r="F11" s="322">
        <f>+'PCR Cycle 4'!F$11</f>
        <v>45838</v>
      </c>
      <c r="G11" s="322">
        <f>+'PCR Cycle 4'!G$11</f>
        <v>45869</v>
      </c>
      <c r="H11" s="551">
        <f>+'PCR Cycle 4'!H$11</f>
        <v>45900</v>
      </c>
      <c r="I11" s="322">
        <f>+'PCR Cycle 4'!I$11</f>
        <v>45930</v>
      </c>
      <c r="J11" s="552">
        <f>+'PCR Cycle 4'!J$11</f>
        <v>45961</v>
      </c>
      <c r="K11" s="322">
        <f>+'PCR Cycle 4'!K$11</f>
        <v>45991</v>
      </c>
      <c r="L11" s="322">
        <f>+'PCR Cycle 4'!L$11</f>
        <v>46022</v>
      </c>
      <c r="M11" s="553">
        <f>+'PCR Cycle 4'!M$11</f>
        <v>46053</v>
      </c>
      <c r="AA11" s="360"/>
      <c r="AB11" s="360"/>
      <c r="AC11" s="360"/>
      <c r="AD11" s="360"/>
      <c r="AE11" s="360"/>
      <c r="AF11" s="360"/>
      <c r="AG11" s="360"/>
      <c r="AH11" s="360"/>
      <c r="AI11" s="360"/>
      <c r="AJ11" s="360"/>
    </row>
    <row r="12" spans="1:36" x14ac:dyDescent="0.25">
      <c r="A12" s="359" t="s">
        <v>3</v>
      </c>
      <c r="C12" s="465">
        <v>-6964.4300000000012</v>
      </c>
      <c r="D12" s="467"/>
      <c r="E12" s="431">
        <f>SUM(E27:E30)</f>
        <v>134.22999999999999</v>
      </c>
      <c r="F12" s="431">
        <f t="shared" ref="F12:L12" si="4">SUM(F27:F30)</f>
        <v>1069.83</v>
      </c>
      <c r="G12" s="432">
        <f t="shared" si="4"/>
        <v>1965.4699999999998</v>
      </c>
      <c r="H12" s="370">
        <f t="shared" si="4"/>
        <v>4666.0600000000004</v>
      </c>
      <c r="I12" s="402">
        <f t="shared" si="4"/>
        <v>8767.75</v>
      </c>
      <c r="J12" s="455">
        <f t="shared" si="4"/>
        <v>3273.25</v>
      </c>
      <c r="K12" s="449">
        <f t="shared" si="4"/>
        <v>3899.1</v>
      </c>
      <c r="L12" s="419">
        <f t="shared" si="4"/>
        <v>4921.8899999999994</v>
      </c>
      <c r="M12" s="420"/>
      <c r="P12" s="464">
        <f>-SUM(K12:M12)</f>
        <v>-8820.99</v>
      </c>
    </row>
    <row r="13" spans="1:36" x14ac:dyDescent="0.25">
      <c r="C13" s="427"/>
      <c r="D13" s="468"/>
      <c r="E13" s="371"/>
      <c r="F13" s="371"/>
      <c r="G13" s="371"/>
      <c r="H13" s="365"/>
      <c r="I13" s="371"/>
      <c r="J13" s="366"/>
      <c r="K13" s="381"/>
      <c r="L13" s="381"/>
      <c r="M13" s="379"/>
    </row>
    <row r="14" spans="1:36" x14ac:dyDescent="0.25">
      <c r="A14" s="359" t="s">
        <v>55</v>
      </c>
      <c r="C14" s="427"/>
      <c r="D14" s="468"/>
      <c r="E14" s="236"/>
      <c r="F14" s="236"/>
      <c r="G14" s="236"/>
      <c r="H14" s="294"/>
      <c r="I14" s="236"/>
      <c r="J14" s="296"/>
      <c r="K14" s="234"/>
      <c r="L14" s="234"/>
      <c r="M14" s="523"/>
      <c r="N14" s="408" t="s">
        <v>59</v>
      </c>
      <c r="O14" s="388"/>
    </row>
    <row r="15" spans="1:36" x14ac:dyDescent="0.25">
      <c r="A15" s="359" t="s">
        <v>22</v>
      </c>
      <c r="C15" s="465">
        <v>-35648.11</v>
      </c>
      <c r="D15" s="467"/>
      <c r="E15" s="439">
        <f>ROUND('[9]May 2025'!$G132,2)</f>
        <v>8030.88</v>
      </c>
      <c r="F15" s="439">
        <f>ROUND('[9]June 2025'!$G132,2)</f>
        <v>10134.870000000001</v>
      </c>
      <c r="G15" s="439">
        <f>ROUND('[9]July 2025'!$G132+'[9]July 2025'!$G139,2)</f>
        <v>15810.8</v>
      </c>
      <c r="H15" s="370">
        <f>ROUND('[9]August 2025'!$G132+'[9]August 2025'!$G139,2)</f>
        <v>7916.53</v>
      </c>
      <c r="I15" s="402">
        <f>ROUND('[9]Sept 2025'!$G132+'[9]Sept 2025'!$G139,2)</f>
        <v>6481.79</v>
      </c>
      <c r="J15" s="217">
        <f>ROUND('[9]EMW Oct25'!$G143+'[9]EMW Oct25'!$G150,2)</f>
        <v>5424.36</v>
      </c>
      <c r="K15" s="438">
        <f>ROUND('PCR Cycle 4'!K20*'TDR Cycle 4'!$N15,2)</f>
        <v>4979.0600000000004</v>
      </c>
      <c r="L15" s="390">
        <f>ROUND('PCR Cycle 4'!L20*'TDR Cycle 4'!$N15,2)</f>
        <v>6676.37</v>
      </c>
      <c r="M15" s="406">
        <f>ROUND('PCR Cycle 4'!M20*'TDR Cycle 4'!$N15,2)</f>
        <v>8073.79</v>
      </c>
      <c r="N15" s="416">
        <v>2.0000000000000002E-5</v>
      </c>
      <c r="O15" s="362"/>
      <c r="P15" s="464">
        <f t="shared" ref="P15:P18" si="5">-SUM(K15:M15)</f>
        <v>-19729.22</v>
      </c>
    </row>
    <row r="16" spans="1:36" x14ac:dyDescent="0.25">
      <c r="A16" s="359" t="s">
        <v>94</v>
      </c>
      <c r="C16" s="465">
        <v>-3206.5699999999997</v>
      </c>
      <c r="D16" s="467"/>
      <c r="E16" s="439">
        <f>ROUND('[9]May 2025'!$G133,2)</f>
        <v>974.23</v>
      </c>
      <c r="F16" s="439">
        <f>ROUND('[9]June 2025'!$G133,2)</f>
        <v>1109.57</v>
      </c>
      <c r="G16" s="439">
        <f>ROUND('[9]July 2025'!$G133+'[9]July 2025'!$G140,2)</f>
        <v>1429.17</v>
      </c>
      <c r="H16" s="370">
        <f>ROUND('[9]August 2025'!$G133+'[9]August 2025'!$G140,2)</f>
        <v>6971.74</v>
      </c>
      <c r="I16" s="402">
        <f>ROUND('[9]Sept 2025'!$G133+'[9]Sept 2025'!$G140,2)</f>
        <v>6466.2</v>
      </c>
      <c r="J16" s="217">
        <f>ROUND('[9]EMW Oct25'!$G144+'[9]EMW Oct25'!$G151,2)</f>
        <v>5941.63</v>
      </c>
      <c r="K16" s="438">
        <f>ROUND('PCR Cycle 4'!K21*'TDR Cycle 4'!$N16,2)</f>
        <v>4719.8500000000004</v>
      </c>
      <c r="L16" s="390">
        <f>ROUND('PCR Cycle 4'!L21*'TDR Cycle 4'!$N16,2)</f>
        <v>4865.1400000000003</v>
      </c>
      <c r="M16" s="406">
        <f>ROUND('PCR Cycle 4'!M21*'TDR Cycle 4'!$N16,2)</f>
        <v>6061.22</v>
      </c>
      <c r="N16" s="416">
        <v>5.0000000000000002E-5</v>
      </c>
      <c r="O16" s="362"/>
      <c r="P16" s="464">
        <f t="shared" si="5"/>
        <v>-15646.210000000003</v>
      </c>
    </row>
    <row r="17" spans="1:16" x14ac:dyDescent="0.25">
      <c r="A17" s="359" t="s">
        <v>95</v>
      </c>
      <c r="C17" s="465">
        <v>-2620.9700000000003</v>
      </c>
      <c r="D17" s="467"/>
      <c r="E17" s="439">
        <f>ROUND('[9]May 2025'!$G134,2)</f>
        <v>800.18</v>
      </c>
      <c r="F17" s="439">
        <f>ROUND('[9]June 2025'!$G134,2)</f>
        <v>888.45</v>
      </c>
      <c r="G17" s="439">
        <f>ROUND('[9]July 2025'!$G134+'[9]July 2025'!$G141,2)</f>
        <v>1048.17</v>
      </c>
      <c r="H17" s="370">
        <f>ROUND('[9]August 2025'!$G134+'[9]August 2025'!$G141,2)</f>
        <v>4118.05</v>
      </c>
      <c r="I17" s="402">
        <f>ROUND('[9]Sept 2025'!$G134+'[9]Sept 2025'!$G141,2)</f>
        <v>4055.32</v>
      </c>
      <c r="J17" s="217">
        <f>ROUND('[9]EMW Oct25'!$G145+'[9]EMW Oct25'!$G152,2)</f>
        <v>3705.13</v>
      </c>
      <c r="K17" s="438">
        <f>ROUND('PCR Cycle 4'!K22*'TDR Cycle 4'!$N17,2)</f>
        <v>3086.31</v>
      </c>
      <c r="L17" s="390">
        <f>ROUND('PCR Cycle 4'!L22*'TDR Cycle 4'!$N17,2)</f>
        <v>3181.32</v>
      </c>
      <c r="M17" s="406">
        <f>ROUND('PCR Cycle 4'!M22*'TDR Cycle 4'!$N17,2)</f>
        <v>3963.43</v>
      </c>
      <c r="N17" s="416">
        <v>4.0000000000000003E-5</v>
      </c>
      <c r="O17" s="362"/>
      <c r="P17" s="464">
        <f t="shared" si="5"/>
        <v>-10231.06</v>
      </c>
    </row>
    <row r="18" spans="1:16" x14ac:dyDescent="0.25">
      <c r="A18" s="359" t="s">
        <v>96</v>
      </c>
      <c r="C18" s="465">
        <v>-1820.7800000000002</v>
      </c>
      <c r="D18" s="467"/>
      <c r="E18" s="439">
        <f>ROUND('[9]May 2025'!$G135,2)</f>
        <v>682.49</v>
      </c>
      <c r="F18" s="439">
        <f>ROUND('[9]June 2025'!$G135,2)</f>
        <v>740.21</v>
      </c>
      <c r="G18" s="439">
        <f>ROUND('[9]July 2025'!$G135+'[9]July 2025'!$G142,2)</f>
        <v>800.29</v>
      </c>
      <c r="H18" s="370">
        <f>ROUND('[9]August 2025'!$G135+'[9]August 2025'!$G142,2)</f>
        <v>769.16</v>
      </c>
      <c r="I18" s="402">
        <f>ROUND('[9]Sept 2025'!$G135+'[9]Sept 2025'!$G142,2)</f>
        <v>826.62</v>
      </c>
      <c r="J18" s="217">
        <f>ROUND('[9]EMW Oct25'!$G146+'[9]EMW Oct25'!$G153,2)</f>
        <v>909.87</v>
      </c>
      <c r="K18" s="438">
        <f>ROUND('PCR Cycle 4'!K23*'TDR Cycle 4'!$N18,2)</f>
        <v>536.01</v>
      </c>
      <c r="L18" s="390">
        <f>ROUND('PCR Cycle 4'!L23*'TDR Cycle 4'!$N18,2)</f>
        <v>552.51</v>
      </c>
      <c r="M18" s="406">
        <f>ROUND('PCR Cycle 4'!M23*'TDR Cycle 4'!$N18,2)</f>
        <v>688.35</v>
      </c>
      <c r="N18" s="416">
        <v>1.0000000000000001E-5</v>
      </c>
      <c r="O18" s="362"/>
      <c r="P18" s="464">
        <f t="shared" si="5"/>
        <v>-1776.87</v>
      </c>
    </row>
    <row r="19" spans="1:16" x14ac:dyDescent="0.25">
      <c r="C19" s="412"/>
      <c r="D19" s="469"/>
      <c r="E19" s="413"/>
      <c r="F19" s="413"/>
      <c r="G19" s="413"/>
      <c r="H19" s="412"/>
      <c r="I19" s="413"/>
      <c r="J19" s="457"/>
      <c r="K19" s="403"/>
      <c r="L19" s="403"/>
      <c r="M19" s="367"/>
      <c r="O19" s="362"/>
    </row>
    <row r="20" spans="1:16" x14ac:dyDescent="0.25">
      <c r="A20" s="388" t="s">
        <v>58</v>
      </c>
      <c r="B20" s="388"/>
      <c r="C20" s="412"/>
      <c r="D20" s="469"/>
      <c r="E20" s="413"/>
      <c r="F20" s="413"/>
      <c r="G20" s="413"/>
      <c r="H20" s="412"/>
      <c r="I20" s="413"/>
      <c r="J20" s="458"/>
      <c r="K20" s="413"/>
      <c r="L20" s="413"/>
      <c r="M20" s="367"/>
      <c r="N20" s="364"/>
    </row>
    <row r="21" spans="1:16" x14ac:dyDescent="0.25">
      <c r="A21" s="359" t="s">
        <v>22</v>
      </c>
      <c r="C21" s="466">
        <v>-45994.5</v>
      </c>
      <c r="D21" s="470"/>
      <c r="E21" s="433">
        <f>ROUND('[18]Summary Monthly TD Calc'!F17,2)</f>
        <v>0</v>
      </c>
      <c r="F21" s="433">
        <f>ROUND('[18]Summary Monthly TD Calc'!G17,2)</f>
        <v>1111.6500000000001</v>
      </c>
      <c r="G21" s="433">
        <f>ROUND('[18]Summary Monthly TD Calc'!H17,2)</f>
        <v>3248.93</v>
      </c>
      <c r="H21" s="417">
        <f>ROUND('[18]Summary Monthly TD Calc'!I17,2)</f>
        <v>17560.919999999998</v>
      </c>
      <c r="I21" s="418">
        <f>ROUND('[18]Summary Monthly TD Calc'!J17,2)</f>
        <v>28860.84</v>
      </c>
      <c r="J21" s="459">
        <f>ROUND('[18]Summary Monthly TD Calc'!K17,2)</f>
        <v>5628.64</v>
      </c>
      <c r="K21" s="450">
        <f>ROUND('[18]Summary Monthly TD Calc'!L17,2)</f>
        <v>5533.56</v>
      </c>
      <c r="L21" s="443">
        <f>ROUND('[18]Summary Monthly TD Calc'!M17,2)</f>
        <v>7203.72</v>
      </c>
      <c r="M21" s="421"/>
      <c r="N21" s="404">
        <f>SUM(C21:L21)</f>
        <v>23153.760000000002</v>
      </c>
      <c r="P21" s="464">
        <f t="shared" ref="P21:P24" si="6">-SUM(K21:M21)</f>
        <v>-12737.28</v>
      </c>
    </row>
    <row r="22" spans="1:16" x14ac:dyDescent="0.25">
      <c r="A22" s="359" t="s">
        <v>94</v>
      </c>
      <c r="C22" s="466">
        <v>-30608.51</v>
      </c>
      <c r="D22" s="470"/>
      <c r="E22" s="433">
        <f>ROUND('[18]Summary Monthly TD Calc'!F18,2)</f>
        <v>2573.8000000000002</v>
      </c>
      <c r="F22" s="433">
        <f>ROUND('[18]Summary Monthly TD Calc'!G18,2)</f>
        <v>10869.38</v>
      </c>
      <c r="G22" s="433">
        <f>ROUND('[18]Summary Monthly TD Calc'!H18,2)</f>
        <v>20255.75</v>
      </c>
      <c r="H22" s="417">
        <f>ROUND('[18]Summary Monthly TD Calc'!I18,2)</f>
        <v>37627.949999999997</v>
      </c>
      <c r="I22" s="418">
        <f>ROUND('[18]Summary Monthly TD Calc'!J18,2)</f>
        <v>75740.149999999994</v>
      </c>
      <c r="J22" s="459">
        <f>ROUND('[18]Summary Monthly TD Calc'!K18,2)</f>
        <v>60217.21</v>
      </c>
      <c r="K22" s="450">
        <f>ROUND('[18]Summary Monthly TD Calc'!L18,2)</f>
        <v>71845.679999999993</v>
      </c>
      <c r="L22" s="443">
        <f>ROUND('[18]Summary Monthly TD Calc'!M18,2)</f>
        <v>88842.09</v>
      </c>
      <c r="M22" s="421"/>
      <c r="N22" s="404">
        <f t="shared" ref="N22:N24" si="7">SUM(C22:L22)</f>
        <v>337363.5</v>
      </c>
      <c r="P22" s="464">
        <f t="shared" si="6"/>
        <v>-160687.76999999999</v>
      </c>
    </row>
    <row r="23" spans="1:16" x14ac:dyDescent="0.25">
      <c r="A23" s="359" t="s">
        <v>95</v>
      </c>
      <c r="C23" s="466">
        <v>-20053.82</v>
      </c>
      <c r="D23" s="470"/>
      <c r="E23" s="433">
        <f>ROUND('[18]Summary Monthly TD Calc'!F19,2)</f>
        <v>2161.65</v>
      </c>
      <c r="F23" s="433">
        <f>ROUND('[18]Summary Monthly TD Calc'!G19,2)</f>
        <v>12374.83</v>
      </c>
      <c r="G23" s="433">
        <f>ROUND('[18]Summary Monthly TD Calc'!H19,2)</f>
        <v>15987.44</v>
      </c>
      <c r="H23" s="417">
        <f>ROUND('[18]Summary Monthly TD Calc'!I19,2)</f>
        <v>14898.52</v>
      </c>
      <c r="I23" s="418">
        <f>ROUND('[18]Summary Monthly TD Calc'!J19,2)</f>
        <v>18752.41</v>
      </c>
      <c r="J23" s="459">
        <f>ROUND('[18]Summary Monthly TD Calc'!K19,2)</f>
        <v>10875.88</v>
      </c>
      <c r="K23" s="450">
        <f>ROUND('[18]Summary Monthly TD Calc'!L19,2)</f>
        <v>17961.29</v>
      </c>
      <c r="L23" s="443">
        <f>ROUND('[18]Summary Monthly TD Calc'!M19,2)</f>
        <v>29947.439999999999</v>
      </c>
      <c r="M23" s="421"/>
      <c r="N23" s="404">
        <f t="shared" si="7"/>
        <v>102905.64</v>
      </c>
      <c r="P23" s="464">
        <f t="shared" si="6"/>
        <v>-47908.729999999996</v>
      </c>
    </row>
    <row r="24" spans="1:16" x14ac:dyDescent="0.25">
      <c r="A24" s="359" t="s">
        <v>96</v>
      </c>
      <c r="C24" s="466">
        <v>-12136.73</v>
      </c>
      <c r="D24" s="470"/>
      <c r="E24" s="433">
        <f>ROUND('[18]Summary Monthly TD Calc'!F20,2)</f>
        <v>0</v>
      </c>
      <c r="F24" s="433">
        <f>ROUND('[18]Summary Monthly TD Calc'!G20,2)</f>
        <v>0</v>
      </c>
      <c r="G24" s="433">
        <f>ROUND('[18]Summary Monthly TD Calc'!H20,2)</f>
        <v>0</v>
      </c>
      <c r="H24" s="417">
        <f>ROUND('[18]Summary Monthly TD Calc'!I20,2)</f>
        <v>0</v>
      </c>
      <c r="I24" s="418">
        <f>ROUND('[18]Summary Monthly TD Calc'!J20,2)</f>
        <v>0</v>
      </c>
      <c r="J24" s="459">
        <f>ROUND('[18]Summary Monthly TD Calc'!K20,2)</f>
        <v>0</v>
      </c>
      <c r="K24" s="450">
        <f>ROUND('[18]Summary Monthly TD Calc'!L20,2)</f>
        <v>0</v>
      </c>
      <c r="L24" s="443">
        <f>ROUND('[18]Summary Monthly TD Calc'!M20,2)</f>
        <v>0</v>
      </c>
      <c r="M24" s="421"/>
      <c r="N24" s="404">
        <f t="shared" si="7"/>
        <v>-12136.73</v>
      </c>
      <c r="P24" s="464">
        <f t="shared" si="6"/>
        <v>0</v>
      </c>
    </row>
    <row r="25" spans="1:16" x14ac:dyDescent="0.25">
      <c r="C25" s="412"/>
      <c r="D25" s="469"/>
      <c r="E25" s="302"/>
      <c r="F25" s="302"/>
      <c r="G25" s="386"/>
      <c r="H25" s="385"/>
      <c r="I25" s="302"/>
      <c r="J25" s="460"/>
      <c r="K25" s="399"/>
      <c r="L25" s="403"/>
      <c r="M25" s="367"/>
    </row>
    <row r="26" spans="1:16" x14ac:dyDescent="0.25">
      <c r="A26" s="359" t="s">
        <v>60</v>
      </c>
      <c r="C26" s="385"/>
      <c r="D26" s="471"/>
      <c r="E26" s="386"/>
      <c r="F26" s="386"/>
      <c r="G26" s="386"/>
      <c r="H26" s="385"/>
      <c r="I26" s="386"/>
      <c r="J26" s="460"/>
      <c r="K26" s="399"/>
      <c r="L26" s="399"/>
      <c r="M26" s="387"/>
    </row>
    <row r="27" spans="1:16" x14ac:dyDescent="0.25">
      <c r="A27" s="359" t="s">
        <v>22</v>
      </c>
      <c r="C27" s="465">
        <v>-4529.72</v>
      </c>
      <c r="D27" s="470"/>
      <c r="E27" s="431">
        <f>ROUND('[18]Summary Monthly TD Calc'!F3,2)</f>
        <v>0</v>
      </c>
      <c r="F27" s="431">
        <f>ROUND('[18]Summary Monthly TD Calc'!G3,2)</f>
        <v>110.08</v>
      </c>
      <c r="G27" s="431">
        <f>ROUND('[18]Summary Monthly TD Calc'!H3,2)</f>
        <v>320.5</v>
      </c>
      <c r="H27" s="370">
        <f>ROUND('[18]Summary Monthly TD Calc'!I3,2)</f>
        <v>1759.96</v>
      </c>
      <c r="I27" s="402">
        <f>ROUND('[18]Summary Monthly TD Calc'!J3,2)</f>
        <v>2853.28</v>
      </c>
      <c r="J27" s="217">
        <f>ROUND('[18]Summary Monthly TD Calc'!K3,2)</f>
        <v>375.05</v>
      </c>
      <c r="K27" s="449">
        <f>ROUND('[18]Summary Monthly TD Calc'!L3,2)</f>
        <v>355.68</v>
      </c>
      <c r="L27" s="419">
        <f>ROUND('[18]Summary Monthly TD Calc'!M3,2)</f>
        <v>462.15</v>
      </c>
      <c r="M27" s="420"/>
      <c r="P27" s="464">
        <f t="shared" ref="P27:P32" si="8">-SUM(K27:M27)</f>
        <v>-817.82999999999993</v>
      </c>
    </row>
    <row r="28" spans="1:16" x14ac:dyDescent="0.25">
      <c r="A28" s="359" t="s">
        <v>94</v>
      </c>
      <c r="C28" s="465">
        <v>-1580.48</v>
      </c>
      <c r="D28" s="470"/>
      <c r="E28" s="511">
        <f>ROUND('[18]Summary Monthly TD Calc'!F4,2)</f>
        <v>81.44</v>
      </c>
      <c r="F28" s="431">
        <f>ROUND('[18]Summary Monthly TD Calc'!G4,2)</f>
        <v>555.72</v>
      </c>
      <c r="G28" s="431">
        <f>ROUND('[18]Summary Monthly TD Calc'!H4,2)</f>
        <v>1125.0999999999999</v>
      </c>
      <c r="H28" s="370">
        <f>ROUND('[18]Summary Monthly TD Calc'!I4,2)</f>
        <v>2419.17</v>
      </c>
      <c r="I28" s="402">
        <f>ROUND('[18]Summary Monthly TD Calc'!J4,2)</f>
        <v>5297.55</v>
      </c>
      <c r="J28" s="217">
        <f>ROUND('[18]Summary Monthly TD Calc'!K4,2)</f>
        <v>2638.89</v>
      </c>
      <c r="K28" s="449">
        <f>ROUND('[18]Summary Monthly TD Calc'!L4,2)</f>
        <v>3119.96</v>
      </c>
      <c r="L28" s="419">
        <f>ROUND('[18]Summary Monthly TD Calc'!M4,2)</f>
        <v>3782.68</v>
      </c>
      <c r="M28" s="420"/>
      <c r="P28" s="464">
        <f t="shared" si="8"/>
        <v>-6902.6399999999994</v>
      </c>
    </row>
    <row r="29" spans="1:16" x14ac:dyDescent="0.25">
      <c r="A29" s="359" t="s">
        <v>95</v>
      </c>
      <c r="C29" s="465">
        <v>-692.76</v>
      </c>
      <c r="D29" s="470"/>
      <c r="E29" s="511">
        <f>ROUND('[18]Summary Monthly TD Calc'!F5,2)</f>
        <v>52.79</v>
      </c>
      <c r="F29" s="431">
        <f>ROUND('[18]Summary Monthly TD Calc'!G5,2)</f>
        <v>404.03</v>
      </c>
      <c r="G29" s="431">
        <f>ROUND('[18]Summary Monthly TD Calc'!H5,2)</f>
        <v>519.87</v>
      </c>
      <c r="H29" s="370">
        <f>ROUND('[18]Summary Monthly TD Calc'!I5,2)</f>
        <v>486.93</v>
      </c>
      <c r="I29" s="402">
        <f>ROUND('[18]Summary Monthly TD Calc'!J5,2)</f>
        <v>616.91999999999996</v>
      </c>
      <c r="J29" s="217">
        <f>ROUND('[18]Summary Monthly TD Calc'!K5,2)</f>
        <v>259.31</v>
      </c>
      <c r="K29" s="449">
        <f>ROUND('[18]Summary Monthly TD Calc'!L5,2)</f>
        <v>423.46</v>
      </c>
      <c r="L29" s="419">
        <f>ROUND('[18]Summary Monthly TD Calc'!M5,2)</f>
        <v>677.06</v>
      </c>
      <c r="M29" s="420"/>
      <c r="P29" s="464">
        <f t="shared" si="8"/>
        <v>-1100.52</v>
      </c>
    </row>
    <row r="30" spans="1:16" x14ac:dyDescent="0.25">
      <c r="A30" s="359" t="s">
        <v>96</v>
      </c>
      <c r="C30" s="465">
        <v>-161.47</v>
      </c>
      <c r="D30" s="470"/>
      <c r="E30" s="511">
        <f>ROUND('[18]Summary Monthly TD Calc'!F6,2)</f>
        <v>0</v>
      </c>
      <c r="F30" s="431">
        <f>ROUND('[18]Summary Monthly TD Calc'!G6,2)</f>
        <v>0</v>
      </c>
      <c r="G30" s="431">
        <f>ROUND('[18]Summary Monthly TD Calc'!H6,2)</f>
        <v>0</v>
      </c>
      <c r="H30" s="370">
        <f>ROUND('[18]Summary Monthly TD Calc'!I6,2)</f>
        <v>0</v>
      </c>
      <c r="I30" s="402">
        <f>ROUND('[18]Summary Monthly TD Calc'!J6,2)</f>
        <v>0</v>
      </c>
      <c r="J30" s="217">
        <f>ROUND('[18]Summary Monthly TD Calc'!K6,2)</f>
        <v>0</v>
      </c>
      <c r="K30" s="449">
        <f>ROUND('[18]Summary Monthly TD Calc'!L6,2)</f>
        <v>0</v>
      </c>
      <c r="L30" s="419">
        <f>ROUND('[18]Summary Monthly TD Calc'!M6,2)</f>
        <v>0</v>
      </c>
      <c r="M30" s="420"/>
      <c r="O30" s="395"/>
      <c r="P30" s="464">
        <f t="shared" si="8"/>
        <v>0</v>
      </c>
    </row>
    <row r="31" spans="1:16" x14ac:dyDescent="0.25">
      <c r="C31" s="427"/>
      <c r="D31" s="468"/>
      <c r="E31" s="321"/>
      <c r="F31" s="372"/>
      <c r="G31" s="372"/>
      <c r="H31" s="426"/>
      <c r="I31" s="372"/>
      <c r="J31" s="456"/>
      <c r="K31" s="403"/>
      <c r="L31" s="403"/>
      <c r="M31" s="367"/>
    </row>
    <row r="32" spans="1:16" ht="15.75" thickBot="1" x14ac:dyDescent="0.3">
      <c r="A32" s="361" t="s">
        <v>13</v>
      </c>
      <c r="B32" s="361"/>
      <c r="C32" s="505">
        <v>518.17999999999995</v>
      </c>
      <c r="D32" s="472"/>
      <c r="E32" s="439">
        <v>-242.15</v>
      </c>
      <c r="F32" s="439">
        <v>-295.20999999999998</v>
      </c>
      <c r="G32" s="440">
        <v>-366.62</v>
      </c>
      <c r="H32" s="377">
        <v>-444.22</v>
      </c>
      <c r="I32" s="437">
        <v>-489.06</v>
      </c>
      <c r="J32" s="461">
        <v>-528.05999999999995</v>
      </c>
      <c r="K32" s="451">
        <f>ROUND((SUM(J41:J44)+SUM(J48:J51)+SUM(K35:K38)/2)*K$46,2)-0.01</f>
        <v>-580.11</v>
      </c>
      <c r="L32" s="444">
        <f>ROUND((SUM(K41:K44)+SUM(K48:K51)+SUM(L35:L38)/2)*L$46,2)</f>
        <v>-627.08000000000004</v>
      </c>
      <c r="M32" s="422"/>
      <c r="P32" s="464">
        <f t="shared" si="8"/>
        <v>1207.19</v>
      </c>
    </row>
    <row r="33" spans="1:16" x14ac:dyDescent="0.25">
      <c r="C33" s="409"/>
      <c r="D33" s="475"/>
      <c r="E33" s="411"/>
      <c r="F33" s="411"/>
      <c r="G33" s="382"/>
      <c r="H33" s="409"/>
      <c r="I33" s="382"/>
      <c r="J33" s="462"/>
      <c r="K33" s="383"/>
      <c r="L33" s="383"/>
      <c r="M33" s="405"/>
    </row>
    <row r="34" spans="1:16" outlineLevel="1" x14ac:dyDescent="0.25">
      <c r="A34" s="359" t="s">
        <v>46</v>
      </c>
      <c r="C34" s="410"/>
      <c r="D34" s="476"/>
      <c r="E34" s="384"/>
      <c r="F34" s="384"/>
      <c r="G34" s="384"/>
      <c r="H34" s="410"/>
      <c r="I34" s="384"/>
      <c r="J34" s="463"/>
      <c r="K34" s="383"/>
      <c r="L34" s="383"/>
      <c r="M34" s="405"/>
    </row>
    <row r="35" spans="1:16" outlineLevel="1" x14ac:dyDescent="0.25">
      <c r="A35" s="359" t="s">
        <v>22</v>
      </c>
      <c r="C35" s="473">
        <f t="shared" ref="C35:M38" si="9">C27-C15</f>
        <v>31118.39</v>
      </c>
      <c r="D35" s="477">
        <f t="shared" si="9"/>
        <v>0</v>
      </c>
      <c r="E35" s="390">
        <f t="shared" si="9"/>
        <v>-8030.88</v>
      </c>
      <c r="F35" s="390">
        <f t="shared" si="9"/>
        <v>-10024.790000000001</v>
      </c>
      <c r="G35" s="430">
        <f t="shared" si="9"/>
        <v>-15490.3</v>
      </c>
      <c r="H35" s="389">
        <f t="shared" si="9"/>
        <v>-6156.57</v>
      </c>
      <c r="I35" s="390">
        <f t="shared" si="9"/>
        <v>-3628.5099999999998</v>
      </c>
      <c r="J35" s="406">
        <f t="shared" si="9"/>
        <v>-5049.3099999999995</v>
      </c>
      <c r="K35" s="438">
        <f t="shared" si="9"/>
        <v>-4623.38</v>
      </c>
      <c r="L35" s="390">
        <f t="shared" si="9"/>
        <v>-6214.22</v>
      </c>
      <c r="M35" s="406">
        <f t="shared" si="9"/>
        <v>-8073.79</v>
      </c>
    </row>
    <row r="36" spans="1:16" outlineLevel="1" x14ac:dyDescent="0.25">
      <c r="A36" s="359" t="s">
        <v>94</v>
      </c>
      <c r="C36" s="473">
        <f t="shared" si="9"/>
        <v>1626.0899999999997</v>
      </c>
      <c r="D36" s="477">
        <f t="shared" si="9"/>
        <v>0</v>
      </c>
      <c r="E36" s="390">
        <f t="shared" si="9"/>
        <v>-892.79</v>
      </c>
      <c r="F36" s="390">
        <f t="shared" si="9"/>
        <v>-553.84999999999991</v>
      </c>
      <c r="G36" s="430">
        <f t="shared" si="9"/>
        <v>-304.07000000000016</v>
      </c>
      <c r="H36" s="389">
        <f t="shared" si="9"/>
        <v>-4552.57</v>
      </c>
      <c r="I36" s="390">
        <f t="shared" si="9"/>
        <v>-1168.6499999999996</v>
      </c>
      <c r="J36" s="406">
        <f t="shared" si="9"/>
        <v>-3302.7400000000002</v>
      </c>
      <c r="K36" s="438">
        <f t="shared" si="9"/>
        <v>-1599.8900000000003</v>
      </c>
      <c r="L36" s="390">
        <f t="shared" si="9"/>
        <v>-1082.4600000000005</v>
      </c>
      <c r="M36" s="406">
        <f t="shared" si="9"/>
        <v>-6061.22</v>
      </c>
    </row>
    <row r="37" spans="1:16" outlineLevel="1" x14ac:dyDescent="0.25">
      <c r="A37" s="359" t="s">
        <v>95</v>
      </c>
      <c r="C37" s="473">
        <f t="shared" si="9"/>
        <v>1928.2100000000003</v>
      </c>
      <c r="D37" s="477">
        <f t="shared" si="9"/>
        <v>0</v>
      </c>
      <c r="E37" s="390">
        <f t="shared" si="9"/>
        <v>-747.39</v>
      </c>
      <c r="F37" s="390">
        <f t="shared" si="9"/>
        <v>-484.42000000000007</v>
      </c>
      <c r="G37" s="430">
        <f t="shared" si="9"/>
        <v>-528.30000000000007</v>
      </c>
      <c r="H37" s="389">
        <f t="shared" si="9"/>
        <v>-3631.1200000000003</v>
      </c>
      <c r="I37" s="390">
        <f t="shared" si="9"/>
        <v>-3438.4</v>
      </c>
      <c r="J37" s="406">
        <f t="shared" si="9"/>
        <v>-3445.82</v>
      </c>
      <c r="K37" s="438">
        <f t="shared" si="9"/>
        <v>-2662.85</v>
      </c>
      <c r="L37" s="390">
        <f t="shared" si="9"/>
        <v>-2504.2600000000002</v>
      </c>
      <c r="M37" s="406">
        <f t="shared" si="9"/>
        <v>-3963.43</v>
      </c>
    </row>
    <row r="38" spans="1:16" outlineLevel="1" x14ac:dyDescent="0.25">
      <c r="A38" s="359" t="s">
        <v>96</v>
      </c>
      <c r="C38" s="473">
        <f t="shared" si="9"/>
        <v>1659.3100000000002</v>
      </c>
      <c r="D38" s="477">
        <f t="shared" si="9"/>
        <v>0</v>
      </c>
      <c r="E38" s="390">
        <f t="shared" si="9"/>
        <v>-682.49</v>
      </c>
      <c r="F38" s="390">
        <f t="shared" si="9"/>
        <v>-740.21</v>
      </c>
      <c r="G38" s="430">
        <f t="shared" si="9"/>
        <v>-800.29</v>
      </c>
      <c r="H38" s="389">
        <f t="shared" si="9"/>
        <v>-769.16</v>
      </c>
      <c r="I38" s="390">
        <f t="shared" si="9"/>
        <v>-826.62</v>
      </c>
      <c r="J38" s="406">
        <f t="shared" si="9"/>
        <v>-909.87</v>
      </c>
      <c r="K38" s="438">
        <f t="shared" si="9"/>
        <v>-536.01</v>
      </c>
      <c r="L38" s="390">
        <f t="shared" si="9"/>
        <v>-552.51</v>
      </c>
      <c r="M38" s="406">
        <f t="shared" si="9"/>
        <v>-688.35</v>
      </c>
    </row>
    <row r="39" spans="1:16" outlineLevel="1" x14ac:dyDescent="0.25">
      <c r="C39" s="427"/>
      <c r="D39" s="468"/>
      <c r="E39" s="381"/>
      <c r="F39" s="371"/>
      <c r="G39" s="371"/>
      <c r="H39" s="365"/>
      <c r="I39" s="371"/>
      <c r="J39" s="366"/>
      <c r="K39" s="371"/>
      <c r="L39" s="371"/>
      <c r="M39" s="366"/>
    </row>
    <row r="40" spans="1:16" ht="15.75" outlineLevel="1" thickBot="1" x14ac:dyDescent="0.3">
      <c r="A40" s="359" t="s">
        <v>47</v>
      </c>
      <c r="C40" s="427"/>
      <c r="D40" s="468"/>
      <c r="E40" s="371"/>
      <c r="F40" s="371"/>
      <c r="G40" s="371"/>
      <c r="H40" s="365"/>
      <c r="I40" s="371"/>
      <c r="J40" s="366"/>
      <c r="K40" s="371"/>
      <c r="L40" s="371"/>
      <c r="M40" s="366"/>
    </row>
    <row r="41" spans="1:16" outlineLevel="1" x14ac:dyDescent="0.25">
      <c r="A41" s="359" t="s">
        <v>22</v>
      </c>
      <c r="B41" s="494">
        <v>-69483.319999999992</v>
      </c>
      <c r="C41" s="473">
        <f t="shared" ref="C41:M44" si="10">+B41+C35+B48</f>
        <v>-38364.929999999993</v>
      </c>
      <c r="D41" s="477">
        <f t="shared" si="10"/>
        <v>-37936.659999999996</v>
      </c>
      <c r="E41" s="390">
        <f t="shared" si="10"/>
        <v>-45967.539999999994</v>
      </c>
      <c r="F41" s="390">
        <f t="shared" si="10"/>
        <v>-56190.829999999994</v>
      </c>
      <c r="G41" s="430">
        <f t="shared" si="10"/>
        <v>-71922.859999999986</v>
      </c>
      <c r="H41" s="389">
        <f t="shared" si="10"/>
        <v>-78383.98</v>
      </c>
      <c r="I41" s="390">
        <f t="shared" si="10"/>
        <v>-82369.359999999986</v>
      </c>
      <c r="J41" s="406">
        <f t="shared" si="10"/>
        <v>-87789.37999999999</v>
      </c>
      <c r="K41" s="438">
        <f t="shared" si="10"/>
        <v>-92795.48</v>
      </c>
      <c r="L41" s="390">
        <f t="shared" si="10"/>
        <v>-99415.849999999991</v>
      </c>
      <c r="M41" s="406">
        <f t="shared" si="10"/>
        <v>-107921.92999999998</v>
      </c>
    </row>
    <row r="42" spans="1:16" outlineLevel="1" x14ac:dyDescent="0.25">
      <c r="A42" s="359" t="s">
        <v>94</v>
      </c>
      <c r="B42" s="496">
        <v>-5191.3700000000008</v>
      </c>
      <c r="C42" s="473">
        <f t="shared" si="10"/>
        <v>-3565.2800000000011</v>
      </c>
      <c r="D42" s="477">
        <f t="shared" si="10"/>
        <v>-3527.7800000000011</v>
      </c>
      <c r="E42" s="390">
        <f t="shared" si="10"/>
        <v>-4420.5700000000015</v>
      </c>
      <c r="F42" s="390">
        <f t="shared" si="10"/>
        <v>-4993.2200000000021</v>
      </c>
      <c r="G42" s="430">
        <f t="shared" si="10"/>
        <v>-5319.5700000000024</v>
      </c>
      <c r="H42" s="389">
        <f t="shared" si="10"/>
        <v>-9896.6600000000035</v>
      </c>
      <c r="I42" s="390">
        <f t="shared" si="10"/>
        <v>-11101.420000000004</v>
      </c>
      <c r="J42" s="406">
        <f t="shared" si="10"/>
        <v>-14452.560000000003</v>
      </c>
      <c r="K42" s="438">
        <f t="shared" si="10"/>
        <v>-16109.910000000003</v>
      </c>
      <c r="L42" s="390">
        <f t="shared" si="10"/>
        <v>-17261.090000000004</v>
      </c>
      <c r="M42" s="406">
        <f t="shared" si="10"/>
        <v>-23397.360000000004</v>
      </c>
    </row>
    <row r="43" spans="1:16" outlineLevel="1" x14ac:dyDescent="0.25">
      <c r="A43" s="359" t="s">
        <v>95</v>
      </c>
      <c r="B43" s="496">
        <v>-4551.2300000000005</v>
      </c>
      <c r="C43" s="473">
        <f t="shared" si="10"/>
        <v>-2623.0200000000004</v>
      </c>
      <c r="D43" s="477">
        <f t="shared" si="10"/>
        <v>-2593.3800000000006</v>
      </c>
      <c r="E43" s="390">
        <f t="shared" si="10"/>
        <v>-3340.7700000000004</v>
      </c>
      <c r="F43" s="390">
        <f t="shared" si="10"/>
        <v>-3839.2300000000005</v>
      </c>
      <c r="G43" s="430">
        <f t="shared" si="10"/>
        <v>-4384.5200000000004</v>
      </c>
      <c r="H43" s="389">
        <f t="shared" si="10"/>
        <v>-8035.1900000000014</v>
      </c>
      <c r="I43" s="390">
        <f t="shared" si="10"/>
        <v>-11503.060000000001</v>
      </c>
      <c r="J43" s="406">
        <f t="shared" si="10"/>
        <v>-14993.910000000002</v>
      </c>
      <c r="K43" s="438">
        <f t="shared" si="10"/>
        <v>-17716.330000000002</v>
      </c>
      <c r="L43" s="390">
        <f t="shared" si="10"/>
        <v>-20294.140000000003</v>
      </c>
      <c r="M43" s="406">
        <f t="shared" si="10"/>
        <v>-24343.040000000005</v>
      </c>
    </row>
    <row r="44" spans="1:16" ht="15.75" outlineLevel="1" thickBot="1" x14ac:dyDescent="0.3">
      <c r="A44" s="359" t="s">
        <v>96</v>
      </c>
      <c r="B44" s="495">
        <v>-3626.41</v>
      </c>
      <c r="C44" s="473">
        <f t="shared" si="10"/>
        <v>-1967.0999999999997</v>
      </c>
      <c r="D44" s="477">
        <f t="shared" si="10"/>
        <v>-1944.3299999999997</v>
      </c>
      <c r="E44" s="390">
        <f t="shared" si="10"/>
        <v>-2626.8199999999997</v>
      </c>
      <c r="F44" s="390">
        <f t="shared" si="10"/>
        <v>-3377.8399999999997</v>
      </c>
      <c r="G44" s="430">
        <f t="shared" si="10"/>
        <v>-4192.3399999999992</v>
      </c>
      <c r="H44" s="389">
        <f t="shared" si="10"/>
        <v>-4979.4999999999991</v>
      </c>
      <c r="I44" s="390">
        <f t="shared" si="10"/>
        <v>-5827.8899999999994</v>
      </c>
      <c r="J44" s="406">
        <f t="shared" si="10"/>
        <v>-6762.6799999999994</v>
      </c>
      <c r="K44" s="438">
        <f t="shared" si="10"/>
        <v>-7327</v>
      </c>
      <c r="L44" s="390">
        <f t="shared" si="10"/>
        <v>-7911.2</v>
      </c>
      <c r="M44" s="406">
        <f t="shared" si="10"/>
        <v>-8633.82</v>
      </c>
    </row>
    <row r="45" spans="1:16" outlineLevel="1" x14ac:dyDescent="0.25">
      <c r="C45" s="427"/>
      <c r="D45" s="468"/>
      <c r="E45" s="371"/>
      <c r="F45" s="371"/>
      <c r="G45" s="371"/>
      <c r="H45" s="365"/>
      <c r="I45" s="371"/>
      <c r="J45" s="366"/>
      <c r="K45" s="371"/>
      <c r="L45" s="371"/>
      <c r="M45" s="366"/>
    </row>
    <row r="46" spans="1:16" x14ac:dyDescent="0.25">
      <c r="A46" s="388" t="s">
        <v>108</v>
      </c>
      <c r="B46" s="388"/>
      <c r="C46" s="428"/>
      <c r="D46" s="478"/>
      <c r="E46" s="289">
        <f>+'PCR Cycle 3'!E45</f>
        <v>4.7316600000000004E-3</v>
      </c>
      <c r="F46" s="289">
        <f>+'PCR Cycle 3'!F45</f>
        <v>4.7233199999999996E-3</v>
      </c>
      <c r="G46" s="289">
        <f>+'PCR Cycle 3'!G45</f>
        <v>4.7454000000000003E-3</v>
      </c>
      <c r="H46" s="290">
        <f>+'PCR Cycle 3'!H45</f>
        <v>4.7389099999999998E-3</v>
      </c>
      <c r="I46" s="289">
        <f>+'PCR Cycle 3'!I45</f>
        <v>4.6019700000000004E-3</v>
      </c>
      <c r="J46" s="291">
        <f>+'PCR Cycle 3'!J45</f>
        <v>4.4886099999999996E-3</v>
      </c>
      <c r="K46" s="423">
        <f>J46</f>
        <v>4.4886099999999996E-3</v>
      </c>
      <c r="L46" s="423">
        <f>J46</f>
        <v>4.4886099999999996E-3</v>
      </c>
      <c r="M46" s="425"/>
    </row>
    <row r="47" spans="1:16" x14ac:dyDescent="0.25">
      <c r="A47" s="388" t="s">
        <v>31</v>
      </c>
      <c r="B47" s="388"/>
      <c r="C47" s="429"/>
      <c r="D47" s="479"/>
      <c r="E47" s="423"/>
      <c r="F47" s="423"/>
      <c r="G47" s="423"/>
      <c r="H47" s="424"/>
      <c r="I47" s="423"/>
      <c r="J47" s="425"/>
      <c r="K47" s="423"/>
      <c r="L47" s="423"/>
      <c r="M47" s="425"/>
    </row>
    <row r="48" spans="1:16" x14ac:dyDescent="0.25">
      <c r="A48" s="359" t="s">
        <v>22</v>
      </c>
      <c r="C48" s="506">
        <v>428.27</v>
      </c>
      <c r="D48" s="350"/>
      <c r="E48" s="390">
        <f t="shared" ref="E48:M51" si="11">ROUND((D41+D48+E35/2)*E$46,2)</f>
        <v>-198.5</v>
      </c>
      <c r="F48" s="390">
        <f t="shared" si="11"/>
        <v>-241.73</v>
      </c>
      <c r="G48" s="430">
        <f t="shared" si="11"/>
        <v>-304.55</v>
      </c>
      <c r="H48" s="389">
        <f t="shared" si="11"/>
        <v>-356.87</v>
      </c>
      <c r="I48" s="438">
        <f t="shared" si="11"/>
        <v>-370.71</v>
      </c>
      <c r="J48" s="406">
        <f t="shared" si="11"/>
        <v>-382.72</v>
      </c>
      <c r="K48" s="452">
        <f t="shared" si="11"/>
        <v>-406.15</v>
      </c>
      <c r="L48" s="430">
        <f t="shared" si="11"/>
        <v>-432.29</v>
      </c>
      <c r="M48" s="406">
        <f t="shared" si="11"/>
        <v>0</v>
      </c>
      <c r="P48" s="464">
        <f t="shared" ref="P48:P51" si="12">-SUM(K48:M48)</f>
        <v>838.44</v>
      </c>
    </row>
    <row r="49" spans="1:18" x14ac:dyDescent="0.25">
      <c r="A49" s="359" t="s">
        <v>94</v>
      </c>
      <c r="C49" s="506">
        <v>37.5</v>
      </c>
      <c r="D49" s="350"/>
      <c r="E49" s="390">
        <f t="shared" si="11"/>
        <v>-18.8</v>
      </c>
      <c r="F49" s="390">
        <f t="shared" si="11"/>
        <v>-22.28</v>
      </c>
      <c r="G49" s="430">
        <f t="shared" si="11"/>
        <v>-24.52</v>
      </c>
      <c r="H49" s="389">
        <f t="shared" si="11"/>
        <v>-36.11</v>
      </c>
      <c r="I49" s="438">
        <f t="shared" si="11"/>
        <v>-48.4</v>
      </c>
      <c r="J49" s="406">
        <f t="shared" si="11"/>
        <v>-57.46</v>
      </c>
      <c r="K49" s="452">
        <f t="shared" si="11"/>
        <v>-68.72</v>
      </c>
      <c r="L49" s="430">
        <f t="shared" si="11"/>
        <v>-75.05</v>
      </c>
      <c r="M49" s="406"/>
      <c r="P49" s="464">
        <f t="shared" si="12"/>
        <v>143.76999999999998</v>
      </c>
    </row>
    <row r="50" spans="1:18" x14ac:dyDescent="0.25">
      <c r="A50" s="359" t="s">
        <v>95</v>
      </c>
      <c r="C50" s="506">
        <v>29.64</v>
      </c>
      <c r="D50" s="350"/>
      <c r="E50" s="390">
        <f t="shared" si="11"/>
        <v>-14.04</v>
      </c>
      <c r="F50" s="390">
        <f t="shared" si="11"/>
        <v>-16.989999999999998</v>
      </c>
      <c r="G50" s="430">
        <f t="shared" si="11"/>
        <v>-19.55</v>
      </c>
      <c r="H50" s="389">
        <f t="shared" si="11"/>
        <v>-29.47</v>
      </c>
      <c r="I50" s="438">
        <f t="shared" si="11"/>
        <v>-45.03</v>
      </c>
      <c r="J50" s="406">
        <f t="shared" si="11"/>
        <v>-59.57</v>
      </c>
      <c r="K50" s="452">
        <f t="shared" si="11"/>
        <v>-73.55</v>
      </c>
      <c r="L50" s="430">
        <f t="shared" si="11"/>
        <v>-85.47</v>
      </c>
      <c r="M50" s="406"/>
      <c r="P50" s="464">
        <f t="shared" si="12"/>
        <v>159.01999999999998</v>
      </c>
    </row>
    <row r="51" spans="1:18" ht="15.75" thickBot="1" x14ac:dyDescent="0.3">
      <c r="A51" s="359" t="s">
        <v>96</v>
      </c>
      <c r="C51" s="506">
        <v>22.770000000000003</v>
      </c>
      <c r="D51" s="350"/>
      <c r="E51" s="390">
        <f t="shared" si="11"/>
        <v>-10.81</v>
      </c>
      <c r="F51" s="390">
        <f t="shared" si="11"/>
        <v>-14.21</v>
      </c>
      <c r="G51" s="430">
        <f t="shared" si="11"/>
        <v>-18</v>
      </c>
      <c r="H51" s="389">
        <f t="shared" si="11"/>
        <v>-21.77</v>
      </c>
      <c r="I51" s="438">
        <f t="shared" si="11"/>
        <v>-24.92</v>
      </c>
      <c r="J51" s="406">
        <f t="shared" si="11"/>
        <v>-28.31</v>
      </c>
      <c r="K51" s="452">
        <f t="shared" si="11"/>
        <v>-31.69</v>
      </c>
      <c r="L51" s="430">
        <f t="shared" si="11"/>
        <v>-34.270000000000003</v>
      </c>
      <c r="M51" s="406">
        <f>ROUND((L44+L51+M38/2)*M$46,2)</f>
        <v>0</v>
      </c>
      <c r="P51" s="464">
        <f t="shared" si="12"/>
        <v>65.960000000000008</v>
      </c>
    </row>
    <row r="52" spans="1:18" ht="16.5" thickTop="1" thickBot="1" x14ac:dyDescent="0.3">
      <c r="A52" s="401" t="s">
        <v>20</v>
      </c>
      <c r="B52" s="401"/>
      <c r="C52" s="474">
        <v>0</v>
      </c>
      <c r="D52" s="480"/>
      <c r="E52" s="391">
        <f t="shared" ref="E52:M52" si="13">SUM(E48:E51)+SUM(E41:E44)-E55</f>
        <v>0</v>
      </c>
      <c r="F52" s="391">
        <f t="shared" si="13"/>
        <v>0</v>
      </c>
      <c r="G52" s="397">
        <f t="shared" si="13"/>
        <v>0</v>
      </c>
      <c r="H52" s="398">
        <f t="shared" si="13"/>
        <v>0</v>
      </c>
      <c r="I52" s="391">
        <f t="shared" si="13"/>
        <v>0</v>
      </c>
      <c r="J52" s="407">
        <f t="shared" si="13"/>
        <v>0</v>
      </c>
      <c r="K52" s="453">
        <f t="shared" si="13"/>
        <v>0</v>
      </c>
      <c r="L52" s="397">
        <f t="shared" si="13"/>
        <v>0</v>
      </c>
      <c r="M52" s="407">
        <f t="shared" si="13"/>
        <v>0</v>
      </c>
    </row>
    <row r="53" spans="1:18" ht="16.5" thickTop="1" thickBot="1" x14ac:dyDescent="0.3">
      <c r="A53" s="401" t="s">
        <v>21</v>
      </c>
      <c r="B53" s="401"/>
      <c r="C53" s="474">
        <v>0</v>
      </c>
      <c r="D53" s="480"/>
      <c r="E53" s="391">
        <f t="shared" ref="E53:M53" si="14">SUM(E48:E51)-E32</f>
        <v>0</v>
      </c>
      <c r="F53" s="391">
        <f t="shared" si="14"/>
        <v>0</v>
      </c>
      <c r="G53" s="397">
        <f t="shared" si="14"/>
        <v>0</v>
      </c>
      <c r="H53" s="398">
        <f t="shared" si="14"/>
        <v>0</v>
      </c>
      <c r="I53" s="391">
        <f t="shared" si="14"/>
        <v>0</v>
      </c>
      <c r="J53" s="407">
        <f t="shared" si="14"/>
        <v>0</v>
      </c>
      <c r="K53" s="454">
        <f>SUM(K48:K51)-K32</f>
        <v>0</v>
      </c>
      <c r="L53" s="391">
        <f t="shared" si="14"/>
        <v>0</v>
      </c>
      <c r="M53" s="391">
        <f t="shared" si="14"/>
        <v>0</v>
      </c>
    </row>
    <row r="54" spans="1:18" ht="16.5" thickTop="1" thickBot="1" x14ac:dyDescent="0.3">
      <c r="C54" s="427"/>
      <c r="D54" s="468"/>
      <c r="E54" s="371"/>
      <c r="F54" s="371"/>
      <c r="G54" s="371"/>
      <c r="H54" s="365"/>
      <c r="I54" s="371"/>
      <c r="J54" s="366"/>
      <c r="K54" s="371"/>
      <c r="L54" s="371"/>
      <c r="M54" s="366"/>
      <c r="Q54" s="509"/>
      <c r="R54" s="509"/>
    </row>
    <row r="55" spans="1:18" ht="15.75" thickBot="1" x14ac:dyDescent="0.3">
      <c r="A55" s="359" t="s">
        <v>30</v>
      </c>
      <c r="B55" s="435">
        <f>SUM(B41:B44)</f>
        <v>-82852.329999999987</v>
      </c>
      <c r="C55" s="473">
        <f t="shared" ref="C55:M55" si="15">(C12-SUM(C15:C18))+SUM(C48:C51)+B55</f>
        <v>-46002.149999999987</v>
      </c>
      <c r="D55" s="477">
        <f t="shared" si="15"/>
        <v>-46002.149999999987</v>
      </c>
      <c r="E55" s="390">
        <f t="shared" si="15"/>
        <v>-56597.849999999991</v>
      </c>
      <c r="F55" s="390">
        <f t="shared" si="15"/>
        <v>-68696.329999999987</v>
      </c>
      <c r="G55" s="430">
        <f t="shared" si="15"/>
        <v>-86185.909999999989</v>
      </c>
      <c r="H55" s="389">
        <f t="shared" si="15"/>
        <v>-101739.54999999999</v>
      </c>
      <c r="I55" s="390">
        <f t="shared" si="15"/>
        <v>-111290.79</v>
      </c>
      <c r="J55" s="406">
        <f t="shared" si="15"/>
        <v>-124526.59</v>
      </c>
      <c r="K55" s="452">
        <f t="shared" si="15"/>
        <v>-134528.82999999999</v>
      </c>
      <c r="L55" s="430">
        <f t="shared" si="15"/>
        <v>-145509.35999999999</v>
      </c>
      <c r="M55" s="406">
        <f t="shared" si="15"/>
        <v>-164296.15</v>
      </c>
      <c r="Q55" s="509"/>
      <c r="R55" s="509"/>
    </row>
    <row r="56" spans="1:18" x14ac:dyDescent="0.25">
      <c r="A56" s="359" t="s">
        <v>10</v>
      </c>
      <c r="C56" s="436"/>
      <c r="D56" s="481"/>
      <c r="E56" s="371"/>
      <c r="F56" s="371"/>
      <c r="G56" s="371"/>
      <c r="H56" s="365"/>
      <c r="I56" s="371"/>
      <c r="J56" s="366"/>
      <c r="K56" s="371"/>
      <c r="L56" s="371"/>
      <c r="M56" s="366"/>
      <c r="Q56" s="509"/>
      <c r="R56" s="509"/>
    </row>
    <row r="57" spans="1:18" ht="15.75" thickBot="1" x14ac:dyDescent="0.3">
      <c r="A57" s="386"/>
      <c r="B57" s="386"/>
      <c r="C57" s="446"/>
      <c r="D57" s="482"/>
      <c r="E57" s="393"/>
      <c r="F57" s="393"/>
      <c r="G57" s="393"/>
      <c r="H57" s="392"/>
      <c r="I57" s="393"/>
      <c r="J57" s="394"/>
      <c r="K57" s="393"/>
      <c r="L57" s="393"/>
      <c r="M57" s="394"/>
    </row>
    <row r="59" spans="1:18" x14ac:dyDescent="0.25">
      <c r="A59" s="414" t="s">
        <v>9</v>
      </c>
      <c r="B59" s="414"/>
      <c r="C59" s="414"/>
      <c r="D59" s="414"/>
    </row>
    <row r="60" spans="1:18" ht="28.9" customHeight="1" x14ac:dyDescent="0.25">
      <c r="A60" s="537" t="s">
        <v>275</v>
      </c>
      <c r="B60" s="537"/>
      <c r="C60" s="537"/>
      <c r="D60" s="537"/>
      <c r="E60" s="537"/>
      <c r="F60" s="537"/>
      <c r="G60" s="537"/>
      <c r="H60" s="537"/>
      <c r="I60" s="537"/>
      <c r="J60" s="537"/>
      <c r="K60" s="525"/>
      <c r="L60" s="525"/>
      <c r="M60" s="445"/>
    </row>
    <row r="61" spans="1:18" ht="30.6" customHeight="1" x14ac:dyDescent="0.25">
      <c r="A61" s="545" t="s">
        <v>267</v>
      </c>
      <c r="B61" s="545"/>
      <c r="C61" s="545"/>
      <c r="D61" s="545"/>
      <c r="E61" s="545"/>
      <c r="F61" s="545"/>
      <c r="G61" s="545"/>
      <c r="H61" s="545"/>
      <c r="I61" s="545"/>
      <c r="J61" s="545"/>
      <c r="K61" s="545"/>
      <c r="L61" s="545"/>
      <c r="M61" s="445"/>
    </row>
    <row r="62" spans="1:18" ht="33.75" customHeight="1" x14ac:dyDescent="0.25">
      <c r="A62" s="537" t="s">
        <v>276</v>
      </c>
      <c r="B62" s="537"/>
      <c r="C62" s="537"/>
      <c r="D62" s="537"/>
      <c r="E62" s="537"/>
      <c r="F62" s="537"/>
      <c r="G62" s="537"/>
      <c r="H62" s="537"/>
      <c r="I62" s="537"/>
      <c r="J62" s="537"/>
      <c r="K62" s="525"/>
      <c r="L62" s="525"/>
      <c r="M62" s="445"/>
    </row>
    <row r="63" spans="1:18" x14ac:dyDescent="0.25">
      <c r="A63" s="537" t="s">
        <v>220</v>
      </c>
      <c r="B63" s="537"/>
      <c r="C63" s="537"/>
      <c r="D63" s="537"/>
      <c r="E63" s="537"/>
      <c r="F63" s="537"/>
      <c r="G63" s="537"/>
      <c r="H63" s="537"/>
      <c r="I63" s="537"/>
      <c r="J63" s="537"/>
      <c r="K63" s="388"/>
      <c r="L63" s="388"/>
    </row>
    <row r="64" spans="1:18" x14ac:dyDescent="0.25">
      <c r="A64" s="408" t="s">
        <v>271</v>
      </c>
      <c r="B64" s="408"/>
      <c r="C64" s="408"/>
      <c r="D64" s="408"/>
      <c r="E64" s="388"/>
      <c r="F64" s="388"/>
      <c r="G64" s="388"/>
      <c r="H64" s="388"/>
      <c r="I64" s="388"/>
      <c r="J64" s="388"/>
      <c r="K64" s="388"/>
      <c r="L64" s="388"/>
    </row>
    <row r="65" spans="1:12" x14ac:dyDescent="0.25">
      <c r="A65" s="408" t="s">
        <v>61</v>
      </c>
      <c r="B65" s="408"/>
      <c r="C65" s="408"/>
      <c r="D65" s="408"/>
      <c r="E65" s="388"/>
      <c r="F65" s="388"/>
      <c r="G65" s="388"/>
      <c r="H65" s="388"/>
      <c r="I65" s="388"/>
      <c r="J65" s="388"/>
      <c r="K65" s="388"/>
      <c r="L65" s="388"/>
    </row>
    <row r="66" spans="1:12" x14ac:dyDescent="0.25">
      <c r="A66" s="541"/>
      <c r="B66" s="542"/>
      <c r="C66" s="542"/>
      <c r="D66" s="542"/>
      <c r="E66" s="542"/>
      <c r="F66" s="542"/>
      <c r="G66" s="542"/>
      <c r="H66" s="543"/>
      <c r="I66" s="543"/>
      <c r="J66" s="543"/>
      <c r="K66" s="543"/>
    </row>
    <row r="67" spans="1:12" x14ac:dyDescent="0.25">
      <c r="A67" s="542"/>
      <c r="B67" s="542"/>
      <c r="C67" s="542"/>
      <c r="D67" s="542"/>
      <c r="E67" s="542"/>
      <c r="F67" s="542"/>
      <c r="G67" s="542"/>
      <c r="H67" s="543"/>
      <c r="I67" s="543"/>
      <c r="J67" s="543"/>
      <c r="K67" s="543"/>
    </row>
  </sheetData>
  <mergeCells count="8">
    <mergeCell ref="A63:J63"/>
    <mergeCell ref="A66:K67"/>
    <mergeCell ref="E10:G10"/>
    <mergeCell ref="H10:J10"/>
    <mergeCell ref="K10:M10"/>
    <mergeCell ref="A60:J60"/>
    <mergeCell ref="A61:L61"/>
    <mergeCell ref="A62:J62"/>
  </mergeCells>
  <pageMargins left="0.2" right="0.2" top="0.75" bottom="0.25" header="0.3" footer="0.3"/>
  <pageSetup scale="49" orientation="landscape" r:id="rId1"/>
  <headerFooter>
    <oddHeader>&amp;C&amp;F &amp;A&amp;R&amp;"Arial"&amp;10&amp;K000000CONFIDENTIAL</oddHeader>
    <oddFooter xml:space="preserve">&amp;R_x000D_&amp;1#&amp;"Calibri"&amp;10&amp;KA80000 Restricted – Sensitive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97"/>
  <sheetViews>
    <sheetView zoomScale="85" zoomScaleNormal="85" workbookViewId="0">
      <pane ySplit="4" topLeftCell="A5" activePane="bottomLeft" state="frozen"/>
      <selection pane="bottomLeft" activeCell="A5" sqref="A5"/>
    </sheetView>
  </sheetViews>
  <sheetFormatPr defaultRowHeight="15" x14ac:dyDescent="0.25"/>
  <cols>
    <col min="1" max="1" width="23.7109375" customWidth="1"/>
    <col min="2" max="2" width="15.28515625" bestFit="1" customWidth="1"/>
    <col min="3" max="3" width="14.28515625" style="45" customWidth="1"/>
    <col min="4" max="4" width="13.28515625" bestFit="1" customWidth="1"/>
    <col min="5" max="5" width="9.7109375" bestFit="1" customWidth="1"/>
    <col min="6" max="6" width="12.5703125" bestFit="1" customWidth="1"/>
    <col min="7" max="7" width="13.140625" customWidth="1"/>
    <col min="9" max="9" width="10.42578125" bestFit="1" customWidth="1"/>
  </cols>
  <sheetData>
    <row r="1" spans="1:7" x14ac:dyDescent="0.25">
      <c r="A1" s="62" t="str">
        <f>+'PTD Cycle 3'!A1</f>
        <v>Evergy Missouri West, Inc. - DSIM Rider Update Filed 12/01/2025</v>
      </c>
      <c r="B1" s="45"/>
      <c r="D1" s="45"/>
      <c r="E1" s="45"/>
    </row>
    <row r="2" spans="1:7" x14ac:dyDescent="0.25">
      <c r="A2" s="8" t="str">
        <f>+SUBSTITUTE('PTD Cycle 3'!A2,"Cycle 3","Cycle 2")</f>
        <v>Projections for Cycle 2 January 2026 - December 2026 DSIM</v>
      </c>
      <c r="B2" s="45"/>
      <c r="D2" s="45"/>
      <c r="E2" s="45"/>
    </row>
    <row r="3" spans="1:7" ht="45.75" customHeight="1" x14ac:dyDescent="0.25">
      <c r="A3" s="45"/>
      <c r="B3" s="526" t="s">
        <v>85</v>
      </c>
      <c r="C3" s="526"/>
      <c r="D3" s="526"/>
      <c r="E3" s="45"/>
    </row>
    <row r="4" spans="1:7" ht="90" x14ac:dyDescent="0.25">
      <c r="A4" s="45"/>
      <c r="B4" s="69" t="s">
        <v>87</v>
      </c>
      <c r="C4" s="69" t="s">
        <v>88</v>
      </c>
      <c r="D4" s="69" t="s">
        <v>91</v>
      </c>
      <c r="E4" s="69" t="s">
        <v>89</v>
      </c>
      <c r="F4" s="69" t="s">
        <v>86</v>
      </c>
      <c r="G4" s="69" t="s">
        <v>92</v>
      </c>
    </row>
    <row r="5" spans="1:7" s="45" customFormat="1" x14ac:dyDescent="0.25">
      <c r="A5" s="19"/>
      <c r="B5" s="69"/>
      <c r="C5" s="69"/>
      <c r="D5" s="141"/>
    </row>
    <row r="6" spans="1:7" s="45" customFormat="1" x14ac:dyDescent="0.25">
      <c r="A6" s="218" t="s">
        <v>138</v>
      </c>
      <c r="B6" s="69"/>
      <c r="C6" s="69"/>
      <c r="D6" s="140"/>
    </row>
    <row r="7" spans="1:7" s="45" customFormat="1" x14ac:dyDescent="0.25">
      <c r="A7" s="19" t="s">
        <v>22</v>
      </c>
      <c r="B7" s="200">
        <f>+B18+B29+B40+B50+B60+B70+B80</f>
        <v>6580575.5600000005</v>
      </c>
      <c r="C7" s="200">
        <f t="shared" ref="C7:E7" si="0">+C18+C29+C40+C50+C60+C70+C80</f>
        <v>-1695365.81</v>
      </c>
      <c r="D7" s="200">
        <f t="shared" si="0"/>
        <v>-1361421.68</v>
      </c>
      <c r="E7" s="200">
        <f t="shared" si="0"/>
        <v>-87775.260000000024</v>
      </c>
      <c r="F7" s="200">
        <f>SUM(B7:E7)</f>
        <v>3436012.81</v>
      </c>
      <c r="G7" s="200">
        <f t="shared" ref="G7:G8" si="1">+G18+G29+G40+G50+G60+G70+G80</f>
        <v>0</v>
      </c>
    </row>
    <row r="8" spans="1:7" s="45" customFormat="1" x14ac:dyDescent="0.25">
      <c r="A8" s="19" t="s">
        <v>23</v>
      </c>
      <c r="B8" s="200">
        <f t="shared" ref="B8:E8" si="2">+B19+B30+B41+B51+B61+B71+B81</f>
        <v>6141489.0100000007</v>
      </c>
      <c r="C8" s="200">
        <f t="shared" si="2"/>
        <v>917589.42999999993</v>
      </c>
      <c r="D8" s="200">
        <f t="shared" si="2"/>
        <v>-160545.48000000001</v>
      </c>
      <c r="E8" s="200">
        <f t="shared" si="2"/>
        <v>65611.53</v>
      </c>
      <c r="F8" s="200">
        <f>SUM(B8:E8)</f>
        <v>6964144.4900000002</v>
      </c>
      <c r="G8" s="200">
        <f t="shared" si="1"/>
        <v>0</v>
      </c>
    </row>
    <row r="9" spans="1:7" s="45" customFormat="1" x14ac:dyDescent="0.25">
      <c r="A9" s="19" t="s">
        <v>3</v>
      </c>
      <c r="B9" s="194">
        <f t="shared" ref="B9:E9" si="3">SUM(B7:B8)</f>
        <v>12722064.57</v>
      </c>
      <c r="C9" s="194">
        <f t="shared" si="3"/>
        <v>-777776.38000000012</v>
      </c>
      <c r="D9" s="194">
        <f t="shared" si="3"/>
        <v>-1521967.16</v>
      </c>
      <c r="E9" s="194">
        <f t="shared" si="3"/>
        <v>-22163.730000000025</v>
      </c>
      <c r="F9" s="194">
        <f t="shared" ref="F9:G9" si="4">SUM(F7:F8)</f>
        <v>10400157.300000001</v>
      </c>
      <c r="G9" s="194">
        <f t="shared" si="4"/>
        <v>0</v>
      </c>
    </row>
    <row r="10" spans="1:7" s="45" customFormat="1" x14ac:dyDescent="0.25">
      <c r="B10" s="191"/>
      <c r="C10" s="191"/>
      <c r="D10" s="192"/>
    </row>
    <row r="11" spans="1:7" s="45" customFormat="1" x14ac:dyDescent="0.25">
      <c r="A11" s="19" t="s">
        <v>94</v>
      </c>
      <c r="B11" s="194">
        <f t="shared" ref="B11:E11" si="5">+B22+B33+B44+B54+B64+B74+B84</f>
        <v>2400450.7000000002</v>
      </c>
      <c r="C11" s="194">
        <f t="shared" si="5"/>
        <v>394893.28</v>
      </c>
      <c r="D11" s="194">
        <f t="shared" si="5"/>
        <v>-42963.699999999975</v>
      </c>
      <c r="E11" s="194">
        <f t="shared" si="5"/>
        <v>29785.539999999997</v>
      </c>
      <c r="F11" s="194">
        <f t="shared" ref="F11:F13" si="6">SUM(B11:E11)</f>
        <v>2782165.8200000003</v>
      </c>
      <c r="G11" s="194">
        <f t="shared" ref="G11:G13" si="7">+G22+G33+G44+G54+G64+G74+G84</f>
        <v>0</v>
      </c>
    </row>
    <row r="12" spans="1:7" s="45" customFormat="1" x14ac:dyDescent="0.25">
      <c r="A12" s="19" t="s">
        <v>95</v>
      </c>
      <c r="B12" s="194">
        <f t="shared" ref="B12:E12" si="8">+B23+B34+B45+B55+B65+B75+B85</f>
        <v>2683377.23</v>
      </c>
      <c r="C12" s="194">
        <f t="shared" si="8"/>
        <v>480798.51</v>
      </c>
      <c r="D12" s="194">
        <f t="shared" si="8"/>
        <v>-107219.15</v>
      </c>
      <c r="E12" s="194">
        <f t="shared" si="8"/>
        <v>31959.200000000001</v>
      </c>
      <c r="F12" s="194">
        <f t="shared" si="6"/>
        <v>3088915.7900000005</v>
      </c>
      <c r="G12" s="194">
        <f t="shared" si="7"/>
        <v>0</v>
      </c>
    </row>
    <row r="13" spans="1:7" s="45" customFormat="1" x14ac:dyDescent="0.25">
      <c r="A13" s="19" t="s">
        <v>96</v>
      </c>
      <c r="B13" s="194">
        <f t="shared" ref="B13:E13" si="9">+B24+B35+B46+B56+B66+B76+B86</f>
        <v>1057661.06</v>
      </c>
      <c r="C13" s="194">
        <f t="shared" si="9"/>
        <v>41897.640000000007</v>
      </c>
      <c r="D13" s="194">
        <f t="shared" si="9"/>
        <v>-10362.630000000001</v>
      </c>
      <c r="E13" s="194">
        <f t="shared" si="9"/>
        <v>3866.7900000000004</v>
      </c>
      <c r="F13" s="194">
        <f t="shared" si="6"/>
        <v>1093062.8600000001</v>
      </c>
      <c r="G13" s="194">
        <f t="shared" si="7"/>
        <v>0</v>
      </c>
    </row>
    <row r="14" spans="1:7" s="45" customFormat="1" x14ac:dyDescent="0.25">
      <c r="A14" s="29" t="s">
        <v>97</v>
      </c>
      <c r="B14" s="194">
        <f t="shared" ref="B14:E14" si="10">SUM(B11:B13)</f>
        <v>6141488.9900000002</v>
      </c>
      <c r="C14" s="194">
        <f t="shared" si="10"/>
        <v>917589.43</v>
      </c>
      <c r="D14" s="194">
        <f t="shared" si="10"/>
        <v>-160545.47999999998</v>
      </c>
      <c r="E14" s="194">
        <f t="shared" si="10"/>
        <v>65611.53</v>
      </c>
      <c r="F14" s="194">
        <f t="shared" ref="F14:G14" si="11">SUM(F11:F13)</f>
        <v>6964144.4700000016</v>
      </c>
      <c r="G14" s="194">
        <f t="shared" si="11"/>
        <v>0</v>
      </c>
    </row>
    <row r="15" spans="1:7" s="45" customFormat="1" x14ac:dyDescent="0.25">
      <c r="A15" s="19"/>
      <c r="B15" s="69"/>
      <c r="C15" s="69"/>
      <c r="D15" s="140"/>
    </row>
    <row r="16" spans="1:7" s="45" customFormat="1" x14ac:dyDescent="0.25">
      <c r="A16" s="19"/>
      <c r="B16" s="69"/>
      <c r="C16" s="69"/>
      <c r="D16" s="140"/>
    </row>
    <row r="17" spans="1:10" s="45" customFormat="1" x14ac:dyDescent="0.25">
      <c r="A17" s="218" t="s">
        <v>144</v>
      </c>
      <c r="B17" s="69"/>
      <c r="C17" s="69"/>
      <c r="D17" s="140"/>
    </row>
    <row r="18" spans="1:10" s="45" customFormat="1" x14ac:dyDescent="0.25">
      <c r="A18" s="19" t="s">
        <v>22</v>
      </c>
      <c r="B18" s="24">
        <v>5181939.6500000004</v>
      </c>
      <c r="C18" s="24">
        <v>-722286.33</v>
      </c>
      <c r="D18" s="24">
        <v>574414.55000000005</v>
      </c>
      <c r="E18" s="211">
        <v>2229.4899999999998</v>
      </c>
      <c r="F18" s="200">
        <f>SUM(B18:E18)</f>
        <v>5036297.3600000003</v>
      </c>
      <c r="G18" s="212">
        <f>ROUND(F18/24*0,2)</f>
        <v>0</v>
      </c>
    </row>
    <row r="19" spans="1:10" s="45" customFormat="1" x14ac:dyDescent="0.25">
      <c r="A19" s="19" t="s">
        <v>23</v>
      </c>
      <c r="B19" s="193">
        <v>5060008.6900000004</v>
      </c>
      <c r="C19" s="193">
        <v>194085.35</v>
      </c>
      <c r="D19" s="193">
        <v>562321.14</v>
      </c>
      <c r="E19" s="213">
        <v>20418.36</v>
      </c>
      <c r="F19" s="200">
        <f>SUM(B19:E19)</f>
        <v>5836833.54</v>
      </c>
      <c r="G19" s="212">
        <f>ROUND(F19/24*0,2)</f>
        <v>0</v>
      </c>
    </row>
    <row r="20" spans="1:10" s="45" customFormat="1" x14ac:dyDescent="0.25">
      <c r="A20" s="19" t="s">
        <v>3</v>
      </c>
      <c r="B20" s="194">
        <f t="shared" ref="B20:G20" si="12">SUM(B18:B19)</f>
        <v>10241948.34</v>
      </c>
      <c r="C20" s="194">
        <f t="shared" si="12"/>
        <v>-528200.98</v>
      </c>
      <c r="D20" s="194">
        <f t="shared" si="12"/>
        <v>1136735.69</v>
      </c>
      <c r="E20" s="214">
        <f t="shared" si="12"/>
        <v>22647.85</v>
      </c>
      <c r="F20" s="194">
        <f t="shared" si="12"/>
        <v>10873130.9</v>
      </c>
      <c r="G20" s="215">
        <f t="shared" si="12"/>
        <v>0</v>
      </c>
    </row>
    <row r="21" spans="1:10" s="45" customFormat="1" x14ac:dyDescent="0.25">
      <c r="B21" s="191"/>
      <c r="C21" s="191"/>
      <c r="D21" s="192"/>
    </row>
    <row r="22" spans="1:10" x14ac:dyDescent="0.25">
      <c r="A22" s="19" t="s">
        <v>94</v>
      </c>
      <c r="B22" s="24">
        <v>1943830.05</v>
      </c>
      <c r="C22" s="24">
        <v>62654.27</v>
      </c>
      <c r="D22" s="24">
        <v>289519.26</v>
      </c>
      <c r="E22" s="193">
        <v>9487.83</v>
      </c>
      <c r="F22" s="194">
        <f t="shared" ref="F22:F24" si="13">SUM(B22:E22)</f>
        <v>2305491.41</v>
      </c>
      <c r="G22" s="220">
        <f>ROUND(F22/24*0,2)</f>
        <v>0</v>
      </c>
      <c r="J22" s="45"/>
    </row>
    <row r="23" spans="1:10" x14ac:dyDescent="0.25">
      <c r="A23" s="19" t="s">
        <v>95</v>
      </c>
      <c r="B23" s="24">
        <v>2196160.91</v>
      </c>
      <c r="C23" s="24">
        <v>122990.05</v>
      </c>
      <c r="D23" s="24">
        <v>233118.96</v>
      </c>
      <c r="E23" s="24">
        <v>9593.31</v>
      </c>
      <c r="F23" s="194">
        <f t="shared" si="13"/>
        <v>2561863.23</v>
      </c>
      <c r="G23" s="220">
        <f>ROUND(F23/24*0,2)</f>
        <v>0</v>
      </c>
      <c r="J23" s="45"/>
    </row>
    <row r="24" spans="1:10" x14ac:dyDescent="0.25">
      <c r="A24" s="19" t="s">
        <v>96</v>
      </c>
      <c r="B24" s="193">
        <v>920017.71</v>
      </c>
      <c r="C24" s="193">
        <v>8441.0300000000007</v>
      </c>
      <c r="D24" s="193">
        <v>39682.92</v>
      </c>
      <c r="E24" s="193">
        <v>1337.22</v>
      </c>
      <c r="F24" s="194">
        <f t="shared" si="13"/>
        <v>969478.88</v>
      </c>
      <c r="G24" s="220">
        <f>ROUND(F24/24*0,2)</f>
        <v>0</v>
      </c>
      <c r="J24" s="45"/>
    </row>
    <row r="25" spans="1:10" x14ac:dyDescent="0.25">
      <c r="A25" s="29" t="s">
        <v>97</v>
      </c>
      <c r="B25" s="194">
        <f>SUM(B22:B24)</f>
        <v>5060008.67</v>
      </c>
      <c r="C25" s="194">
        <f>SUM(C22:C24)</f>
        <v>194085.35</v>
      </c>
      <c r="D25" s="194">
        <f t="shared" ref="D25:G25" si="14">SUM(D22:D24)</f>
        <v>562321.14</v>
      </c>
      <c r="E25" s="194">
        <f t="shared" si="14"/>
        <v>20418.36</v>
      </c>
      <c r="F25" s="194">
        <f t="shared" si="14"/>
        <v>5836833.5200000005</v>
      </c>
      <c r="G25" s="194">
        <f t="shared" si="14"/>
        <v>0</v>
      </c>
      <c r="J25" s="45"/>
    </row>
    <row r="26" spans="1:10" s="38" customFormat="1" x14ac:dyDescent="0.25">
      <c r="A26" s="29"/>
      <c r="B26" s="219"/>
      <c r="C26" s="219"/>
      <c r="D26" s="219"/>
      <c r="E26" s="219"/>
      <c r="F26" s="219"/>
      <c r="G26" s="219"/>
      <c r="J26" s="45"/>
    </row>
    <row r="27" spans="1:10" s="38" customFormat="1" x14ac:dyDescent="0.25">
      <c r="A27" s="29"/>
      <c r="B27" s="219"/>
      <c r="C27" s="219"/>
      <c r="D27" s="219"/>
      <c r="E27" s="219"/>
      <c r="F27" s="219"/>
      <c r="G27" s="219"/>
      <c r="J27" s="45"/>
    </row>
    <row r="28" spans="1:10" s="45" customFormat="1" x14ac:dyDescent="0.25">
      <c r="A28" s="218" t="s">
        <v>145</v>
      </c>
      <c r="B28" s="69"/>
      <c r="C28" s="69"/>
      <c r="D28" s="140"/>
    </row>
    <row r="29" spans="1:10" s="45" customFormat="1" x14ac:dyDescent="0.25">
      <c r="A29" s="19" t="s">
        <v>22</v>
      </c>
      <c r="B29" s="24">
        <v>1398635.91</v>
      </c>
      <c r="C29" s="24">
        <v>-801107.23</v>
      </c>
      <c r="D29" s="24">
        <v>-1374859.37</v>
      </c>
      <c r="E29" s="211">
        <v>-42421.68</v>
      </c>
      <c r="F29" s="200">
        <f>SUM(B29:E29)</f>
        <v>-819752.37000000023</v>
      </c>
      <c r="G29" s="212">
        <f>ROUND(F29/24*0,2)</f>
        <v>0</v>
      </c>
    </row>
    <row r="30" spans="1:10" s="45" customFormat="1" x14ac:dyDescent="0.25">
      <c r="A30" s="19" t="s">
        <v>23</v>
      </c>
      <c r="B30" s="193">
        <v>1081480.32</v>
      </c>
      <c r="C30" s="193">
        <v>524350.93999999994</v>
      </c>
      <c r="D30" s="193">
        <v>-536449.89</v>
      </c>
      <c r="E30" s="213">
        <v>37990.920000000006</v>
      </c>
      <c r="F30" s="200">
        <f>SUM(B30:E30)</f>
        <v>1107372.29</v>
      </c>
      <c r="G30" s="212">
        <f>ROUND(F30/24*0,2)</f>
        <v>0</v>
      </c>
    </row>
    <row r="31" spans="1:10" s="45" customFormat="1" x14ac:dyDescent="0.25">
      <c r="A31" s="19" t="s">
        <v>3</v>
      </c>
      <c r="B31" s="194">
        <f t="shared" ref="B31:G31" si="15">SUM(B29:B30)</f>
        <v>2480116.23</v>
      </c>
      <c r="C31" s="194">
        <f t="shared" si="15"/>
        <v>-276756.29000000004</v>
      </c>
      <c r="D31" s="194">
        <f t="shared" si="15"/>
        <v>-1911309.2600000002</v>
      </c>
      <c r="E31" s="214">
        <f t="shared" si="15"/>
        <v>-4430.7599999999948</v>
      </c>
      <c r="F31" s="194">
        <f t="shared" si="15"/>
        <v>287619.91999999981</v>
      </c>
      <c r="G31" s="215">
        <f t="shared" si="15"/>
        <v>0</v>
      </c>
    </row>
    <row r="32" spans="1:10" s="45" customFormat="1" x14ac:dyDescent="0.25">
      <c r="B32" s="191"/>
      <c r="C32" s="191"/>
      <c r="D32" s="192"/>
    </row>
    <row r="33" spans="1:10" s="45" customFormat="1" x14ac:dyDescent="0.25">
      <c r="A33" s="19" t="s">
        <v>94</v>
      </c>
      <c r="B33" s="24">
        <v>456620.65</v>
      </c>
      <c r="C33" s="24">
        <v>238713.51</v>
      </c>
      <c r="D33" s="24">
        <v>-250839.18</v>
      </c>
      <c r="E33" s="193">
        <v>16987.560000000001</v>
      </c>
      <c r="F33" s="194">
        <f t="shared" ref="F33:F35" si="16">SUM(B33:E33)</f>
        <v>461482.54000000004</v>
      </c>
      <c r="G33" s="220">
        <f>ROUND(F33/24*0,2)</f>
        <v>0</v>
      </c>
    </row>
    <row r="34" spans="1:10" s="45" customFormat="1" x14ac:dyDescent="0.25">
      <c r="A34" s="19" t="s">
        <v>95</v>
      </c>
      <c r="B34" s="24">
        <v>487216.32</v>
      </c>
      <c r="C34" s="24">
        <v>261085.55</v>
      </c>
      <c r="D34" s="24">
        <v>-248789.11</v>
      </c>
      <c r="E34" s="24">
        <v>18676.650000000001</v>
      </c>
      <c r="F34" s="194">
        <f t="shared" si="16"/>
        <v>518189.41000000003</v>
      </c>
      <c r="G34" s="220">
        <f>ROUND(F34/24*0,2)</f>
        <v>0</v>
      </c>
    </row>
    <row r="35" spans="1:10" s="45" customFormat="1" x14ac:dyDescent="0.25">
      <c r="A35" s="19" t="s">
        <v>96</v>
      </c>
      <c r="B35" s="193">
        <v>137643.35</v>
      </c>
      <c r="C35" s="193">
        <v>24551.88</v>
      </c>
      <c r="D35" s="193">
        <v>-36821.599999999999</v>
      </c>
      <c r="E35" s="193">
        <v>2326.71</v>
      </c>
      <c r="F35" s="194">
        <f t="shared" si="16"/>
        <v>127700.34000000001</v>
      </c>
      <c r="G35" s="220">
        <f>ROUND(F35/24*0,2)</f>
        <v>0</v>
      </c>
    </row>
    <row r="36" spans="1:10" s="45" customFormat="1" x14ac:dyDescent="0.25">
      <c r="A36" s="29" t="s">
        <v>97</v>
      </c>
      <c r="B36" s="194">
        <f>SUM(B33:B35)</f>
        <v>1081480.32</v>
      </c>
      <c r="C36" s="194">
        <f>SUM(C33:C35)</f>
        <v>524350.93999999994</v>
      </c>
      <c r="D36" s="194">
        <f t="shared" ref="D36:G36" si="17">SUM(D33:D35)</f>
        <v>-536449.89</v>
      </c>
      <c r="E36" s="194">
        <f t="shared" si="17"/>
        <v>37990.920000000006</v>
      </c>
      <c r="F36" s="194">
        <f t="shared" si="17"/>
        <v>1107372.29</v>
      </c>
      <c r="G36" s="194">
        <f t="shared" si="17"/>
        <v>0</v>
      </c>
    </row>
    <row r="37" spans="1:10" x14ac:dyDescent="0.25">
      <c r="A37" s="29"/>
      <c r="B37" s="219"/>
      <c r="C37" s="219"/>
      <c r="D37" s="219"/>
      <c r="E37" s="219"/>
      <c r="F37" s="219"/>
      <c r="G37" s="219"/>
      <c r="J37" s="45"/>
    </row>
    <row r="38" spans="1:10" s="38" customFormat="1" x14ac:dyDescent="0.25">
      <c r="A38" s="29"/>
      <c r="B38" s="219"/>
      <c r="C38" s="219"/>
      <c r="D38" s="219"/>
      <c r="E38" s="219"/>
      <c r="F38" s="219"/>
      <c r="G38" s="219"/>
      <c r="J38" s="45"/>
    </row>
    <row r="39" spans="1:10" s="45" customFormat="1" x14ac:dyDescent="0.25">
      <c r="A39" s="218" t="s">
        <v>146</v>
      </c>
      <c r="B39" s="69"/>
      <c r="C39" s="69"/>
      <c r="D39" s="140"/>
    </row>
    <row r="40" spans="1:10" s="45" customFormat="1" x14ac:dyDescent="0.25">
      <c r="A40" s="19" t="s">
        <v>22</v>
      </c>
      <c r="B40" s="24">
        <v>0</v>
      </c>
      <c r="C40" s="24">
        <v>-188195.82</v>
      </c>
      <c r="D40" s="24">
        <v>-520190.41</v>
      </c>
      <c r="E40" s="211">
        <v>-19391.330000000002</v>
      </c>
      <c r="F40" s="200">
        <f>SUM(B40:E40)</f>
        <v>-727777.55999999994</v>
      </c>
      <c r="G40" s="212">
        <f>ROUND(F40/24*0,2)</f>
        <v>0</v>
      </c>
    </row>
    <row r="41" spans="1:10" s="45" customFormat="1" x14ac:dyDescent="0.25">
      <c r="A41" s="19" t="s">
        <v>23</v>
      </c>
      <c r="B41" s="193">
        <v>0</v>
      </c>
      <c r="C41" s="193">
        <v>185348.24</v>
      </c>
      <c r="D41" s="193">
        <v>-173130.57</v>
      </c>
      <c r="E41" s="213">
        <v>5685.3399999999992</v>
      </c>
      <c r="F41" s="200">
        <f>SUM(B41:E41)</f>
        <v>17903.009999999984</v>
      </c>
      <c r="G41" s="212">
        <f>ROUND(F41/24*0,2)</f>
        <v>0</v>
      </c>
    </row>
    <row r="42" spans="1:10" s="45" customFormat="1" x14ac:dyDescent="0.25">
      <c r="A42" s="19" t="s">
        <v>3</v>
      </c>
      <c r="B42" s="194">
        <f t="shared" ref="B42:G42" si="18">SUM(B40:B41)</f>
        <v>0</v>
      </c>
      <c r="C42" s="194">
        <f t="shared" si="18"/>
        <v>-2847.5800000000163</v>
      </c>
      <c r="D42" s="194">
        <f t="shared" si="18"/>
        <v>-693320.98</v>
      </c>
      <c r="E42" s="214">
        <f t="shared" si="18"/>
        <v>-13705.990000000002</v>
      </c>
      <c r="F42" s="194">
        <f t="shared" si="18"/>
        <v>-709874.54999999993</v>
      </c>
      <c r="G42" s="215">
        <f t="shared" si="18"/>
        <v>0</v>
      </c>
    </row>
    <row r="43" spans="1:10" s="45" customFormat="1" x14ac:dyDescent="0.25">
      <c r="B43" s="191"/>
      <c r="C43" s="191"/>
      <c r="D43" s="192"/>
    </row>
    <row r="44" spans="1:10" s="45" customFormat="1" x14ac:dyDescent="0.25">
      <c r="A44" s="19" t="s">
        <v>94</v>
      </c>
      <c r="B44" s="24">
        <v>0</v>
      </c>
      <c r="C44" s="24">
        <v>87398.02</v>
      </c>
      <c r="D44" s="24">
        <v>-76386.149999999994</v>
      </c>
      <c r="E44" s="193">
        <v>2490.44</v>
      </c>
      <c r="F44" s="194">
        <f t="shared" ref="F44:F46" si="19">SUM(B44:E44)</f>
        <v>13502.31000000001</v>
      </c>
      <c r="G44" s="220">
        <f>ROUND(F44/24*0,2)</f>
        <v>0</v>
      </c>
    </row>
    <row r="45" spans="1:10" s="45" customFormat="1" x14ac:dyDescent="0.25">
      <c r="A45" s="19" t="s">
        <v>95</v>
      </c>
      <c r="B45" s="24">
        <v>0</v>
      </c>
      <c r="C45" s="24">
        <v>89708.28</v>
      </c>
      <c r="D45" s="24">
        <v>-84622.720000000001</v>
      </c>
      <c r="E45" s="24">
        <v>2915.7</v>
      </c>
      <c r="F45" s="194">
        <f t="shared" si="19"/>
        <v>8001.2599999999975</v>
      </c>
      <c r="G45" s="220">
        <f>ROUND(F45/24*0,2)</f>
        <v>0</v>
      </c>
    </row>
    <row r="46" spans="1:10" s="45" customFormat="1" x14ac:dyDescent="0.25">
      <c r="A46" s="19" t="s">
        <v>96</v>
      </c>
      <c r="B46" s="193">
        <v>0</v>
      </c>
      <c r="C46" s="24">
        <v>8241.94</v>
      </c>
      <c r="D46" s="193">
        <v>-12121.7</v>
      </c>
      <c r="E46" s="193">
        <v>279.2</v>
      </c>
      <c r="F46" s="194">
        <f t="shared" si="19"/>
        <v>-3600.5600000000004</v>
      </c>
      <c r="G46" s="220">
        <f>ROUND(F46/24*0,2)</f>
        <v>0</v>
      </c>
    </row>
    <row r="47" spans="1:10" s="45" customFormat="1" x14ac:dyDescent="0.25">
      <c r="A47" s="29" t="s">
        <v>97</v>
      </c>
      <c r="B47" s="194">
        <f>SUM(B44:B46)</f>
        <v>0</v>
      </c>
      <c r="C47" s="194">
        <f>SUM(C44:C46)</f>
        <v>185348.24</v>
      </c>
      <c r="D47" s="194">
        <f t="shared" ref="D47:G47" si="20">SUM(D44:D46)</f>
        <v>-173130.57</v>
      </c>
      <c r="E47" s="194">
        <f t="shared" si="20"/>
        <v>5685.3399999999992</v>
      </c>
      <c r="F47" s="194">
        <f t="shared" si="20"/>
        <v>17903.010000000006</v>
      </c>
      <c r="G47" s="194">
        <f t="shared" si="20"/>
        <v>0</v>
      </c>
    </row>
    <row r="48" spans="1:10" s="45" customFormat="1" x14ac:dyDescent="0.25">
      <c r="A48" s="29"/>
      <c r="B48" s="216"/>
      <c r="C48" s="216"/>
      <c r="D48" s="216"/>
      <c r="E48" s="216"/>
      <c r="F48" s="216"/>
      <c r="G48" s="216"/>
    </row>
    <row r="49" spans="1:7" s="45" customFormat="1" x14ac:dyDescent="0.25">
      <c r="A49" s="218" t="s">
        <v>148</v>
      </c>
      <c r="B49" s="69"/>
      <c r="C49" s="69"/>
      <c r="D49" s="140"/>
    </row>
    <row r="50" spans="1:7" s="45" customFormat="1" x14ac:dyDescent="0.25">
      <c r="A50" s="19" t="s">
        <v>22</v>
      </c>
      <c r="B50" s="24">
        <v>0</v>
      </c>
      <c r="C50" s="24">
        <v>0</v>
      </c>
      <c r="D50" s="24">
        <v>0</v>
      </c>
      <c r="E50" s="211">
        <v>-10950.18</v>
      </c>
      <c r="F50" s="200">
        <f>SUM(B50:E50)</f>
        <v>-10950.18</v>
      </c>
      <c r="G50" s="212">
        <f>ROUND(F50/24*0,2)</f>
        <v>0</v>
      </c>
    </row>
    <row r="51" spans="1:7" s="45" customFormat="1" x14ac:dyDescent="0.25">
      <c r="A51" s="19" t="s">
        <v>23</v>
      </c>
      <c r="B51" s="193">
        <v>0</v>
      </c>
      <c r="C51" s="193">
        <v>0</v>
      </c>
      <c r="D51" s="193">
        <v>0</v>
      </c>
      <c r="E51" s="213">
        <v>1989.22</v>
      </c>
      <c r="F51" s="200">
        <f>SUM(B51:E51)</f>
        <v>1989.22</v>
      </c>
      <c r="G51" s="212">
        <f>SUM(G54:G56)</f>
        <v>0</v>
      </c>
    </row>
    <row r="52" spans="1:7" s="45" customFormat="1" x14ac:dyDescent="0.25">
      <c r="A52" s="19" t="s">
        <v>3</v>
      </c>
      <c r="B52" s="194">
        <f t="shared" ref="B52:G52" si="21">SUM(B50:B51)</f>
        <v>0</v>
      </c>
      <c r="C52" s="194">
        <f t="shared" si="21"/>
        <v>0</v>
      </c>
      <c r="D52" s="194">
        <f t="shared" si="21"/>
        <v>0</v>
      </c>
      <c r="E52" s="214">
        <f t="shared" si="21"/>
        <v>-8960.9600000000009</v>
      </c>
      <c r="F52" s="194">
        <f t="shared" si="21"/>
        <v>-8960.9600000000009</v>
      </c>
      <c r="G52" s="215">
        <f t="shared" si="21"/>
        <v>0</v>
      </c>
    </row>
    <row r="53" spans="1:7" s="45" customFormat="1" x14ac:dyDescent="0.25">
      <c r="B53" s="191"/>
      <c r="C53" s="191"/>
      <c r="D53" s="192"/>
    </row>
    <row r="54" spans="1:7" s="45" customFormat="1" x14ac:dyDescent="0.25">
      <c r="A54" s="19" t="s">
        <v>94</v>
      </c>
      <c r="B54" s="24">
        <v>0</v>
      </c>
      <c r="C54" s="24">
        <v>0</v>
      </c>
      <c r="D54" s="24">
        <v>0</v>
      </c>
      <c r="E54" s="193">
        <v>869.87</v>
      </c>
      <c r="F54" s="194">
        <f t="shared" ref="F54:F56" si="22">SUM(B54:E54)</f>
        <v>869.87</v>
      </c>
      <c r="G54" s="220">
        <f>ROUND(F54/24*0,2)</f>
        <v>0</v>
      </c>
    </row>
    <row r="55" spans="1:7" s="45" customFormat="1" x14ac:dyDescent="0.25">
      <c r="A55" s="19" t="s">
        <v>95</v>
      </c>
      <c r="B55" s="24">
        <v>0</v>
      </c>
      <c r="C55" s="24">
        <v>0</v>
      </c>
      <c r="D55" s="24">
        <v>0</v>
      </c>
      <c r="E55" s="24">
        <v>1045.55</v>
      </c>
      <c r="F55" s="194">
        <f t="shared" si="22"/>
        <v>1045.55</v>
      </c>
      <c r="G55" s="220">
        <f>ROUND(F55/24*0,2)</f>
        <v>0</v>
      </c>
    </row>
    <row r="56" spans="1:7" s="45" customFormat="1" x14ac:dyDescent="0.25">
      <c r="A56" s="19" t="s">
        <v>96</v>
      </c>
      <c r="B56" s="193">
        <v>0</v>
      </c>
      <c r="C56" s="24">
        <v>0</v>
      </c>
      <c r="D56" s="193">
        <v>0</v>
      </c>
      <c r="E56" s="193">
        <v>73.8</v>
      </c>
      <c r="F56" s="194">
        <f t="shared" si="22"/>
        <v>73.8</v>
      </c>
      <c r="G56" s="220">
        <f>ROUND(F56/24*0,2)</f>
        <v>0</v>
      </c>
    </row>
    <row r="57" spans="1:7" s="45" customFormat="1" x14ac:dyDescent="0.25">
      <c r="A57" s="29" t="s">
        <v>97</v>
      </c>
      <c r="B57" s="194">
        <f>SUM(B54:B56)</f>
        <v>0</v>
      </c>
      <c r="C57" s="194">
        <f>SUM(C54:C56)</f>
        <v>0</v>
      </c>
      <c r="D57" s="194">
        <f t="shared" ref="D57:G57" si="23">SUM(D54:D56)</f>
        <v>0</v>
      </c>
      <c r="E57" s="194">
        <f t="shared" si="23"/>
        <v>1989.22</v>
      </c>
      <c r="F57" s="194">
        <f t="shared" si="23"/>
        <v>1989.22</v>
      </c>
      <c r="G57" s="194">
        <f t="shared" si="23"/>
        <v>0</v>
      </c>
    </row>
    <row r="58" spans="1:7" s="45" customFormat="1" x14ac:dyDescent="0.25">
      <c r="A58" s="29"/>
      <c r="B58" s="216"/>
      <c r="C58" s="216"/>
      <c r="D58" s="216"/>
      <c r="E58" s="216"/>
      <c r="F58" s="216"/>
      <c r="G58" s="216"/>
    </row>
    <row r="59" spans="1:7" s="45" customFormat="1" x14ac:dyDescent="0.25">
      <c r="A59" s="218" t="s">
        <v>150</v>
      </c>
      <c r="B59" s="69"/>
      <c r="C59" s="69"/>
      <c r="D59" s="140"/>
    </row>
    <row r="60" spans="1:7" s="45" customFormat="1" x14ac:dyDescent="0.25">
      <c r="A60" s="19" t="s">
        <v>22</v>
      </c>
      <c r="B60" s="24">
        <v>0</v>
      </c>
      <c r="C60" s="24">
        <v>0</v>
      </c>
      <c r="D60" s="24">
        <v>0</v>
      </c>
      <c r="E60" s="211">
        <v>-12711.64</v>
      </c>
      <c r="F60" s="200">
        <f>SUM(B60:E60)</f>
        <v>-12711.64</v>
      </c>
      <c r="G60" s="212">
        <f>ROUND(F60/24*0,2)</f>
        <v>0</v>
      </c>
    </row>
    <row r="61" spans="1:7" s="45" customFormat="1" x14ac:dyDescent="0.25">
      <c r="A61" s="19" t="s">
        <v>23</v>
      </c>
      <c r="B61" s="193">
        <v>0</v>
      </c>
      <c r="C61" s="193">
        <v>0</v>
      </c>
      <c r="D61" s="193">
        <v>0</v>
      </c>
      <c r="E61" s="213">
        <v>935.53000000000009</v>
      </c>
      <c r="F61" s="200">
        <f>SUM(B61:E61)</f>
        <v>935.53000000000009</v>
      </c>
      <c r="G61" s="212">
        <f>SUM(G64:G66)</f>
        <v>0</v>
      </c>
    </row>
    <row r="62" spans="1:7" s="45" customFormat="1" x14ac:dyDescent="0.25">
      <c r="A62" s="19" t="s">
        <v>3</v>
      </c>
      <c r="B62" s="194">
        <f t="shared" ref="B62:G62" si="24">SUM(B60:B61)</f>
        <v>0</v>
      </c>
      <c r="C62" s="194">
        <f t="shared" si="24"/>
        <v>0</v>
      </c>
      <c r="D62" s="194">
        <f t="shared" si="24"/>
        <v>0</v>
      </c>
      <c r="E62" s="214">
        <f t="shared" si="24"/>
        <v>-11776.109999999999</v>
      </c>
      <c r="F62" s="194">
        <f t="shared" si="24"/>
        <v>-11776.109999999999</v>
      </c>
      <c r="G62" s="215">
        <f t="shared" si="24"/>
        <v>0</v>
      </c>
    </row>
    <row r="63" spans="1:7" s="45" customFormat="1" x14ac:dyDescent="0.25">
      <c r="B63" s="191"/>
      <c r="C63" s="191"/>
      <c r="D63" s="192"/>
    </row>
    <row r="64" spans="1:7" s="45" customFormat="1" x14ac:dyDescent="0.25">
      <c r="A64" s="19" t="s">
        <v>94</v>
      </c>
      <c r="B64" s="24">
        <v>0</v>
      </c>
      <c r="C64" s="24">
        <v>0</v>
      </c>
      <c r="D64" s="24">
        <v>0</v>
      </c>
      <c r="E64" s="193">
        <v>463.05</v>
      </c>
      <c r="F64" s="194">
        <f t="shared" ref="F64:F66" si="25">SUM(B64:E64)</f>
        <v>463.05</v>
      </c>
      <c r="G64" s="212">
        <f>ROUND(F64/24*0,2)</f>
        <v>0</v>
      </c>
    </row>
    <row r="65" spans="1:7" s="45" customFormat="1" x14ac:dyDescent="0.25">
      <c r="A65" s="19" t="s">
        <v>95</v>
      </c>
      <c r="B65" s="24">
        <v>0</v>
      </c>
      <c r="C65" s="24">
        <v>0</v>
      </c>
      <c r="D65" s="24">
        <v>0</v>
      </c>
      <c r="E65" s="24">
        <v>489.36</v>
      </c>
      <c r="F65" s="194">
        <f t="shared" si="25"/>
        <v>489.36</v>
      </c>
      <c r="G65" s="212">
        <f>ROUND(F65/24*0,2)</f>
        <v>0</v>
      </c>
    </row>
    <row r="66" spans="1:7" s="45" customFormat="1" x14ac:dyDescent="0.25">
      <c r="A66" s="19" t="s">
        <v>96</v>
      </c>
      <c r="B66" s="193">
        <v>0</v>
      </c>
      <c r="C66" s="24">
        <v>0</v>
      </c>
      <c r="D66" s="193">
        <v>0</v>
      </c>
      <c r="E66" s="193">
        <v>-16.88</v>
      </c>
      <c r="F66" s="194">
        <f t="shared" si="25"/>
        <v>-16.88</v>
      </c>
      <c r="G66" s="212">
        <f>ROUND(F66/24*0,2)</f>
        <v>0</v>
      </c>
    </row>
    <row r="67" spans="1:7" s="45" customFormat="1" x14ac:dyDescent="0.25">
      <c r="A67" s="29" t="s">
        <v>97</v>
      </c>
      <c r="B67" s="194">
        <f>SUM(B64:B66)</f>
        <v>0</v>
      </c>
      <c r="C67" s="194">
        <f>SUM(C64:C66)</f>
        <v>0</v>
      </c>
      <c r="D67" s="194">
        <f t="shared" ref="D67:G67" si="26">SUM(D64:D66)</f>
        <v>0</v>
      </c>
      <c r="E67" s="194">
        <f t="shared" si="26"/>
        <v>935.53000000000009</v>
      </c>
      <c r="F67" s="194">
        <f t="shared" si="26"/>
        <v>935.53000000000009</v>
      </c>
      <c r="G67" s="194">
        <f t="shared" si="26"/>
        <v>0</v>
      </c>
    </row>
    <row r="68" spans="1:7" s="45" customFormat="1" x14ac:dyDescent="0.25">
      <c r="A68" s="29"/>
      <c r="B68" s="216"/>
      <c r="C68" s="216"/>
      <c r="D68" s="216"/>
      <c r="E68" s="216"/>
      <c r="F68" s="216"/>
      <c r="G68" s="216"/>
    </row>
    <row r="69" spans="1:7" s="45" customFormat="1" x14ac:dyDescent="0.25">
      <c r="A69" s="257" t="s">
        <v>160</v>
      </c>
      <c r="B69" s="69"/>
      <c r="C69" s="69"/>
      <c r="D69" s="140"/>
    </row>
    <row r="70" spans="1:7" s="45" customFormat="1" x14ac:dyDescent="0.25">
      <c r="A70" s="19" t="s">
        <v>22</v>
      </c>
      <c r="B70" s="24">
        <v>0</v>
      </c>
      <c r="C70" s="24">
        <v>0</v>
      </c>
      <c r="D70" s="24">
        <v>0</v>
      </c>
      <c r="E70" s="211">
        <v>-3947.6</v>
      </c>
      <c r="F70" s="200">
        <f>SUM(B70:E70)</f>
        <v>-3947.6</v>
      </c>
      <c r="G70" s="212">
        <f>ROUND(F70/24*0,2)</f>
        <v>0</v>
      </c>
    </row>
    <row r="71" spans="1:7" s="45" customFormat="1" x14ac:dyDescent="0.25">
      <c r="A71" s="19" t="s">
        <v>23</v>
      </c>
      <c r="B71" s="193">
        <v>0</v>
      </c>
      <c r="C71" s="193">
        <v>0</v>
      </c>
      <c r="D71" s="193">
        <v>0</v>
      </c>
      <c r="E71" s="213">
        <v>-980.94</v>
      </c>
      <c r="F71" s="200">
        <f>SUM(B71:E71)</f>
        <v>-980.94</v>
      </c>
      <c r="G71" s="212">
        <f>SUM(G74:G76)</f>
        <v>0</v>
      </c>
    </row>
    <row r="72" spans="1:7" s="45" customFormat="1" x14ac:dyDescent="0.25">
      <c r="A72" s="19" t="s">
        <v>3</v>
      </c>
      <c r="B72" s="194">
        <f t="shared" ref="B72:G72" si="27">SUM(B70:B71)</f>
        <v>0</v>
      </c>
      <c r="C72" s="194">
        <f t="shared" si="27"/>
        <v>0</v>
      </c>
      <c r="D72" s="194">
        <f t="shared" si="27"/>
        <v>0</v>
      </c>
      <c r="E72" s="214">
        <f t="shared" si="27"/>
        <v>-4928.54</v>
      </c>
      <c r="F72" s="194">
        <f t="shared" si="27"/>
        <v>-4928.54</v>
      </c>
      <c r="G72" s="215">
        <f t="shared" si="27"/>
        <v>0</v>
      </c>
    </row>
    <row r="73" spans="1:7" s="45" customFormat="1" x14ac:dyDescent="0.25">
      <c r="B73" s="191"/>
      <c r="C73" s="191"/>
      <c r="D73" s="192"/>
    </row>
    <row r="74" spans="1:7" s="45" customFormat="1" x14ac:dyDescent="0.25">
      <c r="A74" s="19" t="s">
        <v>94</v>
      </c>
      <c r="B74" s="24">
        <v>0</v>
      </c>
      <c r="C74" s="24">
        <v>0</v>
      </c>
      <c r="D74" s="24">
        <v>0</v>
      </c>
      <c r="E74" s="193">
        <v>-353.19</v>
      </c>
      <c r="F74" s="194">
        <f t="shared" ref="F74:F76" si="28">SUM(B74:E74)</f>
        <v>-353.19</v>
      </c>
      <c r="G74" s="212">
        <f>ROUND(F74/24*0,2)</f>
        <v>0</v>
      </c>
    </row>
    <row r="75" spans="1:7" s="45" customFormat="1" x14ac:dyDescent="0.25">
      <c r="A75" s="19" t="s">
        <v>95</v>
      </c>
      <c r="B75" s="24">
        <v>0</v>
      </c>
      <c r="C75" s="24">
        <v>0</v>
      </c>
      <c r="D75" s="24">
        <v>0</v>
      </c>
      <c r="E75" s="24">
        <v>-529.69000000000005</v>
      </c>
      <c r="F75" s="194">
        <f t="shared" si="28"/>
        <v>-529.69000000000005</v>
      </c>
      <c r="G75" s="212">
        <f>ROUND(F75/24*0,2)</f>
        <v>0</v>
      </c>
    </row>
    <row r="76" spans="1:7" s="45" customFormat="1" x14ac:dyDescent="0.25">
      <c r="A76" s="19" t="s">
        <v>96</v>
      </c>
      <c r="B76" s="193">
        <v>0</v>
      </c>
      <c r="C76" s="24">
        <v>0</v>
      </c>
      <c r="D76" s="193">
        <v>0</v>
      </c>
      <c r="E76" s="193">
        <v>-98.06</v>
      </c>
      <c r="F76" s="194">
        <f t="shared" si="28"/>
        <v>-98.06</v>
      </c>
      <c r="G76" s="212">
        <f>ROUND(F76/24*0,2)</f>
        <v>0</v>
      </c>
    </row>
    <row r="77" spans="1:7" s="45" customFormat="1" x14ac:dyDescent="0.25">
      <c r="A77" s="29" t="s">
        <v>97</v>
      </c>
      <c r="B77" s="194">
        <f>SUM(B74:B76)</f>
        <v>0</v>
      </c>
      <c r="C77" s="194">
        <f>SUM(C74:C76)</f>
        <v>0</v>
      </c>
      <c r="D77" s="194">
        <f t="shared" ref="D77:G77" si="29">SUM(D74:D76)</f>
        <v>0</v>
      </c>
      <c r="E77" s="194">
        <f t="shared" si="29"/>
        <v>-980.94</v>
      </c>
      <c r="F77" s="194">
        <f t="shared" si="29"/>
        <v>-980.94</v>
      </c>
      <c r="G77" s="194">
        <f t="shared" si="29"/>
        <v>0</v>
      </c>
    </row>
    <row r="78" spans="1:7" s="45" customFormat="1" x14ac:dyDescent="0.25">
      <c r="A78" s="29"/>
      <c r="B78" s="216"/>
      <c r="C78" s="216"/>
      <c r="D78" s="216"/>
      <c r="E78" s="216"/>
      <c r="F78" s="216"/>
      <c r="G78" s="216"/>
    </row>
    <row r="79" spans="1:7" s="45" customFormat="1" x14ac:dyDescent="0.25">
      <c r="A79" s="260" t="s">
        <v>161</v>
      </c>
      <c r="B79" s="69"/>
      <c r="C79" s="69"/>
      <c r="D79" s="140"/>
    </row>
    <row r="80" spans="1:7" s="45" customFormat="1" x14ac:dyDescent="0.25">
      <c r="A80" s="19" t="s">
        <v>22</v>
      </c>
      <c r="B80" s="24">
        <v>0</v>
      </c>
      <c r="C80" s="24">
        <v>16223.57</v>
      </c>
      <c r="D80" s="24">
        <v>-40786.449999999997</v>
      </c>
      <c r="E80" s="211">
        <v>-582.32000000000005</v>
      </c>
      <c r="F80" s="200">
        <f>SUM(B80:E80)</f>
        <v>-25145.199999999997</v>
      </c>
      <c r="G80" s="212">
        <f>ROUND(F80/24*0,2)</f>
        <v>0</v>
      </c>
    </row>
    <row r="81" spans="1:11" s="45" customFormat="1" x14ac:dyDescent="0.25">
      <c r="A81" s="19" t="s">
        <v>23</v>
      </c>
      <c r="B81" s="193">
        <f>SUM(B84:B86)</f>
        <v>0</v>
      </c>
      <c r="C81" s="193">
        <f t="shared" ref="C81:E81" si="30">SUM(C84:C86)</f>
        <v>13804.900000000001</v>
      </c>
      <c r="D81" s="193">
        <f t="shared" si="30"/>
        <v>-13286.16</v>
      </c>
      <c r="E81" s="213">
        <f t="shared" si="30"/>
        <v>-426.90000000000003</v>
      </c>
      <c r="F81" s="200">
        <f>SUM(B81:E81)</f>
        <v>91.840000000001567</v>
      </c>
      <c r="G81" s="212">
        <f>SUM(G84:G86)</f>
        <v>0</v>
      </c>
    </row>
    <row r="82" spans="1:11" s="45" customFormat="1" x14ac:dyDescent="0.25">
      <c r="A82" s="19" t="s">
        <v>3</v>
      </c>
      <c r="B82" s="194">
        <f t="shared" ref="B82:G82" si="31">SUM(B80:B81)</f>
        <v>0</v>
      </c>
      <c r="C82" s="194">
        <f t="shared" si="31"/>
        <v>30028.47</v>
      </c>
      <c r="D82" s="194">
        <f t="shared" si="31"/>
        <v>-54072.61</v>
      </c>
      <c r="E82" s="214">
        <f t="shared" si="31"/>
        <v>-1009.22</v>
      </c>
      <c r="F82" s="194">
        <f t="shared" si="31"/>
        <v>-25053.359999999997</v>
      </c>
      <c r="G82" s="215">
        <f t="shared" si="31"/>
        <v>0</v>
      </c>
    </row>
    <row r="83" spans="1:11" s="45" customFormat="1" x14ac:dyDescent="0.25">
      <c r="B83" s="191"/>
      <c r="C83" s="191"/>
      <c r="D83" s="192"/>
    </row>
    <row r="84" spans="1:11" s="45" customFormat="1" x14ac:dyDescent="0.25">
      <c r="A84" s="19" t="s">
        <v>94</v>
      </c>
      <c r="B84" s="24">
        <v>0</v>
      </c>
      <c r="C84" s="24">
        <v>6127.48</v>
      </c>
      <c r="D84" s="24">
        <v>-5257.63</v>
      </c>
      <c r="E84" s="193">
        <v>-160.02000000000001</v>
      </c>
      <c r="F84" s="194">
        <f t="shared" ref="F84:F86" si="32">SUM(B84:E84)</f>
        <v>709.82999999999947</v>
      </c>
      <c r="G84" s="220">
        <f>ROUND(F84/24*0,2)</f>
        <v>0</v>
      </c>
    </row>
    <row r="85" spans="1:11" s="45" customFormat="1" x14ac:dyDescent="0.25">
      <c r="A85" s="19" t="s">
        <v>95</v>
      </c>
      <c r="B85" s="24">
        <v>0</v>
      </c>
      <c r="C85" s="24">
        <v>7014.63</v>
      </c>
      <c r="D85" s="24">
        <v>-6926.28</v>
      </c>
      <c r="E85" s="193">
        <v>-231.68</v>
      </c>
      <c r="F85" s="194">
        <f t="shared" si="32"/>
        <v>-143.32999999999964</v>
      </c>
      <c r="G85" s="220">
        <f>ROUND(F85/24*0,2)</f>
        <v>0</v>
      </c>
    </row>
    <row r="86" spans="1:11" s="45" customFormat="1" x14ac:dyDescent="0.25">
      <c r="A86" s="19" t="s">
        <v>96</v>
      </c>
      <c r="B86" s="193">
        <v>0</v>
      </c>
      <c r="C86" s="24">
        <v>662.79</v>
      </c>
      <c r="D86" s="193">
        <v>-1102.25</v>
      </c>
      <c r="E86" s="193">
        <v>-35.200000000000003</v>
      </c>
      <c r="F86" s="194">
        <f t="shared" si="32"/>
        <v>-474.66</v>
      </c>
      <c r="G86" s="220">
        <f>ROUND(F86/24*0,2)</f>
        <v>0</v>
      </c>
    </row>
    <row r="87" spans="1:11" s="45" customFormat="1" x14ac:dyDescent="0.25">
      <c r="A87" s="29" t="s">
        <v>97</v>
      </c>
      <c r="B87" s="194">
        <f>SUM(B84:B86)</f>
        <v>0</v>
      </c>
      <c r="C87" s="194">
        <f>SUM(C84:C86)</f>
        <v>13804.900000000001</v>
      </c>
      <c r="D87" s="194">
        <f t="shared" ref="D87:G87" si="33">SUM(D84:D86)</f>
        <v>-13286.16</v>
      </c>
      <c r="E87" s="194">
        <f t="shared" si="33"/>
        <v>-426.90000000000003</v>
      </c>
      <c r="F87" s="194">
        <f t="shared" si="33"/>
        <v>91.839999999999748</v>
      </c>
      <c r="G87" s="194">
        <f t="shared" si="33"/>
        <v>0</v>
      </c>
    </row>
    <row r="88" spans="1:11" s="45" customFormat="1" x14ac:dyDescent="0.25">
      <c r="A88" s="29"/>
      <c r="B88" s="216"/>
      <c r="C88" s="216"/>
      <c r="D88" s="216"/>
      <c r="E88" s="216"/>
      <c r="F88" s="216"/>
      <c r="G88" s="216"/>
    </row>
    <row r="89" spans="1:11" x14ac:dyDescent="0.25">
      <c r="A89" s="3" t="s">
        <v>199</v>
      </c>
      <c r="B89" s="45"/>
      <c r="D89" s="45"/>
      <c r="E89" s="45"/>
      <c r="F89" s="45"/>
      <c r="G89" s="45"/>
      <c r="J89" s="45"/>
    </row>
    <row r="90" spans="1:11" x14ac:dyDescent="0.25">
      <c r="A90" s="3" t="s">
        <v>200</v>
      </c>
      <c r="B90" s="45"/>
      <c r="D90" s="45"/>
      <c r="E90" s="45"/>
      <c r="F90" s="45"/>
      <c r="G90" s="45"/>
    </row>
    <row r="91" spans="1:11" x14ac:dyDescent="0.25">
      <c r="A91" s="3" t="s">
        <v>201</v>
      </c>
      <c r="B91" s="45"/>
      <c r="D91" s="45"/>
      <c r="E91" s="45"/>
      <c r="F91" s="45"/>
      <c r="G91" s="45"/>
    </row>
    <row r="92" spans="1:11" x14ac:dyDescent="0.25">
      <c r="A92" s="62" t="s">
        <v>202</v>
      </c>
      <c r="B92" s="38"/>
      <c r="C92" s="38"/>
      <c r="D92" s="38"/>
      <c r="E92" s="38"/>
      <c r="F92" s="38"/>
      <c r="G92" s="38"/>
    </row>
    <row r="93" spans="1:11" s="45" customFormat="1" x14ac:dyDescent="0.25">
      <c r="A93" s="62" t="s">
        <v>139</v>
      </c>
      <c r="B93" s="38"/>
      <c r="C93" s="38"/>
      <c r="D93" s="38"/>
      <c r="E93" s="38"/>
      <c r="F93" s="38"/>
      <c r="G93" s="38"/>
    </row>
    <row r="94" spans="1:11" s="45" customFormat="1" ht="63" customHeight="1" x14ac:dyDescent="0.25">
      <c r="A94" s="545" t="s">
        <v>272</v>
      </c>
      <c r="B94" s="545"/>
      <c r="C94" s="545"/>
      <c r="D94" s="545"/>
      <c r="E94" s="545"/>
      <c r="F94" s="545"/>
      <c r="G94" s="545"/>
      <c r="H94" s="545"/>
      <c r="I94" s="545"/>
      <c r="J94" s="545"/>
      <c r="K94" s="545"/>
    </row>
    <row r="95" spans="1:11" x14ac:dyDescent="0.25">
      <c r="A95" s="3"/>
      <c r="B95" s="45"/>
      <c r="D95" s="45"/>
      <c r="E95" s="45"/>
    </row>
    <row r="96" spans="1:11" s="45" customFormat="1" x14ac:dyDescent="0.25">
      <c r="A96" s="3"/>
    </row>
    <row r="97" spans="1:1" x14ac:dyDescent="0.25">
      <c r="A97" s="3"/>
    </row>
  </sheetData>
  <autoFilter ref="A4:K89" xr:uid="{00000000-0001-0000-0800-000000000000}"/>
  <mergeCells count="2">
    <mergeCell ref="B3:D3"/>
    <mergeCell ref="A94:K94"/>
  </mergeCells>
  <pageMargins left="0.2" right="0.2" top="0.75" bottom="0.25" header="0.3" footer="0.3"/>
  <pageSetup orientation="landscape" r:id="rId1"/>
  <headerFooter>
    <oddHeader>&amp;C&amp;F &amp;A&amp;R&amp;"Arial"&amp;10&amp;K000000CONFIDENTIAL</oddHeader>
    <oddFooter xml:space="preserve">&amp;R_x000D_&amp;1#&amp;"Calibri"&amp;10&amp;KA80000 Restricted – Sensitive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8475B-D546-4319-B398-EF50E74D6379}">
  <sheetPr>
    <pageSetUpPr fitToPage="1"/>
  </sheetPr>
  <dimension ref="A1:O158"/>
  <sheetViews>
    <sheetView zoomScale="85" zoomScaleNormal="85" workbookViewId="0">
      <pane ySplit="5" topLeftCell="A6" activePane="bottomLeft" state="frozen"/>
      <selection pane="bottomLeft" activeCell="M15" sqref="M15"/>
    </sheetView>
  </sheetViews>
  <sheetFormatPr defaultColWidth="8.7109375" defaultRowHeight="15" x14ac:dyDescent="0.25"/>
  <cols>
    <col min="1" max="1" width="23.7109375" style="45" customWidth="1"/>
    <col min="2" max="2" width="15.28515625" style="45" bestFit="1" customWidth="1"/>
    <col min="3" max="3" width="14.28515625" style="45" customWidth="1"/>
    <col min="4" max="4" width="13.28515625" style="45" bestFit="1" customWidth="1"/>
    <col min="5" max="5" width="9.7109375" style="45" bestFit="1" customWidth="1"/>
    <col min="6" max="6" width="12.5703125" style="45" bestFit="1" customWidth="1"/>
    <col min="7" max="7" width="13.140625" style="45" customWidth="1"/>
    <col min="8" max="8" width="8.7109375" style="45"/>
    <col min="9" max="9" width="8.7109375" style="509"/>
    <col min="10" max="10" width="12.7109375" style="45" bestFit="1" customWidth="1"/>
    <col min="11" max="11" width="12.42578125" style="45" bestFit="1" customWidth="1"/>
    <col min="12" max="12" width="10.85546875" style="45" bestFit="1" customWidth="1"/>
    <col min="13" max="13" width="9.85546875" style="45" bestFit="1" customWidth="1"/>
    <col min="14" max="14" width="12.7109375" style="45" bestFit="1" customWidth="1"/>
    <col min="15" max="15" width="11.7109375" style="45" bestFit="1" customWidth="1"/>
    <col min="16" max="16384" width="8.7109375" style="45"/>
  </cols>
  <sheetData>
    <row r="1" spans="1:15" x14ac:dyDescent="0.25">
      <c r="A1" s="62" t="str">
        <f>+'PTD Cycle 3'!A1</f>
        <v>Evergy Missouri West, Inc. - DSIM Rider Update Filed 12/01/2025</v>
      </c>
    </row>
    <row r="2" spans="1:15" x14ac:dyDescent="0.25">
      <c r="A2" s="8" t="str">
        <f>+'PTD Cycle 3'!A2</f>
        <v>Projections for Cycle 3 January 2026 - December 2026 DSIM</v>
      </c>
    </row>
    <row r="3" spans="1:15" x14ac:dyDescent="0.25">
      <c r="A3" s="8"/>
    </row>
    <row r="4" spans="1:15" ht="45.75" customHeight="1" x14ac:dyDescent="0.25">
      <c r="B4" s="526" t="s">
        <v>141</v>
      </c>
      <c r="C4" s="526"/>
      <c r="D4" s="526"/>
    </row>
    <row r="5" spans="1:15" ht="90" x14ac:dyDescent="0.25">
      <c r="B5" s="69" t="s">
        <v>87</v>
      </c>
      <c r="C5" s="69" t="s">
        <v>88</v>
      </c>
      <c r="D5" s="69" t="s">
        <v>91</v>
      </c>
      <c r="E5" s="69" t="s">
        <v>89</v>
      </c>
      <c r="F5" s="69" t="s">
        <v>86</v>
      </c>
      <c r="G5" s="69" t="s">
        <v>143</v>
      </c>
    </row>
    <row r="6" spans="1:15" x14ac:dyDescent="0.25">
      <c r="A6" s="19"/>
      <c r="B6" s="69"/>
      <c r="C6" s="69"/>
      <c r="D6" s="141"/>
    </row>
    <row r="7" spans="1:15" x14ac:dyDescent="0.25">
      <c r="A7" s="218" t="s">
        <v>142</v>
      </c>
      <c r="B7" s="69"/>
      <c r="C7" s="69"/>
      <c r="D7" s="140"/>
    </row>
    <row r="8" spans="1:15" x14ac:dyDescent="0.25">
      <c r="A8" s="19" t="s">
        <v>22</v>
      </c>
      <c r="B8" s="200">
        <f>SUMIFS(B$18:B$170,$A$18:$A$170,$A8)</f>
        <v>8152148.2799999993</v>
      </c>
      <c r="C8" s="200">
        <f>SUMIFS(C$18:C$170,$A$18:$A$170,$A8)</f>
        <v>324871.06999999995</v>
      </c>
      <c r="D8" s="200">
        <f>SUMIFS(D$18:D$170,$A$18:$A$170,$A8)</f>
        <v>-806427.95</v>
      </c>
      <c r="E8" s="200">
        <f>SUMIFS(E$18:E$170,$A$18:$A$170,$A8)</f>
        <v>-12691.189999999999</v>
      </c>
      <c r="F8" s="200">
        <f>SUM(B8:E8)</f>
        <v>7657900.209999999</v>
      </c>
      <c r="G8" s="200">
        <f>SUMIFS(G$18:G$170,$A$18:$A$170,$A8)</f>
        <v>708231.21</v>
      </c>
      <c r="J8" s="509"/>
      <c r="K8" s="509"/>
      <c r="L8" s="509"/>
      <c r="M8" s="509"/>
      <c r="N8" s="509"/>
      <c r="O8" s="509"/>
    </row>
    <row r="9" spans="1:15" x14ac:dyDescent="0.25">
      <c r="A9" s="19" t="s">
        <v>23</v>
      </c>
      <c r="B9" s="200">
        <f>B15</f>
        <v>5501096.2999999998</v>
      </c>
      <c r="C9" s="200">
        <f>C15</f>
        <v>-18178.539999999997</v>
      </c>
      <c r="D9" s="200">
        <f>D15</f>
        <v>-67355.109999999986</v>
      </c>
      <c r="E9" s="200">
        <f>E15</f>
        <v>-1988.07</v>
      </c>
      <c r="F9" s="200">
        <f>SUM(B9:E9)</f>
        <v>5413574.5799999991</v>
      </c>
      <c r="G9" s="200">
        <f>G15</f>
        <v>664332.70000000007</v>
      </c>
      <c r="J9" s="509"/>
      <c r="K9" s="509"/>
      <c r="L9" s="509"/>
      <c r="M9" s="509"/>
      <c r="N9" s="509"/>
      <c r="O9" s="509"/>
    </row>
    <row r="10" spans="1:15" x14ac:dyDescent="0.25">
      <c r="A10" s="19" t="s">
        <v>3</v>
      </c>
      <c r="B10" s="194">
        <f t="shared" ref="B10" si="0">SUM(B8:B9)</f>
        <v>13653244.579999998</v>
      </c>
      <c r="C10" s="194">
        <f t="shared" ref="C10:E10" si="1">SUM(C8:C9)</f>
        <v>306692.52999999997</v>
      </c>
      <c r="D10" s="194">
        <f t="shared" si="1"/>
        <v>-873783.05999999994</v>
      </c>
      <c r="E10" s="194">
        <f t="shared" si="1"/>
        <v>-14679.259999999998</v>
      </c>
      <c r="F10" s="194">
        <f t="shared" ref="F10" si="2">SUM(F8:F9)</f>
        <v>13071474.789999999</v>
      </c>
      <c r="G10" s="194">
        <f t="shared" ref="G10" si="3">SUM(G8:G9)</f>
        <v>1372563.9100000001</v>
      </c>
      <c r="J10" s="509"/>
      <c r="K10" s="509"/>
      <c r="L10" s="509"/>
      <c r="M10" s="509"/>
      <c r="N10" s="509"/>
      <c r="O10" s="509"/>
    </row>
    <row r="11" spans="1:15" x14ac:dyDescent="0.25">
      <c r="B11" s="191"/>
      <c r="C11" s="191"/>
      <c r="D11" s="191"/>
      <c r="E11" s="191"/>
      <c r="G11" s="191"/>
      <c r="J11" s="509"/>
      <c r="K11" s="509"/>
      <c r="L11" s="509"/>
      <c r="M11" s="509"/>
      <c r="N11" s="509"/>
      <c r="O11" s="509"/>
    </row>
    <row r="12" spans="1:15" x14ac:dyDescent="0.25">
      <c r="A12" s="19" t="s">
        <v>94</v>
      </c>
      <c r="B12" s="200">
        <f t="shared" ref="B12:E14" si="4">SUMIFS(B$18:B$170,$A$18:$A$170,$A12)</f>
        <v>1683779.68</v>
      </c>
      <c r="C12" s="200">
        <f t="shared" si="4"/>
        <v>-15253.399999999996</v>
      </c>
      <c r="D12" s="200">
        <f t="shared" si="4"/>
        <v>-16679.259999999998</v>
      </c>
      <c r="E12" s="200">
        <f t="shared" si="4"/>
        <v>-1238.8600000000001</v>
      </c>
      <c r="F12" s="194">
        <f t="shared" ref="F12:F14" si="5">SUM(B12:E12)</f>
        <v>1650608.16</v>
      </c>
      <c r="G12" s="200">
        <f>SUMIFS(G$18:G$170,$A$18:$A$170,$A12)</f>
        <v>249277.48</v>
      </c>
      <c r="J12" s="509"/>
      <c r="K12" s="509"/>
      <c r="L12" s="509"/>
      <c r="M12" s="509"/>
      <c r="N12" s="509"/>
      <c r="O12" s="509"/>
    </row>
    <row r="13" spans="1:15" x14ac:dyDescent="0.25">
      <c r="A13" s="19" t="s">
        <v>95</v>
      </c>
      <c r="B13" s="200">
        <f t="shared" si="4"/>
        <v>2296167.7799999998</v>
      </c>
      <c r="C13" s="200">
        <f t="shared" si="4"/>
        <v>-2963.96</v>
      </c>
      <c r="D13" s="200">
        <f t="shared" si="4"/>
        <v>-41665.86</v>
      </c>
      <c r="E13" s="200">
        <f t="shared" si="4"/>
        <v>-647.83000000000004</v>
      </c>
      <c r="F13" s="194">
        <f t="shared" si="5"/>
        <v>2250890.13</v>
      </c>
      <c r="G13" s="200">
        <f>SUMIFS(G$18:G$170,$A$18:$A$170,$A13)</f>
        <v>249353.32</v>
      </c>
      <c r="J13" s="509"/>
      <c r="K13" s="509"/>
      <c r="L13" s="509"/>
      <c r="M13" s="509"/>
      <c r="N13" s="509"/>
      <c r="O13" s="509"/>
    </row>
    <row r="14" spans="1:15" x14ac:dyDescent="0.25">
      <c r="A14" s="19" t="s">
        <v>96</v>
      </c>
      <c r="B14" s="200">
        <f t="shared" si="4"/>
        <v>1521148.84</v>
      </c>
      <c r="C14" s="200">
        <f t="shared" si="4"/>
        <v>38.819999999999624</v>
      </c>
      <c r="D14" s="200">
        <f t="shared" si="4"/>
        <v>-9009.989999999998</v>
      </c>
      <c r="E14" s="200">
        <f t="shared" si="4"/>
        <v>-101.37999999999998</v>
      </c>
      <c r="F14" s="194">
        <f t="shared" si="5"/>
        <v>1512076.2900000003</v>
      </c>
      <c r="G14" s="200">
        <f>SUMIFS(G$18:G$170,$A$18:$A$170,$A14)</f>
        <v>165701.90000000002</v>
      </c>
      <c r="J14" s="509"/>
      <c r="K14" s="509"/>
      <c r="L14" s="509"/>
      <c r="M14" s="509"/>
      <c r="N14" s="509"/>
      <c r="O14" s="509"/>
    </row>
    <row r="15" spans="1:15" x14ac:dyDescent="0.25">
      <c r="A15" s="29" t="s">
        <v>97</v>
      </c>
      <c r="B15" s="194">
        <f t="shared" ref="B15" si="6">SUM(B12:B14)</f>
        <v>5501096.2999999998</v>
      </c>
      <c r="C15" s="194">
        <f t="shared" ref="C15:E15" si="7">SUM(C12:C14)</f>
        <v>-18178.539999999997</v>
      </c>
      <c r="D15" s="194">
        <f t="shared" si="7"/>
        <v>-67355.109999999986</v>
      </c>
      <c r="E15" s="194">
        <f t="shared" si="7"/>
        <v>-1988.07</v>
      </c>
      <c r="F15" s="194">
        <f t="shared" ref="F15" si="8">SUM(F12:F14)</f>
        <v>5413574.5800000001</v>
      </c>
      <c r="G15" s="194">
        <f t="shared" ref="G15" si="9">SUM(G12:G14)</f>
        <v>664332.70000000007</v>
      </c>
      <c r="J15" s="509"/>
      <c r="K15" s="509"/>
      <c r="L15" s="509"/>
      <c r="M15" s="509"/>
      <c r="N15" s="509"/>
      <c r="O15" s="509"/>
    </row>
    <row r="16" spans="1:15" x14ac:dyDescent="0.25">
      <c r="A16" s="19"/>
      <c r="B16" s="69"/>
      <c r="C16" s="69"/>
      <c r="D16" s="140"/>
      <c r="J16" s="509"/>
      <c r="K16" s="509"/>
      <c r="L16" s="509"/>
      <c r="M16" s="509"/>
      <c r="N16" s="509"/>
      <c r="O16" s="509"/>
    </row>
    <row r="17" spans="1:15" x14ac:dyDescent="0.25">
      <c r="A17" s="19"/>
      <c r="B17" s="69"/>
      <c r="C17" s="69"/>
      <c r="D17" s="140"/>
      <c r="J17" s="509"/>
      <c r="K17" s="509"/>
      <c r="L17" s="509"/>
      <c r="M17" s="509"/>
      <c r="N17" s="509"/>
      <c r="O17" s="509"/>
    </row>
    <row r="18" spans="1:15" x14ac:dyDescent="0.25">
      <c r="A18" s="218" t="s">
        <v>147</v>
      </c>
      <c r="B18" s="69"/>
      <c r="C18" s="69"/>
      <c r="D18" s="140"/>
      <c r="J18" s="509"/>
      <c r="K18" s="509"/>
      <c r="L18" s="509"/>
      <c r="M18" s="509"/>
      <c r="N18" s="509"/>
      <c r="O18" s="509"/>
    </row>
    <row r="19" spans="1:15" x14ac:dyDescent="0.25">
      <c r="A19" s="19" t="s">
        <v>22</v>
      </c>
      <c r="B19" s="24">
        <f>ROUND('[20]EO Matrix @Meter'!$R$20,2)</f>
        <v>1600473.26</v>
      </c>
      <c r="C19" s="24">
        <f>ROUND(SUM('[21]Ex Post Gross TD Calc'!$E$571:$Z$571),2)</f>
        <v>575236.4</v>
      </c>
      <c r="D19" s="24">
        <f>ROUND(SUM('[21]NTG TD Calc'!$E$436:$Z$436),2)</f>
        <v>-545792.23</v>
      </c>
      <c r="E19" s="211">
        <f>ROUND(SUM('[21]EO TD Carrying Costs'!$C$55:$X$55),2)</f>
        <v>6704.6</v>
      </c>
      <c r="F19" s="200">
        <f>SUM(B19:E19)</f>
        <v>1636622.0300000003</v>
      </c>
      <c r="G19" s="212">
        <f>ROUND(F19/12*0,2)</f>
        <v>0</v>
      </c>
      <c r="J19" s="314"/>
      <c r="K19" s="314"/>
      <c r="L19" s="314"/>
    </row>
    <row r="20" spans="1:15" x14ac:dyDescent="0.25">
      <c r="A20" s="19" t="s">
        <v>23</v>
      </c>
      <c r="B20" s="193">
        <f>B26</f>
        <v>893810.55</v>
      </c>
      <c r="C20" s="193">
        <f>C26</f>
        <v>48777.71</v>
      </c>
      <c r="D20" s="193">
        <f>D26</f>
        <v>-18883.82</v>
      </c>
      <c r="E20" s="213">
        <f>E26</f>
        <v>299.14999999999998</v>
      </c>
      <c r="F20" s="200">
        <f>SUM(B20:E20)</f>
        <v>924003.59000000008</v>
      </c>
      <c r="G20" s="212">
        <f>G26</f>
        <v>0</v>
      </c>
      <c r="J20" s="314"/>
      <c r="K20" s="314"/>
      <c r="L20" s="314"/>
    </row>
    <row r="21" spans="1:15" x14ac:dyDescent="0.25">
      <c r="A21" s="19" t="s">
        <v>3</v>
      </c>
      <c r="B21" s="194">
        <f t="shared" ref="B21:G21" si="10">SUM(B19:B20)</f>
        <v>2494283.81</v>
      </c>
      <c r="C21" s="194">
        <f t="shared" si="10"/>
        <v>624014.11</v>
      </c>
      <c r="D21" s="194">
        <f t="shared" si="10"/>
        <v>-564676.04999999993</v>
      </c>
      <c r="E21" s="214">
        <f t="shared" si="10"/>
        <v>7003.75</v>
      </c>
      <c r="F21" s="194">
        <f t="shared" si="10"/>
        <v>2560625.62</v>
      </c>
      <c r="G21" s="215">
        <f t="shared" si="10"/>
        <v>0</v>
      </c>
    </row>
    <row r="22" spans="1:15" x14ac:dyDescent="0.25">
      <c r="B22" s="191"/>
      <c r="C22" s="191"/>
      <c r="D22" s="192"/>
    </row>
    <row r="23" spans="1:15" x14ac:dyDescent="0.25">
      <c r="A23" s="19" t="s">
        <v>94</v>
      </c>
      <c r="B23" s="24">
        <f>ROUND('[20]EO Matrix @Meter'!$V$20,2)</f>
        <v>310910.24</v>
      </c>
      <c r="C23" s="24">
        <f>ROUND(SUM('[21]Ex Post Gross TD Calc'!$E$572:$Z$572),2)</f>
        <v>31691.65</v>
      </c>
      <c r="D23" s="24">
        <f>ROUND(SUM('[21]NTG TD Calc'!$E$437:$Z$437),2)</f>
        <v>-8282.43</v>
      </c>
      <c r="E23" s="211">
        <f>ROUND(SUM('[21]EO TD Carrying Costs'!$C$56:$X$56),2)</f>
        <v>207.66</v>
      </c>
      <c r="F23" s="194">
        <f t="shared" ref="F23:F25" si="11">SUM(B23:E23)</f>
        <v>334527.12</v>
      </c>
      <c r="G23" s="220">
        <f>ROUND(F23/12*0,2)</f>
        <v>0</v>
      </c>
      <c r="J23" s="314"/>
      <c r="K23" s="314"/>
      <c r="L23" s="314"/>
    </row>
    <row r="24" spans="1:15" x14ac:dyDescent="0.25">
      <c r="A24" s="19" t="s">
        <v>95</v>
      </c>
      <c r="B24" s="24">
        <f>ROUND('[20]EO Matrix @Meter'!$X$20,2)</f>
        <v>318131.55</v>
      </c>
      <c r="C24" s="24">
        <f>ROUND(SUM('[21]Ex Post Gross TD Calc'!$E$574:$Z$574),2)</f>
        <v>14779.57</v>
      </c>
      <c r="D24" s="24">
        <f>ROUND(SUM('[21]NTG TD Calc'!$E$439:$Z$439),2)</f>
        <v>-5434.16</v>
      </c>
      <c r="E24" s="211">
        <f>ROUND(SUM('[21]EO TD Carrying Costs'!$C$58:$X$58),2)</f>
        <v>118.71</v>
      </c>
      <c r="F24" s="194">
        <f t="shared" si="11"/>
        <v>327595.67000000004</v>
      </c>
      <c r="G24" s="220">
        <f>ROUND(F24/12*0,2)</f>
        <v>0</v>
      </c>
      <c r="J24" s="314"/>
      <c r="K24" s="314"/>
      <c r="L24" s="314"/>
    </row>
    <row r="25" spans="1:15" x14ac:dyDescent="0.25">
      <c r="A25" s="19" t="s">
        <v>96</v>
      </c>
      <c r="B25" s="24">
        <f>ROUND('[20]EO Matrix @Meter'!$Y$20,2)</f>
        <v>264768.76</v>
      </c>
      <c r="C25" s="24">
        <f>ROUND(SUM('[21]Ex Post Gross TD Calc'!$E$575:$Z$575),2)</f>
        <v>2306.4899999999998</v>
      </c>
      <c r="D25" s="24">
        <f>ROUND(SUM('[21]NTG TD Calc'!$E$440:$Z$440),2)</f>
        <v>-5167.2299999999996</v>
      </c>
      <c r="E25" s="211">
        <f>ROUND(SUM('[21]EO TD Carrying Costs'!$C$59:$X$59),2)</f>
        <v>-27.22</v>
      </c>
      <c r="F25" s="194">
        <f t="shared" si="11"/>
        <v>261880.8</v>
      </c>
      <c r="G25" s="220">
        <f>ROUND(F25/12*0,2)</f>
        <v>0</v>
      </c>
      <c r="J25" s="314"/>
      <c r="K25" s="314"/>
      <c r="L25" s="314"/>
    </row>
    <row r="26" spans="1:15" x14ac:dyDescent="0.25">
      <c r="A26" s="29" t="s">
        <v>97</v>
      </c>
      <c r="B26" s="194">
        <f>SUM(B23:B25)</f>
        <v>893810.55</v>
      </c>
      <c r="C26" s="194">
        <f>SUM(C23:C25)</f>
        <v>48777.71</v>
      </c>
      <c r="D26" s="194">
        <f t="shared" ref="D26:G26" si="12">SUM(D23:D25)</f>
        <v>-18883.82</v>
      </c>
      <c r="E26" s="194">
        <f t="shared" si="12"/>
        <v>299.14999999999998</v>
      </c>
      <c r="F26" s="194">
        <f t="shared" si="12"/>
        <v>924003.59000000008</v>
      </c>
      <c r="G26" s="194">
        <f t="shared" si="12"/>
        <v>0</v>
      </c>
    </row>
    <row r="27" spans="1:15" s="38" customFormat="1" x14ac:dyDescent="0.25">
      <c r="A27" s="29"/>
      <c r="B27" s="219"/>
      <c r="C27" s="219"/>
      <c r="D27" s="219"/>
      <c r="E27" s="219"/>
      <c r="F27" s="219"/>
      <c r="G27" s="219"/>
      <c r="I27" s="388"/>
    </row>
    <row r="28" spans="1:15" s="38" customFormat="1" x14ac:dyDescent="0.25">
      <c r="A28" s="29"/>
      <c r="B28" s="219"/>
      <c r="C28" s="219"/>
      <c r="D28" s="219"/>
      <c r="E28" s="219"/>
      <c r="F28" s="219"/>
      <c r="G28" s="219"/>
      <c r="I28" s="388"/>
    </row>
    <row r="29" spans="1:15" x14ac:dyDescent="0.25">
      <c r="A29" s="254" t="s">
        <v>152</v>
      </c>
      <c r="B29" s="69"/>
      <c r="C29" s="69"/>
      <c r="D29" s="140"/>
    </row>
    <row r="30" spans="1:15" x14ac:dyDescent="0.25">
      <c r="A30" s="19" t="s">
        <v>22</v>
      </c>
      <c r="B30" s="24"/>
      <c r="C30" s="24">
        <f>ROUND(SUM('[21]Ex Post Gross TD Calc'!$AA$571:$AF$571),2)</f>
        <v>62492.85</v>
      </c>
      <c r="D30" s="24">
        <f>ROUND(SUM('[21]NTG TD Calc'!$AA$436:$AF$436),2)</f>
        <v>-64533.46</v>
      </c>
      <c r="E30" s="211">
        <f>ROUND(SUM('[21]EO TD Carrying Costs'!$Y$55:$AD$55),2)</f>
        <v>183.74</v>
      </c>
      <c r="F30" s="200">
        <f>SUM(B30:E30)</f>
        <v>-1856.8700000000006</v>
      </c>
      <c r="G30" s="212">
        <f>ROUND(F30/12*0,2)</f>
        <v>0</v>
      </c>
      <c r="J30" s="314"/>
      <c r="K30" s="314"/>
      <c r="L30" s="314"/>
    </row>
    <row r="31" spans="1:15" x14ac:dyDescent="0.25">
      <c r="A31" s="19" t="s">
        <v>23</v>
      </c>
      <c r="B31" s="193">
        <f>B37</f>
        <v>0</v>
      </c>
      <c r="C31" s="193">
        <f>C37</f>
        <v>16556.97</v>
      </c>
      <c r="D31" s="193">
        <f>D37</f>
        <v>-2227.92</v>
      </c>
      <c r="E31" s="213">
        <f>E37</f>
        <v>448.56</v>
      </c>
      <c r="F31" s="200">
        <f>SUM(B31:E31)</f>
        <v>14777.61</v>
      </c>
      <c r="G31" s="212">
        <f>G37</f>
        <v>0</v>
      </c>
      <c r="J31" s="314"/>
      <c r="K31" s="314"/>
      <c r="L31" s="314"/>
    </row>
    <row r="32" spans="1:15" x14ac:dyDescent="0.25">
      <c r="A32" s="19" t="s">
        <v>3</v>
      </c>
      <c r="B32" s="194">
        <f t="shared" ref="B32:G32" si="13">SUM(B30:B31)</f>
        <v>0</v>
      </c>
      <c r="C32" s="194">
        <f t="shared" si="13"/>
        <v>79049.820000000007</v>
      </c>
      <c r="D32" s="194">
        <f t="shared" si="13"/>
        <v>-66761.38</v>
      </c>
      <c r="E32" s="214">
        <f t="shared" si="13"/>
        <v>632.29999999999995</v>
      </c>
      <c r="F32" s="194">
        <f t="shared" si="13"/>
        <v>12920.74</v>
      </c>
      <c r="G32" s="215">
        <f t="shared" si="13"/>
        <v>0</v>
      </c>
      <c r="J32" s="314"/>
      <c r="K32" s="314"/>
      <c r="L32" s="314"/>
    </row>
    <row r="33" spans="1:14" x14ac:dyDescent="0.25">
      <c r="B33" s="191"/>
      <c r="C33" s="191"/>
      <c r="D33" s="192"/>
      <c r="J33" s="314"/>
      <c r="K33" s="314"/>
      <c r="L33" s="314"/>
    </row>
    <row r="34" spans="1:14" x14ac:dyDescent="0.25">
      <c r="A34" s="19" t="s">
        <v>94</v>
      </c>
      <c r="B34" s="24"/>
      <c r="C34" s="24">
        <f>ROUND(SUM('[21]Ex Post Gross TD Calc'!$AA$572:$AF$572),2)</f>
        <v>10068.67</v>
      </c>
      <c r="D34" s="24">
        <f>ROUND(SUM('[21]NTG TD Calc'!$AA$437:$AF$437),2)</f>
        <v>-753.09</v>
      </c>
      <c r="E34" s="211">
        <f>ROUND(SUM('[21]EO TD Carrying Costs'!$Y$56:$AD$56),2)</f>
        <v>344.55</v>
      </c>
      <c r="F34" s="194">
        <f t="shared" ref="F34:F36" si="14">SUM(B34:E34)</f>
        <v>9660.1299999999992</v>
      </c>
      <c r="G34" s="212">
        <f t="shared" ref="G34:G36" si="15">ROUND(F34/12*0,2)</f>
        <v>0</v>
      </c>
      <c r="J34" s="314"/>
      <c r="K34" s="314"/>
      <c r="L34" s="314"/>
    </row>
    <row r="35" spans="1:14" x14ac:dyDescent="0.25">
      <c r="A35" s="19" t="s">
        <v>95</v>
      </c>
      <c r="B35" s="24"/>
      <c r="C35" s="24">
        <f>ROUND(SUM('[21]Ex Post Gross TD Calc'!$AA$574:$AF$574),2)</f>
        <v>5538.26</v>
      </c>
      <c r="D35" s="24">
        <f>ROUND(SUM('[21]NTG TD Calc'!$AA$439:$AF$439),2)</f>
        <v>-759.03</v>
      </c>
      <c r="E35" s="211">
        <f>ROUND(SUM('[21]EO TD Carrying Costs'!$Y$58:$AD$58),2)</f>
        <v>142</v>
      </c>
      <c r="F35" s="194">
        <f t="shared" si="14"/>
        <v>4921.2300000000005</v>
      </c>
      <c r="G35" s="212">
        <f t="shared" si="15"/>
        <v>0</v>
      </c>
      <c r="J35" s="314"/>
      <c r="K35" s="314"/>
      <c r="L35" s="314"/>
    </row>
    <row r="36" spans="1:14" x14ac:dyDescent="0.25">
      <c r="A36" s="19" t="s">
        <v>96</v>
      </c>
      <c r="B36" s="193"/>
      <c r="C36" s="24">
        <f>ROUND(SUM('[21]Ex Post Gross TD Calc'!$AA$575:$AF$575),2)</f>
        <v>950.04</v>
      </c>
      <c r="D36" s="24">
        <f>ROUND(SUM('[21]NTG TD Calc'!$AA$440:$AF$440),2)</f>
        <v>-715.8</v>
      </c>
      <c r="E36" s="211">
        <f>ROUND(SUM('[21]EO TD Carrying Costs'!$Y$59:$AD$59),2)</f>
        <v>-37.99</v>
      </c>
      <c r="F36" s="194">
        <f t="shared" si="14"/>
        <v>196.25</v>
      </c>
      <c r="G36" s="212">
        <f t="shared" si="15"/>
        <v>0</v>
      </c>
      <c r="J36" s="314"/>
      <c r="K36" s="314"/>
      <c r="L36" s="314"/>
    </row>
    <row r="37" spans="1:14" x14ac:dyDescent="0.25">
      <c r="A37" s="29" t="s">
        <v>97</v>
      </c>
      <c r="B37" s="194">
        <f>SUM(B34:B36)</f>
        <v>0</v>
      </c>
      <c r="C37" s="194">
        <f>SUM(C34:C36)</f>
        <v>16556.97</v>
      </c>
      <c r="D37" s="194">
        <f t="shared" ref="D37:G37" si="16">SUM(D34:D36)</f>
        <v>-2227.92</v>
      </c>
      <c r="E37" s="194">
        <f t="shared" si="16"/>
        <v>448.56</v>
      </c>
      <c r="F37" s="194">
        <f t="shared" si="16"/>
        <v>14777.61</v>
      </c>
      <c r="G37" s="194">
        <f t="shared" si="16"/>
        <v>0</v>
      </c>
    </row>
    <row r="38" spans="1:14" x14ac:dyDescent="0.25">
      <c r="A38" s="29"/>
      <c r="B38" s="216"/>
      <c r="C38" s="216"/>
      <c r="D38" s="216"/>
      <c r="E38" s="216"/>
      <c r="F38" s="216"/>
      <c r="G38" s="216"/>
    </row>
    <row r="39" spans="1:14" s="38" customFormat="1" x14ac:dyDescent="0.25">
      <c r="A39" s="29"/>
      <c r="B39" s="219"/>
      <c r="C39" s="219"/>
      <c r="D39" s="219"/>
      <c r="E39" s="219"/>
      <c r="F39" s="219"/>
      <c r="G39" s="219"/>
      <c r="I39" s="388"/>
    </row>
    <row r="40" spans="1:14" x14ac:dyDescent="0.25">
      <c r="A40" s="258" t="s">
        <v>158</v>
      </c>
      <c r="B40" s="69"/>
      <c r="C40" s="69"/>
      <c r="D40" s="140"/>
    </row>
    <row r="41" spans="1:14" x14ac:dyDescent="0.25">
      <c r="A41" s="19" t="s">
        <v>22</v>
      </c>
      <c r="B41" s="24">
        <v>0</v>
      </c>
      <c r="C41" s="24">
        <f>ROUND(SUM('[21]Ex Post Gross TD Calc'!$AG$571:$AM$571),2)</f>
        <v>71150.52</v>
      </c>
      <c r="D41" s="24">
        <f>ROUND(SUM('[21]NTG TD Calc'!$AG$436:$AM$436),2)</f>
        <v>-0.01</v>
      </c>
      <c r="E41" s="211">
        <f>ROUND(SUM('[21]EO TD Carrying Costs'!$AE$55:$AK$55),2)</f>
        <v>548.88</v>
      </c>
      <c r="F41" s="200">
        <f>SUM(B41:E41)</f>
        <v>71699.390000000014</v>
      </c>
      <c r="G41" s="212">
        <f>ROUND(F41/12*0,2)</f>
        <v>0</v>
      </c>
      <c r="J41" s="314"/>
      <c r="K41" s="314"/>
      <c r="L41" s="314"/>
      <c r="N41" s="300"/>
    </row>
    <row r="42" spans="1:14" x14ac:dyDescent="0.25">
      <c r="A42" s="19" t="s">
        <v>23</v>
      </c>
      <c r="B42" s="193">
        <f>B48</f>
        <v>0</v>
      </c>
      <c r="C42" s="193">
        <f>C48</f>
        <v>28197.040000000001</v>
      </c>
      <c r="D42" s="193">
        <f>D48</f>
        <v>-0.02</v>
      </c>
      <c r="E42" s="213">
        <f>E48</f>
        <v>443.20999999999992</v>
      </c>
      <c r="F42" s="200">
        <f>SUM(B42:E42)</f>
        <v>28640.23</v>
      </c>
      <c r="G42" s="212">
        <f>G48</f>
        <v>0</v>
      </c>
      <c r="J42" s="314"/>
      <c r="K42" s="314"/>
      <c r="L42" s="314"/>
      <c r="N42" s="300"/>
    </row>
    <row r="43" spans="1:14" x14ac:dyDescent="0.25">
      <c r="A43" s="19" t="s">
        <v>3</v>
      </c>
      <c r="B43" s="194">
        <f t="shared" ref="B43:G43" si="17">SUM(B41:B42)</f>
        <v>0</v>
      </c>
      <c r="C43" s="194">
        <f t="shared" si="17"/>
        <v>99347.56</v>
      </c>
      <c r="D43" s="194">
        <f t="shared" si="17"/>
        <v>-0.03</v>
      </c>
      <c r="E43" s="214">
        <f t="shared" si="17"/>
        <v>992.08999999999992</v>
      </c>
      <c r="F43" s="194">
        <f t="shared" si="17"/>
        <v>100339.62000000001</v>
      </c>
      <c r="G43" s="215">
        <f t="shared" si="17"/>
        <v>0</v>
      </c>
      <c r="J43" s="314"/>
      <c r="K43" s="314"/>
      <c r="L43" s="314"/>
    </row>
    <row r="44" spans="1:14" x14ac:dyDescent="0.25">
      <c r="B44" s="191"/>
      <c r="C44" s="191"/>
      <c r="D44" s="192"/>
      <c r="J44" s="314"/>
      <c r="K44" s="314"/>
      <c r="L44" s="314"/>
    </row>
    <row r="45" spans="1:14" x14ac:dyDescent="0.25">
      <c r="A45" s="19" t="s">
        <v>94</v>
      </c>
      <c r="B45" s="24">
        <v>0</v>
      </c>
      <c r="C45" s="24">
        <f>ROUND(SUM('[21]Ex Post Gross TD Calc'!$AG$572:$AM$572),2)</f>
        <v>19392.560000000001</v>
      </c>
      <c r="D45" s="24">
        <f>ROUND(SUM('[21]NTG TD Calc'!$AG$437:$AM$437),2)</f>
        <v>0</v>
      </c>
      <c r="E45" s="211">
        <f>ROUND(SUM('[21]EO TD Carrying Costs'!$AE$56:$AK$56),2)</f>
        <v>322.51</v>
      </c>
      <c r="F45" s="194">
        <f t="shared" ref="F45:F47" si="18">SUM(B45:E45)</f>
        <v>19715.07</v>
      </c>
      <c r="G45" s="212">
        <f t="shared" ref="G45:G47" si="19">ROUND(F45/12*0,2)</f>
        <v>0</v>
      </c>
      <c r="J45" s="314"/>
      <c r="K45" s="314"/>
      <c r="L45" s="314"/>
    </row>
    <row r="46" spans="1:14" x14ac:dyDescent="0.25">
      <c r="A46" s="19" t="s">
        <v>95</v>
      </c>
      <c r="B46" s="24">
        <v>0</v>
      </c>
      <c r="C46" s="24">
        <f>ROUND(SUM('[21]Ex Post Gross TD Calc'!$AG$574:$AM$574),2)</f>
        <v>7522.72</v>
      </c>
      <c r="D46" s="24">
        <f>ROUND(SUM('[21]NTG TD Calc'!$AG$439:$AM$439),2)</f>
        <v>-0.02</v>
      </c>
      <c r="E46" s="211">
        <f>ROUND(SUM('[21]EO TD Carrying Costs'!$AE$58:$AK$58),2)</f>
        <v>134.16999999999999</v>
      </c>
      <c r="F46" s="194">
        <f t="shared" si="18"/>
        <v>7656.87</v>
      </c>
      <c r="G46" s="212">
        <f t="shared" si="19"/>
        <v>0</v>
      </c>
      <c r="J46" s="314"/>
      <c r="K46" s="314"/>
      <c r="L46" s="314"/>
    </row>
    <row r="47" spans="1:14" x14ac:dyDescent="0.25">
      <c r="A47" s="19" t="s">
        <v>96</v>
      </c>
      <c r="B47" s="193">
        <v>0</v>
      </c>
      <c r="C47" s="24">
        <f>ROUND(SUM('[21]Ex Post Gross TD Calc'!$AG$575:$AM$575),2)</f>
        <v>1281.76</v>
      </c>
      <c r="D47" s="24">
        <f>ROUND(SUM('[21]NTG TD Calc'!$AG$440:$AM$440),2)</f>
        <v>0</v>
      </c>
      <c r="E47" s="211">
        <f>ROUND(SUM('[21]EO TD Carrying Costs'!$AE$59:$AK$59),2)</f>
        <v>-13.47</v>
      </c>
      <c r="F47" s="194">
        <f t="shared" si="18"/>
        <v>1268.29</v>
      </c>
      <c r="G47" s="212">
        <f t="shared" si="19"/>
        <v>0</v>
      </c>
      <c r="J47" s="314"/>
      <c r="K47" s="314"/>
      <c r="L47" s="314"/>
    </row>
    <row r="48" spans="1:14" x14ac:dyDescent="0.25">
      <c r="A48" s="29" t="s">
        <v>97</v>
      </c>
      <c r="B48" s="194">
        <f>SUM(B45:B47)</f>
        <v>0</v>
      </c>
      <c r="C48" s="194">
        <f>SUM(C45:C47)</f>
        <v>28197.040000000001</v>
      </c>
      <c r="D48" s="194">
        <f t="shared" ref="D48:G48" si="20">SUM(D45:D47)</f>
        <v>-0.02</v>
      </c>
      <c r="E48" s="194">
        <f t="shared" si="20"/>
        <v>443.20999999999992</v>
      </c>
      <c r="F48" s="194">
        <f t="shared" si="20"/>
        <v>28640.23</v>
      </c>
      <c r="G48" s="194">
        <f t="shared" si="20"/>
        <v>0</v>
      </c>
    </row>
    <row r="49" spans="1:9" x14ac:dyDescent="0.25">
      <c r="A49" s="29"/>
      <c r="B49" s="219"/>
      <c r="C49" s="219"/>
      <c r="D49" s="219"/>
      <c r="E49" s="219"/>
      <c r="F49" s="219"/>
      <c r="G49" s="219"/>
    </row>
    <row r="50" spans="1:9" s="38" customFormat="1" x14ac:dyDescent="0.25">
      <c r="A50" s="29"/>
      <c r="B50" s="219"/>
      <c r="C50" s="219"/>
      <c r="D50" s="219"/>
      <c r="E50" s="219"/>
      <c r="F50" s="219"/>
      <c r="G50" s="219"/>
      <c r="I50" s="388"/>
    </row>
    <row r="51" spans="1:9" s="38" customFormat="1" x14ac:dyDescent="0.25">
      <c r="A51" s="293" t="s">
        <v>205</v>
      </c>
      <c r="B51" s="138"/>
      <c r="C51" s="138"/>
      <c r="D51" s="303"/>
      <c r="I51" s="388"/>
    </row>
    <row r="52" spans="1:9" s="38" customFormat="1" x14ac:dyDescent="0.25">
      <c r="A52" s="19" t="s">
        <v>22</v>
      </c>
      <c r="B52" s="24">
        <v>0</v>
      </c>
      <c r="C52" s="24">
        <f>ROUND(SUM('[21]Ex Post Gross TD Calc'!$AN$571:$AN$571),2)</f>
        <v>10271.9</v>
      </c>
      <c r="D52" s="24">
        <f>ROUND(SUM('[21]NTG TD Calc'!$AN$436:$AN$436),2)</f>
        <v>0</v>
      </c>
      <c r="E52" s="211">
        <f>ROUND(SUM('[21]EO TD Carrying Costs'!$AL$55:$AL$55),2)</f>
        <v>195.78</v>
      </c>
      <c r="F52" s="200">
        <f>SUM(B52:E52)</f>
        <v>10467.68</v>
      </c>
      <c r="G52" s="304">
        <f>ROUND(F52/12*0,2)</f>
        <v>0</v>
      </c>
      <c r="I52" s="388"/>
    </row>
    <row r="53" spans="1:9" s="38" customFormat="1" x14ac:dyDescent="0.25">
      <c r="A53" s="19" t="s">
        <v>23</v>
      </c>
      <c r="B53" s="193">
        <f>B59</f>
        <v>0</v>
      </c>
      <c r="C53" s="193">
        <f>C59</f>
        <v>2693.56</v>
      </c>
      <c r="D53" s="193">
        <f>D59</f>
        <v>-0.01</v>
      </c>
      <c r="E53" s="213">
        <f>E59</f>
        <v>132.03</v>
      </c>
      <c r="F53" s="200">
        <f>SUM(B53:E53)</f>
        <v>2825.58</v>
      </c>
      <c r="G53" s="304">
        <f>G59</f>
        <v>0</v>
      </c>
      <c r="I53" s="388"/>
    </row>
    <row r="54" spans="1:9" s="38" customFormat="1" x14ac:dyDescent="0.25">
      <c r="A54" s="19" t="s">
        <v>3</v>
      </c>
      <c r="B54" s="194">
        <f t="shared" ref="B54:G54" si="21">SUM(B52:B53)</f>
        <v>0</v>
      </c>
      <c r="C54" s="194">
        <f t="shared" si="21"/>
        <v>12965.46</v>
      </c>
      <c r="D54" s="194">
        <f t="shared" si="21"/>
        <v>-0.01</v>
      </c>
      <c r="E54" s="214">
        <f t="shared" si="21"/>
        <v>327.81</v>
      </c>
      <c r="F54" s="194">
        <f t="shared" si="21"/>
        <v>13293.26</v>
      </c>
      <c r="G54" s="215">
        <f t="shared" si="21"/>
        <v>0</v>
      </c>
      <c r="I54" s="388"/>
    </row>
    <row r="55" spans="1:9" s="38" customFormat="1" x14ac:dyDescent="0.25">
      <c r="A55" s="45"/>
      <c r="B55" s="191"/>
      <c r="C55" s="191"/>
      <c r="D55" s="192"/>
      <c r="E55" s="45"/>
      <c r="F55" s="45"/>
      <c r="G55" s="45"/>
      <c r="I55" s="388"/>
    </row>
    <row r="56" spans="1:9" s="38" customFormat="1" x14ac:dyDescent="0.25">
      <c r="A56" s="19" t="s">
        <v>94</v>
      </c>
      <c r="B56" s="24">
        <v>0</v>
      </c>
      <c r="C56" s="24">
        <f>ROUND(SUM('[21]Ex Post Gross TD Calc'!$AN$572:$AN$572),2)</f>
        <v>1616.23</v>
      </c>
      <c r="D56" s="24">
        <f>ROUND(SUM('[21]NTG TD Calc'!$AN$437:$AN$437),2)</f>
        <v>0</v>
      </c>
      <c r="E56" s="211">
        <f>ROUND(SUM('[21]EO TD Carrying Costs'!$AL$56:$AL$56),2)</f>
        <v>94.76</v>
      </c>
      <c r="F56" s="194">
        <f t="shared" ref="F56:F58" si="22">SUM(B56:E56)</f>
        <v>1710.99</v>
      </c>
      <c r="G56" s="304">
        <f>ROUND(F56/12*0,2)</f>
        <v>0</v>
      </c>
      <c r="I56" s="388"/>
    </row>
    <row r="57" spans="1:9" s="38" customFormat="1" x14ac:dyDescent="0.25">
      <c r="A57" s="19" t="s">
        <v>95</v>
      </c>
      <c r="B57" s="24">
        <v>0</v>
      </c>
      <c r="C57" s="24">
        <f>ROUND(SUM('[21]Ex Post Gross TD Calc'!$AN$574:$AN$574),2)</f>
        <v>912.42</v>
      </c>
      <c r="D57" s="24">
        <f>ROUND(SUM('[21]NTG TD Calc'!$AN$439:$AN$439),2)</f>
        <v>-0.01</v>
      </c>
      <c r="E57" s="211">
        <f>ROUND(SUM('[21]EO TD Carrying Costs'!$AL$58:$AL$58),2)</f>
        <v>39.630000000000003</v>
      </c>
      <c r="F57" s="194">
        <f t="shared" si="22"/>
        <v>952.04</v>
      </c>
      <c r="G57" s="304">
        <f>ROUND(F57/12*0,2)</f>
        <v>0</v>
      </c>
      <c r="I57" s="388"/>
    </row>
    <row r="58" spans="1:9" s="38" customFormat="1" x14ac:dyDescent="0.25">
      <c r="A58" s="19" t="s">
        <v>96</v>
      </c>
      <c r="B58" s="193">
        <v>0</v>
      </c>
      <c r="C58" s="24">
        <f>ROUND(SUM('[21]Ex Post Gross TD Calc'!$AN$575:$AN$575),2)</f>
        <v>164.91</v>
      </c>
      <c r="D58" s="24">
        <f>ROUND(SUM('[21]NTG TD Calc'!$AN$440:$AN$440),2)</f>
        <v>0</v>
      </c>
      <c r="E58" s="211">
        <f>ROUND(SUM('[21]EO TD Carrying Costs'!$AL$59:$AL$59),2)</f>
        <v>-2.36</v>
      </c>
      <c r="F58" s="194">
        <f t="shared" si="22"/>
        <v>162.54999999999998</v>
      </c>
      <c r="G58" s="304">
        <f>ROUND(F58/12*0,2)</f>
        <v>0</v>
      </c>
      <c r="I58" s="388"/>
    </row>
    <row r="59" spans="1:9" s="38" customFormat="1" x14ac:dyDescent="0.25">
      <c r="A59" s="19" t="s">
        <v>97</v>
      </c>
      <c r="B59" s="194">
        <f>SUM(B56:B58)</f>
        <v>0</v>
      </c>
      <c r="C59" s="194">
        <f>SUM(C56:C58)</f>
        <v>2693.56</v>
      </c>
      <c r="D59" s="194">
        <f t="shared" ref="D59:G59" si="23">SUM(D56:D58)</f>
        <v>-0.01</v>
      </c>
      <c r="E59" s="194">
        <f t="shared" si="23"/>
        <v>132.03</v>
      </c>
      <c r="F59" s="194">
        <f t="shared" si="23"/>
        <v>2825.58</v>
      </c>
      <c r="G59" s="194">
        <f t="shared" si="23"/>
        <v>0</v>
      </c>
      <c r="I59" s="388"/>
    </row>
    <row r="60" spans="1:9" s="38" customFormat="1" x14ac:dyDescent="0.25">
      <c r="A60" s="29"/>
      <c r="B60" s="219"/>
      <c r="C60" s="219"/>
      <c r="D60" s="219"/>
      <c r="E60" s="219"/>
      <c r="F60" s="219"/>
      <c r="G60" s="219"/>
      <c r="I60" s="388"/>
    </row>
    <row r="61" spans="1:9" s="38" customFormat="1" x14ac:dyDescent="0.25">
      <c r="A61" s="29"/>
      <c r="B61" s="219"/>
      <c r="C61" s="219"/>
      <c r="D61" s="219"/>
      <c r="E61" s="219"/>
      <c r="F61" s="219"/>
      <c r="G61" s="219"/>
      <c r="I61" s="388"/>
    </row>
    <row r="62" spans="1:9" x14ac:dyDescent="0.25">
      <c r="A62" s="258" t="s">
        <v>162</v>
      </c>
      <c r="B62" s="69"/>
      <c r="C62" s="69"/>
      <c r="D62" s="140"/>
    </row>
    <row r="63" spans="1:9" x14ac:dyDescent="0.25">
      <c r="A63" s="19" t="s">
        <v>22</v>
      </c>
      <c r="B63" s="24">
        <f>ROUND('[22]EO Matrix @Meter'!$AL$20,2)</f>
        <v>2070956.04</v>
      </c>
      <c r="C63" s="24">
        <f>ROUND(SUM('[23]Ex Post Gross TD Calc'!$Q$571:$AN$571),2)</f>
        <v>-195811.16</v>
      </c>
      <c r="D63" s="24">
        <f>ROUND(SUM('[23]NTG TD Calc'!$Q$436:$AN$436),2)</f>
        <v>-174531.88</v>
      </c>
      <c r="E63" s="211">
        <f>ROUND(SUM('[23]EO TD Carrying Costs'!$O$55:$AL$55),2)</f>
        <v>-8257.98</v>
      </c>
      <c r="F63" s="200">
        <f>SUM(B63:E63)</f>
        <v>1692355.02</v>
      </c>
      <c r="G63" s="212">
        <f>ROUND(F63/12*0,2)</f>
        <v>0</v>
      </c>
    </row>
    <row r="64" spans="1:9" x14ac:dyDescent="0.25">
      <c r="A64" s="19" t="s">
        <v>23</v>
      </c>
      <c r="B64" s="193">
        <f>B70</f>
        <v>1072812.1200000001</v>
      </c>
      <c r="C64" s="193">
        <f>C70</f>
        <v>1131.53</v>
      </c>
      <c r="D64" s="193">
        <f>D70</f>
        <v>-105892.22</v>
      </c>
      <c r="E64" s="213">
        <f>E70</f>
        <v>-1408.09</v>
      </c>
      <c r="F64" s="200">
        <f>SUM(B64:E64)</f>
        <v>966643.3400000002</v>
      </c>
      <c r="G64" s="304">
        <f>G70</f>
        <v>0</v>
      </c>
    </row>
    <row r="65" spans="1:10" x14ac:dyDescent="0.25">
      <c r="A65" s="19" t="s">
        <v>3</v>
      </c>
      <c r="B65" s="194">
        <f t="shared" ref="B65:G65" si="24">SUM(B63:B64)</f>
        <v>3143768.16</v>
      </c>
      <c r="C65" s="194">
        <f t="shared" si="24"/>
        <v>-194679.63</v>
      </c>
      <c r="D65" s="194">
        <f t="shared" si="24"/>
        <v>-280424.09999999998</v>
      </c>
      <c r="E65" s="214">
        <f t="shared" si="24"/>
        <v>-9666.07</v>
      </c>
      <c r="F65" s="194">
        <f t="shared" si="24"/>
        <v>2658998.3600000003</v>
      </c>
      <c r="G65" s="215">
        <f t="shared" si="24"/>
        <v>0</v>
      </c>
    </row>
    <row r="66" spans="1:10" x14ac:dyDescent="0.25">
      <c r="B66" s="191"/>
      <c r="C66" s="191"/>
      <c r="D66" s="192"/>
    </row>
    <row r="67" spans="1:10" x14ac:dyDescent="0.25">
      <c r="A67" s="19" t="s">
        <v>94</v>
      </c>
      <c r="B67" s="24">
        <f>ROUND('[22]EO Matrix @Meter'!$AP$20,2)</f>
        <v>283722.18</v>
      </c>
      <c r="C67" s="24">
        <f>ROUND(SUM('[23]Ex Post Gross TD Calc'!$Q$572:$AN$572),2)</f>
        <v>6564.41</v>
      </c>
      <c r="D67" s="24">
        <f>ROUND(SUM('[23]NTG TD Calc'!$Q$437:$AN$437),2)</f>
        <v>-47566.93</v>
      </c>
      <c r="E67" s="211">
        <f>ROUND(SUM('[23]EO TD Carrying Costs'!$O$56:$AL$56),2)</f>
        <v>-523.69000000000005</v>
      </c>
      <c r="F67" s="194">
        <f t="shared" ref="F67:F69" si="25">SUM(B67:E67)</f>
        <v>242195.96999999997</v>
      </c>
      <c r="G67" s="212">
        <f>ROUND(F67/12*0,2)</f>
        <v>0</v>
      </c>
    </row>
    <row r="68" spans="1:10" x14ac:dyDescent="0.25">
      <c r="A68" s="19" t="s">
        <v>95</v>
      </c>
      <c r="B68" s="24">
        <f>ROUND('[22]EO Matrix @Meter'!$AR$20,2)</f>
        <v>576681.62</v>
      </c>
      <c r="C68" s="24">
        <f>ROUND(SUM('[23]Ex Post Gross TD Calc'!$Q$574:$AN$574),2)</f>
        <v>-3904.58</v>
      </c>
      <c r="D68" s="24">
        <f>ROUND(SUM('[23]NTG TD Calc'!$Q$439:$AN$439),2)</f>
        <v>-52350.95</v>
      </c>
      <c r="E68" s="211">
        <f>ROUND(SUM('[23]EO TD Carrying Costs'!$O$58:$AL$58),2)</f>
        <v>-794.87</v>
      </c>
      <c r="F68" s="194">
        <f t="shared" si="25"/>
        <v>519631.22000000003</v>
      </c>
      <c r="G68" s="212">
        <f>ROUND(F68/12*0,2)</f>
        <v>0</v>
      </c>
    </row>
    <row r="69" spans="1:10" x14ac:dyDescent="0.25">
      <c r="A69" s="19" t="s">
        <v>96</v>
      </c>
      <c r="B69" s="24">
        <f>ROUND('[22]EO Matrix @Meter'!$AS$20,2)</f>
        <v>212408.32000000001</v>
      </c>
      <c r="C69" s="24">
        <f>ROUND(SUM('[23]Ex Post Gross TD Calc'!$Q$575:$AN$575),2)</f>
        <v>-1528.3</v>
      </c>
      <c r="D69" s="24">
        <f>ROUND(SUM('[23]NTG TD Calc'!$Q$440:$AN$440),2)</f>
        <v>-5974.34</v>
      </c>
      <c r="E69" s="211">
        <f>ROUND(SUM('[23]EO TD Carrying Costs'!$O$59:$AL$59),2)</f>
        <v>-89.53</v>
      </c>
      <c r="F69" s="194">
        <f t="shared" si="25"/>
        <v>204816.15000000002</v>
      </c>
      <c r="G69" s="212">
        <f>ROUND(F69/12*0,2)</f>
        <v>0</v>
      </c>
    </row>
    <row r="70" spans="1:10" x14ac:dyDescent="0.25">
      <c r="A70" s="29" t="s">
        <v>97</v>
      </c>
      <c r="B70" s="194">
        <f>SUM(B67:B69)</f>
        <v>1072812.1200000001</v>
      </c>
      <c r="C70" s="194">
        <f>SUM(C67:C69)</f>
        <v>1131.53</v>
      </c>
      <c r="D70" s="194">
        <f t="shared" ref="D70:G70" si="26">SUM(D67:D69)</f>
        <v>-105892.22</v>
      </c>
      <c r="E70" s="194">
        <f t="shared" si="26"/>
        <v>-1408.09</v>
      </c>
      <c r="F70" s="194">
        <f t="shared" si="26"/>
        <v>966643.34</v>
      </c>
      <c r="G70" s="194">
        <f t="shared" si="26"/>
        <v>0</v>
      </c>
    </row>
    <row r="71" spans="1:10" x14ac:dyDescent="0.25">
      <c r="A71" s="29"/>
      <c r="B71" s="219"/>
      <c r="C71" s="219"/>
      <c r="D71" s="219"/>
      <c r="E71" s="219"/>
      <c r="F71" s="219"/>
      <c r="G71" s="219"/>
    </row>
    <row r="72" spans="1:10" s="38" customFormat="1" x14ac:dyDescent="0.25">
      <c r="A72" s="313"/>
      <c r="B72" s="219"/>
      <c r="C72" s="219"/>
      <c r="D72" s="219"/>
      <c r="E72" s="219"/>
      <c r="F72" s="219"/>
      <c r="G72" s="219"/>
      <c r="I72" s="388"/>
    </row>
    <row r="73" spans="1:10" x14ac:dyDescent="0.25">
      <c r="A73" s="313" t="s">
        <v>203</v>
      </c>
      <c r="B73" s="69"/>
      <c r="C73" s="69"/>
      <c r="D73" s="140"/>
    </row>
    <row r="74" spans="1:10" x14ac:dyDescent="0.25">
      <c r="A74" s="19" t="s">
        <v>22</v>
      </c>
      <c r="B74" s="24">
        <f>ROUND('[24]EO Matrix @Meter'!$AL$22,2)</f>
        <v>1831459.69</v>
      </c>
      <c r="C74" s="24">
        <f>ROUND(SUM('[25]Ex Post Gross TD Calc'!$AC$572:$AX$572),2)</f>
        <v>-87916.71</v>
      </c>
      <c r="D74" s="24">
        <f>ROUND(SUM('[25]NTG TD Calc'!$AC$437:$AX$437),2)</f>
        <v>-17755.330000000002</v>
      </c>
      <c r="E74" s="211">
        <f>ROUND(SUM('[25]EO TD Carrying Costs'!$AA$55:$AV$55),2)</f>
        <v>-1711.57</v>
      </c>
      <c r="F74" s="200">
        <f>SUM(B74:E74)</f>
        <v>1724076.0799999998</v>
      </c>
      <c r="G74" s="212">
        <f>ROUND(F74/12*0,2)</f>
        <v>0</v>
      </c>
    </row>
    <row r="75" spans="1:10" x14ac:dyDescent="0.25">
      <c r="A75" s="19" t="s">
        <v>23</v>
      </c>
      <c r="B75" s="193">
        <f>B81</f>
        <v>1406145.85</v>
      </c>
      <c r="C75" s="193">
        <f>C81</f>
        <v>-53711.969999999994</v>
      </c>
      <c r="D75" s="193">
        <f>D81</f>
        <v>50995.289999999994</v>
      </c>
      <c r="E75" s="193">
        <f>E81</f>
        <v>-425.78000000000003</v>
      </c>
      <c r="F75" s="200">
        <f>SUM(B75:E75)</f>
        <v>1403003.3900000001</v>
      </c>
      <c r="G75" s="212">
        <f>G81</f>
        <v>0</v>
      </c>
    </row>
    <row r="76" spans="1:10" x14ac:dyDescent="0.25">
      <c r="A76" s="19" t="s">
        <v>3</v>
      </c>
      <c r="B76" s="194">
        <f t="shared" ref="B76:G76" si="27">SUM(B74:B75)</f>
        <v>3237605.54</v>
      </c>
      <c r="C76" s="194">
        <f t="shared" si="27"/>
        <v>-141628.68</v>
      </c>
      <c r="D76" s="194">
        <f t="shared" si="27"/>
        <v>33239.959999999992</v>
      </c>
      <c r="E76" s="214">
        <f t="shared" si="27"/>
        <v>-2137.35</v>
      </c>
      <c r="F76" s="194">
        <f t="shared" si="27"/>
        <v>3127079.4699999997</v>
      </c>
      <c r="G76" s="215">
        <f t="shared" si="27"/>
        <v>0</v>
      </c>
    </row>
    <row r="77" spans="1:10" x14ac:dyDescent="0.25">
      <c r="B77" s="191"/>
      <c r="C77" s="191"/>
      <c r="D77" s="192"/>
    </row>
    <row r="78" spans="1:10" x14ac:dyDescent="0.25">
      <c r="A78" s="19" t="s">
        <v>94</v>
      </c>
      <c r="B78" s="24">
        <f>ROUND('[24]EO Matrix @Meter'!$AP$22,2)</f>
        <v>286244.42</v>
      </c>
      <c r="C78" s="24">
        <f>ROUND(SUM('[25]Ex Post Gross TD Calc'!$AC$573:$AX$573),2)</f>
        <v>-39368.74</v>
      </c>
      <c r="D78" s="24">
        <f>ROUND(SUM('[25]NTG TD Calc'!$AC$438:$AX$438),2)</f>
        <v>34141.919999999998</v>
      </c>
      <c r="E78" s="211">
        <f>ROUND(SUM('[25]EO TD Carrying Costs'!$AA$56:$AV$56),2)</f>
        <v>-375.54</v>
      </c>
      <c r="F78" s="194">
        <f t="shared" ref="F78:F80" si="28">SUM(B78:E78)</f>
        <v>280642.06</v>
      </c>
      <c r="G78" s="212">
        <f>ROUND(F78/12*0,2)</f>
        <v>0</v>
      </c>
      <c r="J78" s="359"/>
    </row>
    <row r="79" spans="1:10" x14ac:dyDescent="0.25">
      <c r="A79" s="19" t="s">
        <v>95</v>
      </c>
      <c r="B79" s="24">
        <f>ROUND('[24]EO Matrix @Meter'!$AR$22,2)</f>
        <v>619125.67000000004</v>
      </c>
      <c r="C79" s="24">
        <f>ROUND(SUM('[25]Ex Post Gross TD Calc'!$AC$575:$AX$575),2)</f>
        <v>-13044.06</v>
      </c>
      <c r="D79" s="24">
        <f>ROUND(SUM('[25]NTG TD Calc'!$AC$440:$AX$440),2)</f>
        <v>14350.67</v>
      </c>
      <c r="E79" s="211">
        <f>ROUND(SUM('[25]EO TD Carrying Costs'!$AA$58:$AV$58),2)</f>
        <v>-72.91</v>
      </c>
      <c r="F79" s="194">
        <f t="shared" si="28"/>
        <v>620359.37</v>
      </c>
      <c r="G79" s="212">
        <f>ROUND(F79/12*0,2)</f>
        <v>0</v>
      </c>
      <c r="J79" s="359"/>
    </row>
    <row r="80" spans="1:10" x14ac:dyDescent="0.25">
      <c r="A80" s="19" t="s">
        <v>96</v>
      </c>
      <c r="B80" s="193">
        <f>ROUND('[24]EO Matrix @Meter'!$AS$22,2)</f>
        <v>500775.76</v>
      </c>
      <c r="C80" s="24">
        <f>ROUND(SUM('[25]Ex Post Gross TD Calc'!$AC$576:$AX$576),2)</f>
        <v>-1299.17</v>
      </c>
      <c r="D80" s="24">
        <f>ROUND(SUM('[25]NTG TD Calc'!$AC$441:$AX$441),2)</f>
        <v>2502.6999999999998</v>
      </c>
      <c r="E80" s="211">
        <f>ROUND(SUM('[25]EO TD Carrying Costs'!$AA$59:$AV$59),2)</f>
        <v>22.67</v>
      </c>
      <c r="F80" s="194">
        <f t="shared" si="28"/>
        <v>502001.96</v>
      </c>
      <c r="G80" s="212">
        <f>ROUND(F80/12*0,2)</f>
        <v>0</v>
      </c>
      <c r="J80" s="359"/>
    </row>
    <row r="81" spans="1:9" x14ac:dyDescent="0.25">
      <c r="A81" s="29" t="s">
        <v>97</v>
      </c>
      <c r="B81" s="194">
        <f>SUM(B78:B80)</f>
        <v>1406145.85</v>
      </c>
      <c r="C81" s="194">
        <f>SUM(C78:C80)</f>
        <v>-53711.969999999994</v>
      </c>
      <c r="D81" s="194">
        <f t="shared" ref="D81:G81" si="29">SUM(D78:D80)</f>
        <v>50995.289999999994</v>
      </c>
      <c r="E81" s="194">
        <f t="shared" si="29"/>
        <v>-425.78000000000003</v>
      </c>
      <c r="F81" s="194">
        <f t="shared" si="29"/>
        <v>1403003.39</v>
      </c>
      <c r="G81" s="194">
        <f t="shared" si="29"/>
        <v>0</v>
      </c>
    </row>
    <row r="82" spans="1:9" x14ac:dyDescent="0.25">
      <c r="A82" s="29"/>
      <c r="B82" s="219"/>
      <c r="C82" s="219"/>
      <c r="D82" s="219"/>
      <c r="E82" s="219"/>
      <c r="F82" s="219"/>
      <c r="G82" s="219"/>
    </row>
    <row r="83" spans="1:9" s="38" customFormat="1" x14ac:dyDescent="0.25">
      <c r="A83" s="29"/>
      <c r="B83" s="219"/>
      <c r="C83" s="219"/>
      <c r="D83" s="219"/>
      <c r="E83" s="219"/>
      <c r="F83" s="219"/>
      <c r="G83" s="219"/>
      <c r="I83" s="388"/>
    </row>
    <row r="84" spans="1:9" x14ac:dyDescent="0.25">
      <c r="A84" s="313" t="s">
        <v>217</v>
      </c>
      <c r="B84" s="69"/>
      <c r="C84" s="69"/>
      <c r="D84" s="140"/>
    </row>
    <row r="85" spans="1:9" x14ac:dyDescent="0.25">
      <c r="A85" s="19" t="s">
        <v>22</v>
      </c>
      <c r="B85" s="24">
        <v>0</v>
      </c>
      <c r="C85" s="24">
        <f>ROUND((SUM('[25]Ex Post Gross TD Calc'!$AY$572:$BD$572)),2)</f>
        <v>-34994.239999999998</v>
      </c>
      <c r="D85" s="24">
        <f>ROUND((SUM('[25]NTG TD Calc'!$AY$437:$BD$437)),2)</f>
        <v>-3815.04</v>
      </c>
      <c r="E85" s="211">
        <f>ROUND((SUM('[25]EO TD Carrying Costs'!$AW$55:$BB$55)),2)</f>
        <v>-3630.92</v>
      </c>
      <c r="F85" s="200">
        <f>SUM(B85:E85)</f>
        <v>-42440.2</v>
      </c>
      <c r="G85" s="212">
        <f>ROUND(F85/12*0,2)</f>
        <v>0</v>
      </c>
    </row>
    <row r="86" spans="1:9" x14ac:dyDescent="0.25">
      <c r="A86" s="19" t="s">
        <v>23</v>
      </c>
      <c r="B86" s="193">
        <f>B92</f>
        <v>0</v>
      </c>
      <c r="C86" s="193">
        <f>C92</f>
        <v>-20672.789999999997</v>
      </c>
      <c r="D86" s="193">
        <f>D92</f>
        <v>8653.61</v>
      </c>
      <c r="E86" s="193">
        <f>E92</f>
        <v>-165.42000000000002</v>
      </c>
      <c r="F86" s="200">
        <f>SUM(B86:E86)</f>
        <v>-12184.599999999997</v>
      </c>
      <c r="G86" s="212">
        <f>G92</f>
        <v>0</v>
      </c>
    </row>
    <row r="87" spans="1:9" x14ac:dyDescent="0.25">
      <c r="A87" s="19" t="s">
        <v>3</v>
      </c>
      <c r="B87" s="194">
        <f t="shared" ref="B87:G87" si="30">SUM(B85:B86)</f>
        <v>0</v>
      </c>
      <c r="C87" s="194">
        <f t="shared" si="30"/>
        <v>-55667.03</v>
      </c>
      <c r="D87" s="194">
        <f t="shared" si="30"/>
        <v>4838.5700000000006</v>
      </c>
      <c r="E87" s="214">
        <f t="shared" si="30"/>
        <v>-3796.34</v>
      </c>
      <c r="F87" s="194">
        <f t="shared" si="30"/>
        <v>-54624.799999999996</v>
      </c>
      <c r="G87" s="215">
        <f t="shared" si="30"/>
        <v>0</v>
      </c>
    </row>
    <row r="88" spans="1:9" x14ac:dyDescent="0.25">
      <c r="B88" s="191"/>
      <c r="C88" s="191"/>
      <c r="D88" s="192"/>
    </row>
    <row r="89" spans="1:9" x14ac:dyDescent="0.25">
      <c r="A89" s="19" t="s">
        <v>94</v>
      </c>
      <c r="B89" s="24">
        <v>0</v>
      </c>
      <c r="C89" s="24">
        <f>ROUND((SUM('[25]Ex Post Gross TD Calc'!$AY573:$BD573)),2)</f>
        <v>-14358.12</v>
      </c>
      <c r="D89" s="24">
        <f>ROUND((SUM('[25]NTG TD Calc'!$AY438:$BD438)),2)</f>
        <v>5781.29</v>
      </c>
      <c r="E89" s="211">
        <f>ROUND((SUM('[25]EO TD Carrying Costs'!$AW56:$BB56)),2)</f>
        <v>-217.83</v>
      </c>
      <c r="F89" s="194">
        <f t="shared" ref="F89:F91" si="31">SUM(B89:E89)</f>
        <v>-8794.6600000000017</v>
      </c>
      <c r="G89" s="220">
        <f>ROUND(F89/12*0,2)</f>
        <v>0</v>
      </c>
    </row>
    <row r="90" spans="1:9" x14ac:dyDescent="0.25">
      <c r="A90" s="19" t="s">
        <v>95</v>
      </c>
      <c r="B90" s="24">
        <v>0</v>
      </c>
      <c r="C90" s="24">
        <f>ROUND((SUM('[25]Ex Post Gross TD Calc'!$AY575:$BD575)),2)</f>
        <v>-5704.41</v>
      </c>
      <c r="D90" s="24">
        <f>ROUND((SUM('[25]NTG TD Calc'!$AY440:$BD440)),2)</f>
        <v>2527.65</v>
      </c>
      <c r="E90" s="211">
        <f>ROUND((SUM('[25]EO TD Carrying Costs'!$AW58:$BB58)),2)</f>
        <v>17.940000000000001</v>
      </c>
      <c r="F90" s="194">
        <f t="shared" si="31"/>
        <v>-3158.8199999999997</v>
      </c>
      <c r="G90" s="220">
        <f>ROUND(F90/12*0,2)</f>
        <v>0</v>
      </c>
    </row>
    <row r="91" spans="1:9" x14ac:dyDescent="0.25">
      <c r="A91" s="19" t="s">
        <v>96</v>
      </c>
      <c r="B91" s="24">
        <v>0</v>
      </c>
      <c r="C91" s="24">
        <f>ROUND((SUM('[25]Ex Post Gross TD Calc'!$AY576:$BD576)),2)</f>
        <v>-610.26</v>
      </c>
      <c r="D91" s="24">
        <f>ROUND((SUM('[25]NTG TD Calc'!$AY441:$BD441)),2)</f>
        <v>344.67</v>
      </c>
      <c r="E91" s="211">
        <f>ROUND((SUM('[25]EO TD Carrying Costs'!$AW59:$BB59)),2)</f>
        <v>34.47</v>
      </c>
      <c r="F91" s="194">
        <f t="shared" si="31"/>
        <v>-231.11999999999998</v>
      </c>
      <c r="G91" s="220">
        <f>ROUND(F91/12*0,2)</f>
        <v>0</v>
      </c>
    </row>
    <row r="92" spans="1:9" x14ac:dyDescent="0.25">
      <c r="A92" s="29" t="s">
        <v>97</v>
      </c>
      <c r="B92" s="194">
        <f>SUM(B89:B91)</f>
        <v>0</v>
      </c>
      <c r="C92" s="194">
        <f>SUM(C89:C91)</f>
        <v>-20672.789999999997</v>
      </c>
      <c r="D92" s="194">
        <f t="shared" ref="D92:G92" si="32">SUM(D89:D91)</f>
        <v>8653.61</v>
      </c>
      <c r="E92" s="194">
        <f t="shared" si="32"/>
        <v>-165.42000000000002</v>
      </c>
      <c r="F92" s="194">
        <f t="shared" si="32"/>
        <v>-12184.600000000002</v>
      </c>
      <c r="G92" s="194">
        <f t="shared" si="32"/>
        <v>0</v>
      </c>
    </row>
    <row r="93" spans="1:9" x14ac:dyDescent="0.25">
      <c r="A93" s="29"/>
      <c r="B93" s="219"/>
      <c r="C93" s="219"/>
      <c r="D93" s="219"/>
      <c r="E93" s="219"/>
      <c r="F93" s="219"/>
      <c r="G93" s="219"/>
    </row>
    <row r="94" spans="1:9" s="38" customFormat="1" x14ac:dyDescent="0.25">
      <c r="A94" s="29"/>
      <c r="B94" s="219"/>
      <c r="C94" s="219"/>
      <c r="D94" s="219"/>
      <c r="E94" s="219"/>
      <c r="F94" s="219"/>
      <c r="G94" s="219"/>
      <c r="I94" s="388"/>
    </row>
    <row r="95" spans="1:9" x14ac:dyDescent="0.25">
      <c r="A95" s="313" t="s">
        <v>224</v>
      </c>
      <c r="B95" s="69"/>
      <c r="C95" s="69"/>
      <c r="D95" s="140"/>
    </row>
    <row r="96" spans="1:9" x14ac:dyDescent="0.25">
      <c r="A96" s="19" t="s">
        <v>22</v>
      </c>
      <c r="B96" s="24">
        <v>0</v>
      </c>
      <c r="C96" s="24">
        <f>ROUND((SUM('[25]Ex Post Gross TD Calc'!$BE$572:$BJ$572)),2)</f>
        <v>-63276.46</v>
      </c>
      <c r="D96" s="24">
        <f>ROUND((SUM('[25]NTG TD Calc'!$BE$437:$BJ$437)),2)</f>
        <v>0</v>
      </c>
      <c r="E96" s="211">
        <f>ROUND((SUM('[25]EO TD Carrying Costs'!$BC$55:$BH$55)),2)</f>
        <v>-4803.1000000000004</v>
      </c>
      <c r="F96" s="200">
        <f>SUM(B96:E96)</f>
        <v>-68079.56</v>
      </c>
      <c r="G96" s="212">
        <f>ROUND(F96/12*1,2)</f>
        <v>-5673.3</v>
      </c>
    </row>
    <row r="97" spans="1:9" x14ac:dyDescent="0.25">
      <c r="A97" s="19" t="s">
        <v>23</v>
      </c>
      <c r="B97" s="193">
        <f>B103</f>
        <v>0</v>
      </c>
      <c r="C97" s="193">
        <f>C103</f>
        <v>-33721.83</v>
      </c>
      <c r="D97" s="193">
        <f>D103</f>
        <v>-1.9999999999999997E-2</v>
      </c>
      <c r="E97" s="193">
        <f>E103</f>
        <v>-851.76</v>
      </c>
      <c r="F97" s="200">
        <f>SUM(B97:E97)</f>
        <v>-34573.61</v>
      </c>
      <c r="G97" s="212">
        <f>G103</f>
        <v>-2881.14</v>
      </c>
    </row>
    <row r="98" spans="1:9" x14ac:dyDescent="0.25">
      <c r="A98" s="19" t="s">
        <v>3</v>
      </c>
      <c r="B98" s="194">
        <f t="shared" ref="B98:E98" si="33">SUM(B96:B97)</f>
        <v>0</v>
      </c>
      <c r="C98" s="194">
        <f t="shared" si="33"/>
        <v>-96998.290000000008</v>
      </c>
      <c r="D98" s="194">
        <f t="shared" si="33"/>
        <v>-1.9999999999999997E-2</v>
      </c>
      <c r="E98" s="214">
        <f t="shared" si="33"/>
        <v>-5654.8600000000006</v>
      </c>
      <c r="F98" s="194">
        <f t="shared" ref="F98:G98" si="34">SUM(F96:F97)</f>
        <v>-102653.17</v>
      </c>
      <c r="G98" s="215">
        <f t="shared" si="34"/>
        <v>-8554.44</v>
      </c>
    </row>
    <row r="99" spans="1:9" x14ac:dyDescent="0.25">
      <c r="B99" s="191"/>
      <c r="C99" s="191"/>
      <c r="D99" s="192"/>
    </row>
    <row r="100" spans="1:9" x14ac:dyDescent="0.25">
      <c r="A100" s="19" t="s">
        <v>94</v>
      </c>
      <c r="B100" s="24">
        <v>0</v>
      </c>
      <c r="C100" s="24">
        <f>ROUND((SUM('[25]Ex Post Gross TD Calc'!$BE573:$BJ573)),2)</f>
        <v>-25692.560000000001</v>
      </c>
      <c r="D100" s="24">
        <f>ROUND((SUM('[25]NTG TD Calc'!$BE438:$BJ438)),2)</f>
        <v>-0.02</v>
      </c>
      <c r="E100" s="211">
        <f>ROUND((SUM('[25]EO TD Carrying Costs'!$BC56:$BH56)),2)</f>
        <v>-719.09</v>
      </c>
      <c r="F100" s="194">
        <f t="shared" ref="F100:F102" si="35">SUM(B100:E100)</f>
        <v>-26411.670000000002</v>
      </c>
      <c r="G100" s="220">
        <f>ROUND(F100/12*1,2)</f>
        <v>-2200.9699999999998</v>
      </c>
    </row>
    <row r="101" spans="1:9" x14ac:dyDescent="0.25">
      <c r="A101" s="19" t="s">
        <v>95</v>
      </c>
      <c r="B101" s="24">
        <v>0</v>
      </c>
      <c r="C101" s="24">
        <f>ROUND((SUM('[25]Ex Post Gross TD Calc'!$BE575:$BJ575)),2)</f>
        <v>-7023.35</v>
      </c>
      <c r="D101" s="24">
        <f>ROUND((SUM('[25]NTG TD Calc'!$BE440:$BJ440)),2)</f>
        <v>-0.01</v>
      </c>
      <c r="E101" s="211">
        <f>ROUND((SUM('[25]EO TD Carrying Costs'!$BC58:$BH58)),2)</f>
        <v>-145.62</v>
      </c>
      <c r="F101" s="194">
        <f t="shared" si="35"/>
        <v>-7168.9800000000005</v>
      </c>
      <c r="G101" s="220">
        <f>ROUND(F101/12*1,2)</f>
        <v>-597.41999999999996</v>
      </c>
    </row>
    <row r="102" spans="1:9" x14ac:dyDescent="0.25">
      <c r="A102" s="19" t="s">
        <v>96</v>
      </c>
      <c r="B102" s="24">
        <v>0</v>
      </c>
      <c r="C102" s="24">
        <f>ROUND((SUM('[25]Ex Post Gross TD Calc'!$BE576:$BJ576)),2)</f>
        <v>-1005.92</v>
      </c>
      <c r="D102" s="24">
        <f>ROUND((SUM('[25]NTG TD Calc'!$BE441:$BJ441)),2)</f>
        <v>0.01</v>
      </c>
      <c r="E102" s="211">
        <f>ROUND((SUM('[25]EO TD Carrying Costs'!$BC59:$BH59)),2)</f>
        <v>12.95</v>
      </c>
      <c r="F102" s="194">
        <f t="shared" si="35"/>
        <v>-992.95999999999992</v>
      </c>
      <c r="G102" s="220">
        <f>ROUND(F102/12*1,2)</f>
        <v>-82.75</v>
      </c>
    </row>
    <row r="103" spans="1:9" x14ac:dyDescent="0.25">
      <c r="A103" s="29" t="s">
        <v>97</v>
      </c>
      <c r="B103" s="194">
        <f>SUM(B100:B102)</f>
        <v>0</v>
      </c>
      <c r="C103" s="194">
        <f>SUM(C100:C102)</f>
        <v>-33721.83</v>
      </c>
      <c r="D103" s="194">
        <f t="shared" ref="D103:E103" si="36">SUM(D100:D102)</f>
        <v>-1.9999999999999997E-2</v>
      </c>
      <c r="E103" s="194">
        <f t="shared" si="36"/>
        <v>-851.76</v>
      </c>
      <c r="F103" s="194">
        <f t="shared" ref="F103:G103" si="37">SUM(F100:F102)</f>
        <v>-34573.61</v>
      </c>
      <c r="G103" s="194">
        <f t="shared" si="37"/>
        <v>-2881.14</v>
      </c>
    </row>
    <row r="104" spans="1:9" s="359" customFormat="1" x14ac:dyDescent="0.25">
      <c r="A104" s="380"/>
      <c r="B104" s="219"/>
      <c r="C104" s="219"/>
      <c r="D104" s="219"/>
      <c r="E104" s="219"/>
      <c r="F104" s="219"/>
      <c r="G104" s="219"/>
      <c r="I104" s="509"/>
    </row>
    <row r="105" spans="1:9" s="388" customFormat="1" x14ac:dyDescent="0.25">
      <c r="A105" s="380"/>
      <c r="B105" s="219"/>
      <c r="C105" s="219"/>
      <c r="D105" s="219"/>
      <c r="E105" s="219"/>
      <c r="F105" s="219"/>
      <c r="G105" s="219"/>
    </row>
    <row r="106" spans="1:9" s="359" customFormat="1" x14ac:dyDescent="0.25">
      <c r="A106" s="293" t="s">
        <v>250</v>
      </c>
      <c r="B106" s="415"/>
      <c r="C106" s="415"/>
      <c r="D106" s="448"/>
      <c r="I106" s="509"/>
    </row>
    <row r="107" spans="1:9" s="359" customFormat="1" x14ac:dyDescent="0.25">
      <c r="A107" s="374" t="s">
        <v>22</v>
      </c>
      <c r="B107" s="376">
        <v>0</v>
      </c>
      <c r="C107" s="376">
        <f>ROUND((SUM('[25]Ex Post Gross TD Calc'!$BK$572:$BP$572)),2)</f>
        <v>-12282.03</v>
      </c>
      <c r="D107" s="376"/>
      <c r="E107" s="376">
        <f>ROUND((SUM('[25]EO TD Carrying Costs'!$BI$55:$BN$55)),2)</f>
        <v>-1920.62</v>
      </c>
      <c r="F107" s="489">
        <f>SUM(B107:E107)</f>
        <v>-14202.650000000001</v>
      </c>
      <c r="G107" s="212">
        <f>ROUND(F107/12*7,2)</f>
        <v>-8284.8799999999992</v>
      </c>
      <c r="H107" s="509"/>
      <c r="I107" s="509"/>
    </row>
    <row r="108" spans="1:9" s="359" customFormat="1" x14ac:dyDescent="0.25">
      <c r="A108" s="374" t="s">
        <v>23</v>
      </c>
      <c r="B108" s="486">
        <f>B114</f>
        <v>0</v>
      </c>
      <c r="C108" s="486">
        <f>C114</f>
        <v>-7428.7599999999993</v>
      </c>
      <c r="D108" s="486">
        <f>D114</f>
        <v>0</v>
      </c>
      <c r="E108" s="486">
        <f>E114</f>
        <v>-459.96999999999997</v>
      </c>
      <c r="F108" s="489">
        <f>SUM(B108:E108)</f>
        <v>-7888.73</v>
      </c>
      <c r="G108" s="212">
        <f>G114</f>
        <v>-4601.7599999999993</v>
      </c>
      <c r="H108" s="509"/>
      <c r="I108" s="509"/>
    </row>
    <row r="109" spans="1:9" s="359" customFormat="1" x14ac:dyDescent="0.25">
      <c r="A109" s="374" t="s">
        <v>3</v>
      </c>
      <c r="B109" s="487">
        <f t="shared" ref="B109:E109" si="38">SUM(B107:B108)</f>
        <v>0</v>
      </c>
      <c r="C109" s="487">
        <f t="shared" si="38"/>
        <v>-19710.79</v>
      </c>
      <c r="D109" s="487">
        <f t="shared" si="38"/>
        <v>0</v>
      </c>
      <c r="E109" s="214">
        <f t="shared" si="38"/>
        <v>-2380.5899999999997</v>
      </c>
      <c r="F109" s="487">
        <f t="shared" ref="F109:G109" si="39">SUM(F107:F108)</f>
        <v>-22091.38</v>
      </c>
      <c r="G109" s="215">
        <f t="shared" si="39"/>
        <v>-12886.64</v>
      </c>
      <c r="H109" s="509"/>
      <c r="I109" s="509"/>
    </row>
    <row r="110" spans="1:9" s="359" customFormat="1" x14ac:dyDescent="0.25">
      <c r="B110" s="484"/>
      <c r="C110" s="484"/>
      <c r="D110" s="485"/>
      <c r="H110" s="509"/>
      <c r="I110" s="509"/>
    </row>
    <row r="111" spans="1:9" s="359" customFormat="1" x14ac:dyDescent="0.25">
      <c r="A111" s="374" t="s">
        <v>94</v>
      </c>
      <c r="B111" s="376">
        <v>0</v>
      </c>
      <c r="C111" s="376">
        <f>ROUND((SUM('[25]Ex Post Gross TD Calc'!$BK573:$BP573)),2)</f>
        <v>-5167.5</v>
      </c>
      <c r="D111" s="376"/>
      <c r="E111" s="376">
        <f>ROUND((SUM('[25]EO TD Carrying Costs'!$BI56:$BN56)),2)</f>
        <v>-372.19</v>
      </c>
      <c r="F111" s="487">
        <f t="shared" ref="F111:F113" si="40">SUM(B111:E111)</f>
        <v>-5539.69</v>
      </c>
      <c r="G111" s="220">
        <f>ROUND(F111/12*7,2)</f>
        <v>-3231.49</v>
      </c>
      <c r="H111" s="509"/>
      <c r="I111" s="509"/>
    </row>
    <row r="112" spans="1:9" s="359" customFormat="1" x14ac:dyDescent="0.25">
      <c r="A112" s="374" t="s">
        <v>95</v>
      </c>
      <c r="B112" s="376">
        <v>0</v>
      </c>
      <c r="C112" s="376">
        <f>ROUND((SUM('[25]Ex Post Gross TD Calc'!$BK575:$BP575)),2)</f>
        <v>-2040.53</v>
      </c>
      <c r="D112" s="376"/>
      <c r="E112" s="376">
        <f>ROUND((SUM('[25]EO TD Carrying Costs'!$BI58:$BN58)),2)</f>
        <v>-86.88</v>
      </c>
      <c r="F112" s="487">
        <f t="shared" si="40"/>
        <v>-2127.41</v>
      </c>
      <c r="G112" s="220">
        <f>ROUND(F112/12*7,2)</f>
        <v>-1240.99</v>
      </c>
      <c r="H112" s="509"/>
      <c r="I112" s="509"/>
    </row>
    <row r="113" spans="1:9" s="359" customFormat="1" x14ac:dyDescent="0.25">
      <c r="A113" s="374" t="s">
        <v>96</v>
      </c>
      <c r="B113" s="376">
        <v>0</v>
      </c>
      <c r="C113" s="376">
        <f>ROUND((SUM('[25]Ex Post Gross TD Calc'!$BK576:$BP576)),2)</f>
        <v>-220.73</v>
      </c>
      <c r="D113" s="376"/>
      <c r="E113" s="376">
        <f>ROUND((SUM('[25]EO TD Carrying Costs'!$BI59:$BN59)),2)</f>
        <v>-0.9</v>
      </c>
      <c r="F113" s="487">
        <f t="shared" si="40"/>
        <v>-221.63</v>
      </c>
      <c r="G113" s="220">
        <f>ROUND(F113/12*7,2)</f>
        <v>-129.28</v>
      </c>
      <c r="H113" s="509"/>
      <c r="I113" s="509"/>
    </row>
    <row r="114" spans="1:9" s="359" customFormat="1" x14ac:dyDescent="0.25">
      <c r="A114" s="380" t="s">
        <v>97</v>
      </c>
      <c r="B114" s="487">
        <f>SUM(B111:B113)</f>
        <v>0</v>
      </c>
      <c r="C114" s="487">
        <f>SUM(C111:C113)</f>
        <v>-7428.7599999999993</v>
      </c>
      <c r="D114" s="487">
        <f t="shared" ref="D114:G114" si="41">SUM(D111:D113)</f>
        <v>0</v>
      </c>
      <c r="E114" s="487">
        <f t="shared" si="41"/>
        <v>-459.96999999999997</v>
      </c>
      <c r="F114" s="487">
        <f t="shared" si="41"/>
        <v>-7888.73</v>
      </c>
      <c r="G114" s="487">
        <f t="shared" si="41"/>
        <v>-4601.7599999999993</v>
      </c>
      <c r="H114" s="509"/>
      <c r="I114" s="509"/>
    </row>
    <row r="115" spans="1:9" x14ac:dyDescent="0.25">
      <c r="A115" s="29"/>
      <c r="B115" s="219"/>
      <c r="C115" s="219"/>
      <c r="D115" s="219"/>
      <c r="E115" s="219"/>
      <c r="F115" s="219"/>
      <c r="G115" s="219"/>
      <c r="H115" s="509"/>
    </row>
    <row r="116" spans="1:9" s="38" customFormat="1" x14ac:dyDescent="0.25">
      <c r="A116" s="29"/>
      <c r="B116" s="219"/>
      <c r="C116" s="219"/>
      <c r="D116" s="219"/>
      <c r="E116" s="219"/>
      <c r="F116" s="219"/>
      <c r="G116" s="219"/>
      <c r="I116" s="388"/>
    </row>
    <row r="117" spans="1:9" x14ac:dyDescent="0.25">
      <c r="A117" s="313" t="s">
        <v>218</v>
      </c>
      <c r="B117" s="69"/>
      <c r="C117" s="69"/>
      <c r="D117" s="140"/>
    </row>
    <row r="118" spans="1:9" x14ac:dyDescent="0.25">
      <c r="A118" s="19" t="s">
        <v>22</v>
      </c>
      <c r="B118" s="24">
        <f>ROUND('[26]PY4 2023 EO'!$E116,2)</f>
        <v>1409245.8</v>
      </c>
      <c r="C118" s="24">
        <v>0</v>
      </c>
      <c r="D118" s="24">
        <v>0</v>
      </c>
      <c r="E118" s="211">
        <v>0</v>
      </c>
      <c r="F118" s="200">
        <f>SUM(B118:E118)</f>
        <v>1409245.8</v>
      </c>
      <c r="G118" s="212">
        <f>ROUND(F118/12*0,2)</f>
        <v>0</v>
      </c>
    </row>
    <row r="119" spans="1:9" x14ac:dyDescent="0.25">
      <c r="A119" s="19" t="s">
        <v>23</v>
      </c>
      <c r="B119" s="193">
        <f>B125</f>
        <v>977559.65999999992</v>
      </c>
      <c r="C119" s="193">
        <f>C125</f>
        <v>0</v>
      </c>
      <c r="D119" s="193">
        <f>D125</f>
        <v>0</v>
      </c>
      <c r="E119" s="193">
        <f>E125</f>
        <v>0</v>
      </c>
      <c r="F119" s="200">
        <f>SUM(B119:E119)</f>
        <v>977559.65999999992</v>
      </c>
      <c r="G119" s="212">
        <f>G125</f>
        <v>0</v>
      </c>
    </row>
    <row r="120" spans="1:9" x14ac:dyDescent="0.25">
      <c r="A120" s="19" t="s">
        <v>3</v>
      </c>
      <c r="B120" s="194">
        <f t="shared" ref="B120:G120" si="42">SUM(B118:B119)</f>
        <v>2386805.46</v>
      </c>
      <c r="C120" s="194">
        <f t="shared" si="42"/>
        <v>0</v>
      </c>
      <c r="D120" s="194">
        <f t="shared" si="42"/>
        <v>0</v>
      </c>
      <c r="E120" s="214">
        <f t="shared" si="42"/>
        <v>0</v>
      </c>
      <c r="F120" s="194">
        <f t="shared" si="42"/>
        <v>2386805.46</v>
      </c>
      <c r="G120" s="215">
        <f t="shared" si="42"/>
        <v>0</v>
      </c>
    </row>
    <row r="121" spans="1:9" x14ac:dyDescent="0.25">
      <c r="B121" s="191"/>
      <c r="C121" s="191"/>
      <c r="D121" s="192"/>
    </row>
    <row r="122" spans="1:9" x14ac:dyDescent="0.25">
      <c r="A122" s="19" t="s">
        <v>94</v>
      </c>
      <c r="B122" s="24">
        <f>ROUND('[26]PY4 2023 EO'!$E117,2)</f>
        <v>366668.97</v>
      </c>
      <c r="C122" s="24">
        <v>0</v>
      </c>
      <c r="D122" s="24">
        <v>0</v>
      </c>
      <c r="E122" s="211">
        <v>0</v>
      </c>
      <c r="F122" s="194">
        <f t="shared" ref="F122:F124" si="43">SUM(B122:E122)</f>
        <v>366668.97</v>
      </c>
      <c r="G122" s="220">
        <f>ROUND(F122/12*0,2)</f>
        <v>0</v>
      </c>
    </row>
    <row r="123" spans="1:9" x14ac:dyDescent="0.25">
      <c r="A123" s="19" t="s">
        <v>95</v>
      </c>
      <c r="B123" s="24">
        <f>ROUND('[26]PY4 2023 EO'!$E119,2)</f>
        <v>351922.98</v>
      </c>
      <c r="C123" s="24">
        <v>0</v>
      </c>
      <c r="D123" s="24">
        <v>0</v>
      </c>
      <c r="E123" s="211">
        <v>0</v>
      </c>
      <c r="F123" s="194">
        <f t="shared" si="43"/>
        <v>351922.98</v>
      </c>
      <c r="G123" s="220">
        <f>ROUND(F123/12*0,2)</f>
        <v>0</v>
      </c>
    </row>
    <row r="124" spans="1:9" x14ac:dyDescent="0.25">
      <c r="A124" s="19" t="s">
        <v>96</v>
      </c>
      <c r="B124" s="24">
        <f>ROUND('[26]PY4 2023 EO'!$E120,2)</f>
        <v>258967.71</v>
      </c>
      <c r="C124" s="24">
        <v>0</v>
      </c>
      <c r="D124" s="24">
        <v>0</v>
      </c>
      <c r="E124" s="211">
        <v>0</v>
      </c>
      <c r="F124" s="194">
        <f t="shared" si="43"/>
        <v>258967.71</v>
      </c>
      <c r="G124" s="220">
        <f>ROUND(F124/12*0,2)</f>
        <v>0</v>
      </c>
    </row>
    <row r="125" spans="1:9" x14ac:dyDescent="0.25">
      <c r="A125" s="29" t="s">
        <v>97</v>
      </c>
      <c r="B125" s="194">
        <f>SUM(B122:B124)</f>
        <v>977559.65999999992</v>
      </c>
      <c r="C125" s="194">
        <f>SUM(C122:C124)</f>
        <v>0</v>
      </c>
      <c r="D125" s="194">
        <f t="shared" ref="D125:G125" si="44">SUM(D122:D124)</f>
        <v>0</v>
      </c>
      <c r="E125" s="194">
        <f t="shared" si="44"/>
        <v>0</v>
      </c>
      <c r="F125" s="194">
        <f t="shared" si="44"/>
        <v>977559.65999999992</v>
      </c>
      <c r="G125" s="194">
        <f t="shared" si="44"/>
        <v>0</v>
      </c>
    </row>
    <row r="126" spans="1:9" s="359" customFormat="1" x14ac:dyDescent="0.25">
      <c r="A126" s="380"/>
      <c r="B126" s="219"/>
      <c r="C126" s="219"/>
      <c r="D126" s="219"/>
      <c r="E126" s="219"/>
      <c r="F126" s="219"/>
      <c r="G126" s="219"/>
      <c r="I126" s="509"/>
    </row>
    <row r="127" spans="1:9" s="388" customFormat="1" x14ac:dyDescent="0.25">
      <c r="A127" s="380"/>
      <c r="B127" s="219"/>
      <c r="C127" s="219"/>
      <c r="D127" s="219"/>
      <c r="E127" s="219"/>
      <c r="F127" s="219"/>
      <c r="G127" s="219"/>
    </row>
    <row r="128" spans="1:9" s="359" customFormat="1" x14ac:dyDescent="0.25">
      <c r="A128" s="490" t="s">
        <v>239</v>
      </c>
      <c r="B128" s="415"/>
      <c r="C128" s="415"/>
      <c r="D128" s="448"/>
      <c r="I128" s="509"/>
    </row>
    <row r="129" spans="1:9" s="359" customFormat="1" x14ac:dyDescent="0.25">
      <c r="A129" s="374" t="s">
        <v>22</v>
      </c>
      <c r="B129" s="376">
        <f>ROUND('[27]MEEIA 3 PY5 EO'!$E$278,2)</f>
        <v>1243468.93</v>
      </c>
      <c r="C129" s="376">
        <v>0</v>
      </c>
      <c r="D129" s="376">
        <v>0</v>
      </c>
      <c r="E129" s="211">
        <v>0</v>
      </c>
      <c r="F129" s="489">
        <f>SUM(B129:E129)</f>
        <v>1243468.93</v>
      </c>
      <c r="G129" s="212">
        <f>ROUND(F129/12*7,2)</f>
        <v>725356.88</v>
      </c>
      <c r="I129" s="509"/>
    </row>
    <row r="130" spans="1:9" s="359" customFormat="1" x14ac:dyDescent="0.25">
      <c r="A130" s="374" t="s">
        <v>23</v>
      </c>
      <c r="B130" s="486">
        <f>B136</f>
        <v>1149165.52</v>
      </c>
      <c r="C130" s="486">
        <f>C136</f>
        <v>0</v>
      </c>
      <c r="D130" s="486">
        <f>D136</f>
        <v>0</v>
      </c>
      <c r="E130" s="486">
        <f>E136</f>
        <v>0</v>
      </c>
      <c r="F130" s="489">
        <f>SUM(B130:E130)</f>
        <v>1149165.52</v>
      </c>
      <c r="G130" s="212">
        <f>G136</f>
        <v>670346.55000000005</v>
      </c>
      <c r="I130" s="509"/>
    </row>
    <row r="131" spans="1:9" s="359" customFormat="1" x14ac:dyDescent="0.25">
      <c r="A131" s="374" t="s">
        <v>3</v>
      </c>
      <c r="B131" s="487">
        <f t="shared" ref="B131:G131" si="45">SUM(B129:B130)</f>
        <v>2392634.4500000002</v>
      </c>
      <c r="C131" s="487">
        <f t="shared" si="45"/>
        <v>0</v>
      </c>
      <c r="D131" s="487">
        <f t="shared" si="45"/>
        <v>0</v>
      </c>
      <c r="E131" s="214">
        <f t="shared" si="45"/>
        <v>0</v>
      </c>
      <c r="F131" s="487">
        <f t="shared" si="45"/>
        <v>2392634.4500000002</v>
      </c>
      <c r="G131" s="215">
        <f t="shared" si="45"/>
        <v>1395703.4300000002</v>
      </c>
      <c r="I131" s="509"/>
    </row>
    <row r="132" spans="1:9" s="359" customFormat="1" x14ac:dyDescent="0.25">
      <c r="B132" s="484"/>
      <c r="C132" s="484"/>
      <c r="D132" s="485"/>
      <c r="I132" s="509"/>
    </row>
    <row r="133" spans="1:9" s="359" customFormat="1" x14ac:dyDescent="0.25">
      <c r="A133" s="374" t="s">
        <v>94</v>
      </c>
      <c r="B133" s="376">
        <f>ROUND('[27]MEEIA 3 PY5 EO'!$E$279,2)</f>
        <v>435513.31</v>
      </c>
      <c r="C133" s="376">
        <v>0</v>
      </c>
      <c r="D133" s="376">
        <v>0</v>
      </c>
      <c r="E133" s="211">
        <v>0</v>
      </c>
      <c r="F133" s="487">
        <f t="shared" ref="F133:F135" si="46">SUM(B133:E133)</f>
        <v>435513.31</v>
      </c>
      <c r="G133" s="212">
        <f>ROUND(F133/12*7,2)</f>
        <v>254049.43</v>
      </c>
      <c r="I133" s="509"/>
    </row>
    <row r="134" spans="1:9" s="359" customFormat="1" x14ac:dyDescent="0.25">
      <c r="A134" s="374" t="s">
        <v>95</v>
      </c>
      <c r="B134" s="376">
        <f>ROUND('[27]MEEIA 3 PY5 EO'!$E$281,2)</f>
        <v>429766.2</v>
      </c>
      <c r="C134" s="376">
        <v>0</v>
      </c>
      <c r="D134" s="376">
        <v>0</v>
      </c>
      <c r="E134" s="211">
        <v>0</v>
      </c>
      <c r="F134" s="487">
        <f t="shared" si="46"/>
        <v>429766.2</v>
      </c>
      <c r="G134" s="212">
        <f>ROUND(F134/12*7,2)</f>
        <v>250696.95</v>
      </c>
      <c r="I134" s="509"/>
    </row>
    <row r="135" spans="1:9" s="359" customFormat="1" x14ac:dyDescent="0.25">
      <c r="A135" s="374" t="s">
        <v>96</v>
      </c>
      <c r="B135" s="376">
        <f>ROUND('[27]MEEIA 3 PY5 EO'!$E$282,2)</f>
        <v>283886.01</v>
      </c>
      <c r="C135" s="376">
        <v>0</v>
      </c>
      <c r="D135" s="376">
        <v>0</v>
      </c>
      <c r="E135" s="211">
        <v>0</v>
      </c>
      <c r="F135" s="487">
        <f t="shared" si="46"/>
        <v>283886.01</v>
      </c>
      <c r="G135" s="212">
        <f>ROUND(F135/12*7,2)</f>
        <v>165600.17000000001</v>
      </c>
      <c r="I135" s="509"/>
    </row>
    <row r="136" spans="1:9" s="359" customFormat="1" x14ac:dyDescent="0.25">
      <c r="A136" s="380" t="s">
        <v>97</v>
      </c>
      <c r="B136" s="487">
        <f>SUM(B133:B135)</f>
        <v>1149165.52</v>
      </c>
      <c r="C136" s="487">
        <f>SUM(C133:C135)</f>
        <v>0</v>
      </c>
      <c r="D136" s="487">
        <f t="shared" ref="D136:G136" si="47">SUM(D133:D135)</f>
        <v>0</v>
      </c>
      <c r="E136" s="487">
        <f t="shared" si="47"/>
        <v>0</v>
      </c>
      <c r="F136" s="487">
        <f t="shared" si="47"/>
        <v>1149165.52</v>
      </c>
      <c r="G136" s="487">
        <f t="shared" si="47"/>
        <v>670346.55000000005</v>
      </c>
      <c r="I136" s="509"/>
    </row>
    <row r="137" spans="1:9" s="509" customFormat="1" x14ac:dyDescent="0.25">
      <c r="A137" s="380"/>
      <c r="B137" s="219"/>
      <c r="C137" s="219"/>
      <c r="D137" s="219"/>
      <c r="E137" s="219"/>
      <c r="F137" s="219"/>
      <c r="G137" s="219"/>
    </row>
    <row r="138" spans="1:9" s="388" customFormat="1" x14ac:dyDescent="0.25">
      <c r="A138" s="380"/>
      <c r="B138" s="219"/>
      <c r="C138" s="219"/>
      <c r="D138" s="219"/>
      <c r="E138" s="219"/>
      <c r="F138" s="219"/>
      <c r="G138" s="219"/>
    </row>
    <row r="139" spans="1:9" s="509" customFormat="1" x14ac:dyDescent="0.25">
      <c r="A139" s="515" t="s">
        <v>273</v>
      </c>
      <c r="B139" s="415"/>
      <c r="C139" s="415"/>
      <c r="D139" s="448"/>
    </row>
    <row r="140" spans="1:9" s="509" customFormat="1" x14ac:dyDescent="0.25">
      <c r="A140" s="374" t="s">
        <v>22</v>
      </c>
      <c r="B140" s="376">
        <f>ROUND('[28]MEEIA 3 PY5 EO'!$E$300,2)</f>
        <v>-3455.44</v>
      </c>
      <c r="C140" s="376">
        <v>0</v>
      </c>
      <c r="D140" s="376">
        <v>0</v>
      </c>
      <c r="E140" s="211">
        <v>0</v>
      </c>
      <c r="F140" s="489">
        <f>SUM(B140:E140)</f>
        <v>-3455.44</v>
      </c>
      <c r="G140" s="212">
        <f>ROUND(F140/12*11,2)</f>
        <v>-3167.49</v>
      </c>
    </row>
    <row r="141" spans="1:9" s="509" customFormat="1" x14ac:dyDescent="0.25">
      <c r="A141" s="374" t="s">
        <v>23</v>
      </c>
      <c r="B141" s="486">
        <f>B147</f>
        <v>1602.6</v>
      </c>
      <c r="C141" s="486">
        <f>C147</f>
        <v>0</v>
      </c>
      <c r="D141" s="486">
        <f>D147</f>
        <v>0</v>
      </c>
      <c r="E141" s="486">
        <f>E147</f>
        <v>0</v>
      </c>
      <c r="F141" s="489">
        <f>SUM(B141:E141)</f>
        <v>1602.6</v>
      </c>
      <c r="G141" s="212">
        <f>G147</f>
        <v>1469.05</v>
      </c>
    </row>
    <row r="142" spans="1:9" s="509" customFormat="1" x14ac:dyDescent="0.25">
      <c r="A142" s="374" t="s">
        <v>3</v>
      </c>
      <c r="B142" s="487">
        <f t="shared" ref="B142" si="48">SUM(B140:B141)</f>
        <v>-1852.8400000000001</v>
      </c>
      <c r="C142" s="487">
        <f t="shared" ref="C142:G142" si="49">SUM(C140:C141)</f>
        <v>0</v>
      </c>
      <c r="D142" s="487">
        <f t="shared" si="49"/>
        <v>0</v>
      </c>
      <c r="E142" s="214">
        <f t="shared" si="49"/>
        <v>0</v>
      </c>
      <c r="F142" s="487">
        <f t="shared" si="49"/>
        <v>-1852.8400000000001</v>
      </c>
      <c r="G142" s="215">
        <f t="shared" si="49"/>
        <v>-1698.4399999999998</v>
      </c>
    </row>
    <row r="143" spans="1:9" s="509" customFormat="1" x14ac:dyDescent="0.25">
      <c r="B143" s="484"/>
      <c r="C143" s="484"/>
      <c r="D143" s="485"/>
    </row>
    <row r="144" spans="1:9" s="509" customFormat="1" x14ac:dyDescent="0.25">
      <c r="A144" s="374" t="s">
        <v>94</v>
      </c>
      <c r="B144" s="376">
        <f>ROUND('[28]MEEIA 3 PY5 EO'!$E301,2)</f>
        <v>720.56</v>
      </c>
      <c r="C144" s="376">
        <v>0</v>
      </c>
      <c r="D144" s="376">
        <v>0</v>
      </c>
      <c r="E144" s="211">
        <v>0</v>
      </c>
      <c r="F144" s="487">
        <f t="shared" ref="F144:F146" si="50">SUM(B144:E144)</f>
        <v>720.56</v>
      </c>
      <c r="G144" s="212">
        <f t="shared" ref="G144:G146" si="51">ROUND(F144/12*11,2)</f>
        <v>660.51</v>
      </c>
    </row>
    <row r="145" spans="1:12" s="509" customFormat="1" x14ac:dyDescent="0.25">
      <c r="A145" s="374" t="s">
        <v>95</v>
      </c>
      <c r="B145" s="376">
        <f>ROUND('[28]MEEIA 3 PY5 EO'!$E303,2)</f>
        <v>539.76</v>
      </c>
      <c r="C145" s="376">
        <v>0</v>
      </c>
      <c r="D145" s="376">
        <v>0</v>
      </c>
      <c r="E145" s="211">
        <v>0</v>
      </c>
      <c r="F145" s="487">
        <f t="shared" si="50"/>
        <v>539.76</v>
      </c>
      <c r="G145" s="212">
        <f t="shared" si="51"/>
        <v>494.78</v>
      </c>
    </row>
    <row r="146" spans="1:12" s="509" customFormat="1" x14ac:dyDescent="0.25">
      <c r="A146" s="374" t="s">
        <v>96</v>
      </c>
      <c r="B146" s="376">
        <f>ROUND('[28]MEEIA 3 PY5 EO'!$E304,2)</f>
        <v>342.28</v>
      </c>
      <c r="C146" s="376">
        <v>0</v>
      </c>
      <c r="D146" s="376">
        <v>0</v>
      </c>
      <c r="E146" s="211">
        <v>0</v>
      </c>
      <c r="F146" s="487">
        <f t="shared" si="50"/>
        <v>342.28</v>
      </c>
      <c r="G146" s="212">
        <f t="shared" si="51"/>
        <v>313.76</v>
      </c>
    </row>
    <row r="147" spans="1:12" s="509" customFormat="1" x14ac:dyDescent="0.25">
      <c r="A147" s="380" t="s">
        <v>97</v>
      </c>
      <c r="B147" s="487">
        <f>SUM(B144:B146)</f>
        <v>1602.6</v>
      </c>
      <c r="C147" s="487">
        <f>SUM(C144:C146)</f>
        <v>0</v>
      </c>
      <c r="D147" s="487">
        <f t="shared" ref="D147:G147" si="52">SUM(D144:D146)</f>
        <v>0</v>
      </c>
      <c r="E147" s="487">
        <f t="shared" si="52"/>
        <v>0</v>
      </c>
      <c r="F147" s="487">
        <f t="shared" si="52"/>
        <v>1602.6</v>
      </c>
      <c r="G147" s="487">
        <f t="shared" si="52"/>
        <v>1469.05</v>
      </c>
    </row>
    <row r="148" spans="1:12" x14ac:dyDescent="0.25">
      <c r="A148" s="29"/>
      <c r="B148" s="219"/>
      <c r="C148" s="219"/>
      <c r="D148" s="219"/>
      <c r="E148" s="219"/>
      <c r="F148" s="219"/>
      <c r="G148" s="219"/>
    </row>
    <row r="149" spans="1:12" x14ac:dyDescent="0.25">
      <c r="A149" s="29"/>
      <c r="B149" s="219"/>
      <c r="C149" s="219"/>
      <c r="D149" s="219"/>
      <c r="E149" s="219"/>
      <c r="F149" s="219"/>
      <c r="G149" s="219"/>
    </row>
    <row r="150" spans="1:12" x14ac:dyDescent="0.25">
      <c r="A150" s="408" t="s">
        <v>299</v>
      </c>
      <c r="B150" s="388"/>
      <c r="C150" s="388"/>
      <c r="D150" s="388"/>
      <c r="E150" s="388"/>
      <c r="F150" s="388"/>
      <c r="G150" s="388"/>
      <c r="H150" s="388"/>
      <c r="I150" s="388"/>
      <c r="J150" s="388"/>
      <c r="K150" s="388"/>
      <c r="L150" s="388"/>
    </row>
    <row r="151" spans="1:12" x14ac:dyDescent="0.25">
      <c r="A151" s="408" t="s">
        <v>253</v>
      </c>
      <c r="B151" s="388"/>
      <c r="C151" s="388"/>
      <c r="D151" s="388"/>
      <c r="E151" s="388"/>
      <c r="F151" s="388"/>
      <c r="G151" s="388"/>
      <c r="H151" s="388"/>
      <c r="I151" s="388"/>
      <c r="J151" s="388"/>
      <c r="K151" s="388"/>
      <c r="L151" s="388"/>
    </row>
    <row r="152" spans="1:12" x14ac:dyDescent="0.25">
      <c r="A152" s="408" t="s">
        <v>251</v>
      </c>
      <c r="B152" s="388"/>
      <c r="C152" s="388"/>
      <c r="D152" s="388"/>
      <c r="E152" s="388"/>
      <c r="F152" s="388"/>
      <c r="G152" s="388"/>
      <c r="H152" s="388"/>
      <c r="I152" s="388"/>
      <c r="J152" s="388"/>
      <c r="K152" s="388"/>
      <c r="L152" s="388"/>
    </row>
    <row r="153" spans="1:12" x14ac:dyDescent="0.25">
      <c r="A153" s="408" t="s">
        <v>252</v>
      </c>
      <c r="B153" s="388"/>
      <c r="C153" s="388"/>
      <c r="D153" s="388"/>
      <c r="E153" s="388"/>
      <c r="F153" s="388"/>
      <c r="G153" s="388"/>
      <c r="H153" s="388"/>
      <c r="I153" s="388"/>
      <c r="J153" s="388"/>
      <c r="K153" s="388"/>
      <c r="L153" s="388"/>
    </row>
    <row r="154" spans="1:12" x14ac:dyDescent="0.25">
      <c r="A154" s="408" t="s">
        <v>139</v>
      </c>
      <c r="B154" s="388"/>
      <c r="C154" s="388"/>
      <c r="D154" s="388"/>
      <c r="E154" s="388"/>
      <c r="F154" s="388"/>
      <c r="G154" s="388"/>
      <c r="H154" s="388"/>
      <c r="I154" s="388"/>
      <c r="J154" s="388"/>
      <c r="K154" s="388"/>
      <c r="L154" s="388"/>
    </row>
    <row r="155" spans="1:12" ht="108.75" customHeight="1" x14ac:dyDescent="0.25">
      <c r="A155" s="545" t="s">
        <v>274</v>
      </c>
      <c r="B155" s="545"/>
      <c r="C155" s="545"/>
      <c r="D155" s="545"/>
      <c r="E155" s="545"/>
      <c r="F155" s="545"/>
      <c r="G155" s="545"/>
      <c r="H155" s="545"/>
      <c r="I155" s="545"/>
      <c r="J155" s="545"/>
      <c r="K155" s="545"/>
      <c r="L155" s="545"/>
    </row>
    <row r="156" spans="1:12" x14ac:dyDescent="0.25">
      <c r="A156" s="3"/>
    </row>
    <row r="157" spans="1:12" x14ac:dyDescent="0.25">
      <c r="A157" s="3"/>
    </row>
    <row r="158" spans="1:12" x14ac:dyDescent="0.25">
      <c r="A158" s="3"/>
    </row>
  </sheetData>
  <autoFilter ref="A5:O155" xr:uid="{FFD8475B-D546-4319-B398-EF50E74D6379}"/>
  <mergeCells count="2">
    <mergeCell ref="B4:D4"/>
    <mergeCell ref="A155:L155"/>
  </mergeCells>
  <pageMargins left="0.2" right="0.2" top="0.75" bottom="0.25" header="0.3" footer="0.3"/>
  <pageSetup orientation="landscape" r:id="rId1"/>
  <headerFooter>
    <oddHeader>&amp;C&amp;F &amp;A&amp;R&amp;"Arial"&amp;10&amp;K000000CONFIDENTIAL</oddHeader>
    <oddFooter xml:space="preserve">&amp;R_x000D_&amp;1#&amp;"Calibri"&amp;10&amp;KA80000 Restricted – Sensitive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AD30C-FF8D-4608-8CF9-4858A853D870}">
  <sheetPr>
    <pageSetUpPr fitToPage="1"/>
  </sheetPr>
  <dimension ref="A1:O57"/>
  <sheetViews>
    <sheetView zoomScale="85" zoomScaleNormal="85" workbookViewId="0">
      <pane ySplit="5" topLeftCell="A6" activePane="bottomLeft" state="frozen"/>
      <selection pane="bottomLeft" activeCell="A6" sqref="A6"/>
    </sheetView>
  </sheetViews>
  <sheetFormatPr defaultColWidth="8.7109375" defaultRowHeight="15" x14ac:dyDescent="0.25"/>
  <cols>
    <col min="1" max="1" width="23.7109375" style="45" customWidth="1"/>
    <col min="2" max="2" width="15.28515625" style="45" bestFit="1" customWidth="1"/>
    <col min="3" max="3" width="14.28515625" style="45" customWidth="1"/>
    <col min="4" max="4" width="13.28515625" style="45" bestFit="1" customWidth="1"/>
    <col min="5" max="5" width="9.7109375" style="45" bestFit="1" customWidth="1"/>
    <col min="6" max="6" width="12.5703125" style="45" bestFit="1" customWidth="1"/>
    <col min="7" max="7" width="13.140625" style="45" customWidth="1"/>
    <col min="8" max="10" width="8.7109375" style="45"/>
    <col min="11" max="11" width="11.5703125" style="45" bestFit="1" customWidth="1"/>
    <col min="12" max="12" width="12.28515625" style="45" bestFit="1" customWidth="1"/>
    <col min="13" max="13" width="9.5703125" style="45" bestFit="1" customWidth="1"/>
    <col min="14" max="16384" width="8.7109375" style="45"/>
  </cols>
  <sheetData>
    <row r="1" spans="1:7" x14ac:dyDescent="0.25">
      <c r="A1" s="62" t="str">
        <f>+'PTD Cycle 3'!A1</f>
        <v>Evergy Missouri West, Inc. - DSIM Rider Update Filed 12/01/2025</v>
      </c>
    </row>
    <row r="2" spans="1:7" x14ac:dyDescent="0.25">
      <c r="A2" s="343" t="str">
        <f>+'PPC Cycle 4'!A2</f>
        <v>Projections for Cycle 4 January 2026 - December 2026 DSIM</v>
      </c>
    </row>
    <row r="3" spans="1:7" x14ac:dyDescent="0.25">
      <c r="A3" s="8"/>
    </row>
    <row r="4" spans="1:7" ht="45.75" customHeight="1" x14ac:dyDescent="0.25">
      <c r="B4" s="526" t="s">
        <v>225</v>
      </c>
      <c r="C4" s="526"/>
      <c r="D4" s="526"/>
    </row>
    <row r="5" spans="1:7" ht="90" x14ac:dyDescent="0.25">
      <c r="B5" s="69" t="s">
        <v>87</v>
      </c>
      <c r="C5" s="69" t="s">
        <v>88</v>
      </c>
      <c r="D5" s="69" t="s">
        <v>91</v>
      </c>
      <c r="E5" s="69" t="s">
        <v>89</v>
      </c>
      <c r="F5" s="69" t="s">
        <v>86</v>
      </c>
      <c r="G5" s="69" t="s">
        <v>143</v>
      </c>
    </row>
    <row r="6" spans="1:7" x14ac:dyDescent="0.25">
      <c r="A6" s="19"/>
      <c r="B6" s="69"/>
      <c r="C6" s="69"/>
      <c r="D6" s="141"/>
    </row>
    <row r="7" spans="1:7" x14ac:dyDescent="0.25">
      <c r="A7" s="313" t="s">
        <v>226</v>
      </c>
      <c r="B7" s="69"/>
      <c r="C7" s="69"/>
      <c r="D7" s="140"/>
    </row>
    <row r="8" spans="1:7" x14ac:dyDescent="0.25">
      <c r="A8" s="19" t="s">
        <v>22</v>
      </c>
      <c r="B8" s="200">
        <f>SUMIFS(B$18:B$65,$A$18:$A$65,$A8)</f>
        <v>0</v>
      </c>
      <c r="C8" s="200">
        <f>SUMIFS(C$18:C$65,$A$18:$A$65,$A8)</f>
        <v>0</v>
      </c>
      <c r="D8" s="200">
        <f>SUMIFS(D$18:D$65,$A$18:$A$65,$A8)</f>
        <v>0</v>
      </c>
      <c r="E8" s="200">
        <f>SUMIFS(E$18:E$65,$A$18:$A$65,$A8)</f>
        <v>0</v>
      </c>
      <c r="F8" s="200">
        <f>SUM(B8:E8)</f>
        <v>0</v>
      </c>
      <c r="G8" s="200">
        <f>SUMIFS(G$18:G$65,$A$18:$A$65,$A8)</f>
        <v>0</v>
      </c>
    </row>
    <row r="9" spans="1:7" x14ac:dyDescent="0.25">
      <c r="A9" s="19" t="s">
        <v>23</v>
      </c>
      <c r="B9" s="200">
        <f>B15</f>
        <v>0</v>
      </c>
      <c r="C9" s="200">
        <f>C15</f>
        <v>0</v>
      </c>
      <c r="D9" s="200">
        <f>D15</f>
        <v>0</v>
      </c>
      <c r="E9" s="200">
        <f>E15</f>
        <v>0</v>
      </c>
      <c r="F9" s="200">
        <f>SUM(B9:E9)</f>
        <v>0</v>
      </c>
      <c r="G9" s="200">
        <f>G15</f>
        <v>0</v>
      </c>
    </row>
    <row r="10" spans="1:7" x14ac:dyDescent="0.25">
      <c r="A10" s="19" t="s">
        <v>3</v>
      </c>
      <c r="B10" s="194">
        <f t="shared" ref="B10:G10" si="0">SUM(B8:B9)</f>
        <v>0</v>
      </c>
      <c r="C10" s="194">
        <f t="shared" si="0"/>
        <v>0</v>
      </c>
      <c r="D10" s="194">
        <f t="shared" si="0"/>
        <v>0</v>
      </c>
      <c r="E10" s="194">
        <f t="shared" si="0"/>
        <v>0</v>
      </c>
      <c r="F10" s="194">
        <f t="shared" si="0"/>
        <v>0</v>
      </c>
      <c r="G10" s="194">
        <f t="shared" si="0"/>
        <v>0</v>
      </c>
    </row>
    <row r="11" spans="1:7" x14ac:dyDescent="0.25">
      <c r="B11" s="191"/>
      <c r="C11" s="191"/>
      <c r="D11" s="191"/>
      <c r="E11" s="191"/>
      <c r="G11" s="191"/>
    </row>
    <row r="12" spans="1:7" x14ac:dyDescent="0.25">
      <c r="A12" s="19" t="s">
        <v>94</v>
      </c>
      <c r="B12" s="200">
        <f t="shared" ref="B12:E14" si="1">SUMIFS(B$18:B$65,$A$18:$A$65,$A12)</f>
        <v>0</v>
      </c>
      <c r="C12" s="200">
        <f t="shared" si="1"/>
        <v>0</v>
      </c>
      <c r="D12" s="200">
        <f t="shared" si="1"/>
        <v>0</v>
      </c>
      <c r="E12" s="200">
        <f t="shared" si="1"/>
        <v>0</v>
      </c>
      <c r="F12" s="194">
        <f t="shared" ref="F12:F14" si="2">SUM(B12:E12)</f>
        <v>0</v>
      </c>
      <c r="G12" s="200">
        <f>SUMIFS(G$18:G$65,$A$18:$A$65,$A12)</f>
        <v>0</v>
      </c>
    </row>
    <row r="13" spans="1:7" x14ac:dyDescent="0.25">
      <c r="A13" s="19" t="s">
        <v>95</v>
      </c>
      <c r="B13" s="200">
        <f t="shared" si="1"/>
        <v>0</v>
      </c>
      <c r="C13" s="200">
        <f t="shared" si="1"/>
        <v>0</v>
      </c>
      <c r="D13" s="200">
        <f t="shared" si="1"/>
        <v>0</v>
      </c>
      <c r="E13" s="200">
        <f t="shared" si="1"/>
        <v>0</v>
      </c>
      <c r="F13" s="194">
        <f t="shared" si="2"/>
        <v>0</v>
      </c>
      <c r="G13" s="200">
        <f>SUMIFS(G$18:G$65,$A$18:$A$65,$A13)</f>
        <v>0</v>
      </c>
    </row>
    <row r="14" spans="1:7" x14ac:dyDescent="0.25">
      <c r="A14" s="19" t="s">
        <v>96</v>
      </c>
      <c r="B14" s="200">
        <f t="shared" si="1"/>
        <v>0</v>
      </c>
      <c r="C14" s="200">
        <f t="shared" si="1"/>
        <v>0</v>
      </c>
      <c r="D14" s="200">
        <f t="shared" si="1"/>
        <v>0</v>
      </c>
      <c r="E14" s="200">
        <f t="shared" si="1"/>
        <v>0</v>
      </c>
      <c r="F14" s="194">
        <f t="shared" si="2"/>
        <v>0</v>
      </c>
      <c r="G14" s="200">
        <f>SUMIFS(G$18:G$65,$A$18:$A$65,$A14)</f>
        <v>0</v>
      </c>
    </row>
    <row r="15" spans="1:7" x14ac:dyDescent="0.25">
      <c r="A15" s="29" t="s">
        <v>97</v>
      </c>
      <c r="B15" s="194">
        <f t="shared" ref="B15:G15" si="3">SUM(B12:B14)</f>
        <v>0</v>
      </c>
      <c r="C15" s="194">
        <f t="shared" si="3"/>
        <v>0</v>
      </c>
      <c r="D15" s="194">
        <f t="shared" si="3"/>
        <v>0</v>
      </c>
      <c r="E15" s="194">
        <f t="shared" si="3"/>
        <v>0</v>
      </c>
      <c r="F15" s="194">
        <f t="shared" si="3"/>
        <v>0</v>
      </c>
      <c r="G15" s="194">
        <f t="shared" si="3"/>
        <v>0</v>
      </c>
    </row>
    <row r="16" spans="1:7" x14ac:dyDescent="0.25">
      <c r="A16" s="19"/>
      <c r="B16" s="69"/>
      <c r="C16" s="69"/>
      <c r="D16" s="140"/>
    </row>
    <row r="17" spans="1:13" x14ac:dyDescent="0.25">
      <c r="A17" s="19"/>
      <c r="B17" s="69"/>
      <c r="C17" s="69"/>
      <c r="D17" s="140"/>
    </row>
    <row r="18" spans="1:13" s="359" customFormat="1" x14ac:dyDescent="0.25">
      <c r="A18" s="293" t="s">
        <v>247</v>
      </c>
      <c r="B18" s="415"/>
      <c r="C18" s="415"/>
      <c r="D18" s="330"/>
      <c r="E18" s="500"/>
    </row>
    <row r="19" spans="1:13" s="359" customFormat="1" x14ac:dyDescent="0.25">
      <c r="A19" s="374" t="s">
        <v>22</v>
      </c>
      <c r="B19" s="376"/>
      <c r="C19" s="376"/>
      <c r="D19" s="376"/>
      <c r="E19" s="501"/>
      <c r="F19" s="487">
        <f>SUM(B19:E19)</f>
        <v>0</v>
      </c>
      <c r="G19" s="487">
        <f>ROUND(F19/12*0,2)</f>
        <v>0</v>
      </c>
      <c r="K19" s="314"/>
      <c r="L19" s="314"/>
      <c r="M19" s="314"/>
    </row>
    <row r="20" spans="1:13" s="359" customFormat="1" x14ac:dyDescent="0.25">
      <c r="A20" s="374" t="s">
        <v>23</v>
      </c>
      <c r="B20" s="486">
        <f>B26</f>
        <v>0</v>
      </c>
      <c r="C20" s="486">
        <f>C26</f>
        <v>0</v>
      </c>
      <c r="D20" s="486">
        <f>D26</f>
        <v>0</v>
      </c>
      <c r="E20" s="502">
        <f>E26</f>
        <v>0</v>
      </c>
      <c r="F20" s="487">
        <f>SUM(B20:E20)</f>
        <v>0</v>
      </c>
      <c r="G20" s="487">
        <f>G26</f>
        <v>0</v>
      </c>
      <c r="K20" s="314"/>
      <c r="L20" s="314"/>
      <c r="M20" s="314"/>
    </row>
    <row r="21" spans="1:13" s="359" customFormat="1" x14ac:dyDescent="0.25">
      <c r="A21" s="374" t="s">
        <v>3</v>
      </c>
      <c r="B21" s="487">
        <f t="shared" ref="B21:G21" si="4">SUM(B19:B20)</f>
        <v>0</v>
      </c>
      <c r="C21" s="487">
        <f t="shared" si="4"/>
        <v>0</v>
      </c>
      <c r="D21" s="487">
        <f t="shared" si="4"/>
        <v>0</v>
      </c>
      <c r="E21" s="499">
        <f t="shared" si="4"/>
        <v>0</v>
      </c>
      <c r="F21" s="487">
        <f t="shared" si="4"/>
        <v>0</v>
      </c>
      <c r="G21" s="487">
        <f t="shared" si="4"/>
        <v>0</v>
      </c>
    </row>
    <row r="22" spans="1:13" s="359" customFormat="1" x14ac:dyDescent="0.25">
      <c r="B22" s="484"/>
      <c r="C22" s="484"/>
      <c r="D22" s="485"/>
      <c r="E22" s="500"/>
    </row>
    <row r="23" spans="1:13" s="359" customFormat="1" x14ac:dyDescent="0.25">
      <c r="A23" s="374" t="s">
        <v>94</v>
      </c>
      <c r="B23" s="376"/>
      <c r="C23" s="376"/>
      <c r="D23" s="376"/>
      <c r="E23" s="502"/>
      <c r="F23" s="487">
        <f t="shared" ref="F23:F25" si="5">SUM(B23:E23)</f>
        <v>0</v>
      </c>
      <c r="G23" s="487">
        <f>ROUND(F23/12*0,2)</f>
        <v>0</v>
      </c>
      <c r="K23" s="314"/>
      <c r="L23" s="314"/>
      <c r="M23" s="314"/>
    </row>
    <row r="24" spans="1:13" s="359" customFormat="1" x14ac:dyDescent="0.25">
      <c r="A24" s="374" t="s">
        <v>95</v>
      </c>
      <c r="B24" s="376"/>
      <c r="C24" s="376"/>
      <c r="D24" s="376"/>
      <c r="E24" s="501"/>
      <c r="F24" s="487">
        <f t="shared" si="5"/>
        <v>0</v>
      </c>
      <c r="G24" s="487">
        <f t="shared" ref="G24:G25" si="6">ROUND(F24/12*0,2)</f>
        <v>0</v>
      </c>
      <c r="K24" s="314"/>
      <c r="L24" s="314"/>
      <c r="M24" s="314"/>
    </row>
    <row r="25" spans="1:13" s="359" customFormat="1" x14ac:dyDescent="0.25">
      <c r="A25" s="374" t="s">
        <v>96</v>
      </c>
      <c r="B25" s="486"/>
      <c r="C25" s="486"/>
      <c r="D25" s="486"/>
      <c r="E25" s="502"/>
      <c r="F25" s="487">
        <f t="shared" si="5"/>
        <v>0</v>
      </c>
      <c r="G25" s="487">
        <f t="shared" si="6"/>
        <v>0</v>
      </c>
    </row>
    <row r="26" spans="1:13" s="388" customFormat="1" x14ac:dyDescent="0.25">
      <c r="A26" s="374" t="s">
        <v>97</v>
      </c>
      <c r="B26" s="487">
        <f t="shared" ref="B26:G26" si="7">SUM(B23:B25)</f>
        <v>0</v>
      </c>
      <c r="C26" s="487">
        <f t="shared" si="7"/>
        <v>0</v>
      </c>
      <c r="D26" s="487">
        <f t="shared" si="7"/>
        <v>0</v>
      </c>
      <c r="E26" s="499">
        <f t="shared" si="7"/>
        <v>0</v>
      </c>
      <c r="F26" s="487">
        <f t="shared" si="7"/>
        <v>0</v>
      </c>
      <c r="G26" s="487">
        <f t="shared" si="7"/>
        <v>0</v>
      </c>
    </row>
    <row r="27" spans="1:13" s="388" customFormat="1" x14ac:dyDescent="0.25">
      <c r="A27" s="359"/>
      <c r="B27" s="359"/>
      <c r="C27" s="359"/>
      <c r="D27" s="359"/>
      <c r="E27" s="500"/>
      <c r="F27" s="359"/>
      <c r="G27" s="359"/>
    </row>
    <row r="28" spans="1:13" s="359" customFormat="1" x14ac:dyDescent="0.25">
      <c r="E28" s="500"/>
    </row>
    <row r="29" spans="1:13" x14ac:dyDescent="0.25">
      <c r="A29" s="293" t="s">
        <v>248</v>
      </c>
      <c r="B29" s="69"/>
      <c r="C29" s="69"/>
      <c r="D29" s="330"/>
      <c r="E29" s="331"/>
      <c r="K29" s="314"/>
      <c r="L29" s="314"/>
      <c r="M29" s="314"/>
    </row>
    <row r="30" spans="1:13" x14ac:dyDescent="0.25">
      <c r="A30" s="522" t="s">
        <v>22</v>
      </c>
      <c r="B30" s="24"/>
      <c r="C30" s="24"/>
      <c r="D30" s="24"/>
      <c r="E30" s="332"/>
      <c r="F30" s="194">
        <f>SUM(B30:E30)</f>
        <v>0</v>
      </c>
      <c r="G30" s="194">
        <f>ROUND(F30/12*0,2)</f>
        <v>0</v>
      </c>
      <c r="K30" s="314"/>
      <c r="L30" s="314"/>
      <c r="M30" s="314"/>
    </row>
    <row r="31" spans="1:13" x14ac:dyDescent="0.25">
      <c r="A31" s="522" t="s">
        <v>23</v>
      </c>
      <c r="B31" s="193">
        <f>B37</f>
        <v>0</v>
      </c>
      <c r="C31" s="193">
        <f>C37</f>
        <v>0</v>
      </c>
      <c r="D31" s="193">
        <f>D37</f>
        <v>0</v>
      </c>
      <c r="E31" s="333">
        <f>E37</f>
        <v>0</v>
      </c>
      <c r="F31" s="194">
        <f>SUM(B31:E31)</f>
        <v>0</v>
      </c>
      <c r="G31" s="194">
        <f>G37</f>
        <v>0</v>
      </c>
      <c r="K31" s="314"/>
      <c r="L31" s="314"/>
      <c r="M31" s="314"/>
    </row>
    <row r="32" spans="1:13" x14ac:dyDescent="0.25">
      <c r="A32" s="522" t="s">
        <v>3</v>
      </c>
      <c r="B32" s="194">
        <f t="shared" ref="B32:G32" si="8">SUM(B30:B31)</f>
        <v>0</v>
      </c>
      <c r="C32" s="194">
        <f t="shared" si="8"/>
        <v>0</v>
      </c>
      <c r="D32" s="194">
        <f t="shared" si="8"/>
        <v>0</v>
      </c>
      <c r="E32" s="334">
        <f t="shared" si="8"/>
        <v>0</v>
      </c>
      <c r="F32" s="194">
        <f t="shared" si="8"/>
        <v>0</v>
      </c>
      <c r="G32" s="194">
        <f t="shared" si="8"/>
        <v>0</v>
      </c>
      <c r="K32" s="314"/>
      <c r="L32" s="314"/>
      <c r="M32" s="314"/>
    </row>
    <row r="33" spans="1:15" x14ac:dyDescent="0.25">
      <c r="A33" s="388"/>
      <c r="B33" s="191"/>
      <c r="C33" s="191"/>
      <c r="D33" s="192"/>
      <c r="E33" s="331"/>
      <c r="K33" s="314"/>
      <c r="L33" s="314"/>
      <c r="M33" s="314"/>
    </row>
    <row r="34" spans="1:15" x14ac:dyDescent="0.25">
      <c r="A34" s="522" t="s">
        <v>94</v>
      </c>
      <c r="B34" s="24"/>
      <c r="C34" s="24"/>
      <c r="D34" s="24"/>
      <c r="E34" s="333"/>
      <c r="F34" s="194">
        <f t="shared" ref="F34:F36" si="9">SUM(B34:E34)</f>
        <v>0</v>
      </c>
      <c r="G34" s="194">
        <f>ROUND(F34/12*0,2)</f>
        <v>0</v>
      </c>
      <c r="K34" s="314"/>
      <c r="L34" s="314"/>
      <c r="M34" s="314"/>
    </row>
    <row r="35" spans="1:15" x14ac:dyDescent="0.25">
      <c r="A35" s="522" t="s">
        <v>95</v>
      </c>
      <c r="B35" s="24"/>
      <c r="C35" s="24"/>
      <c r="D35" s="24"/>
      <c r="E35" s="332"/>
      <c r="F35" s="194">
        <f t="shared" si="9"/>
        <v>0</v>
      </c>
      <c r="G35" s="194">
        <f t="shared" ref="G35:G36" si="10">ROUND(F35/12*0,2)</f>
        <v>0</v>
      </c>
    </row>
    <row r="36" spans="1:15" x14ac:dyDescent="0.25">
      <c r="A36" s="522" t="s">
        <v>96</v>
      </c>
      <c r="B36" s="193"/>
      <c r="C36" s="193"/>
      <c r="D36" s="193"/>
      <c r="E36" s="333"/>
      <c r="F36" s="194">
        <f t="shared" si="9"/>
        <v>0</v>
      </c>
      <c r="G36" s="194">
        <f t="shared" si="10"/>
        <v>0</v>
      </c>
    </row>
    <row r="37" spans="1:15" s="38" customFormat="1" x14ac:dyDescent="0.25">
      <c r="A37" s="522" t="s">
        <v>97</v>
      </c>
      <c r="B37" s="194">
        <f t="shared" ref="B37:G37" si="11">SUM(B34:B36)</f>
        <v>0</v>
      </c>
      <c r="C37" s="194">
        <f t="shared" si="11"/>
        <v>0</v>
      </c>
      <c r="D37" s="194">
        <f t="shared" si="11"/>
        <v>0</v>
      </c>
      <c r="E37" s="334">
        <f t="shared" si="11"/>
        <v>0</v>
      </c>
      <c r="F37" s="194">
        <f t="shared" si="11"/>
        <v>0</v>
      </c>
      <c r="G37" s="194">
        <f t="shared" si="11"/>
        <v>0</v>
      </c>
    </row>
    <row r="38" spans="1:15" x14ac:dyDescent="0.25">
      <c r="A38" s="388"/>
      <c r="E38" s="331"/>
    </row>
    <row r="39" spans="1:15" x14ac:dyDescent="0.25">
      <c r="A39" s="388"/>
      <c r="E39" s="331"/>
      <c r="K39" s="314"/>
      <c r="L39" s="314"/>
      <c r="M39" s="314"/>
      <c r="O39" s="300"/>
    </row>
    <row r="40" spans="1:15" x14ac:dyDescent="0.25">
      <c r="A40" s="293" t="s">
        <v>249</v>
      </c>
      <c r="B40" s="69"/>
      <c r="C40" s="69"/>
      <c r="D40" s="330"/>
      <c r="E40" s="331"/>
      <c r="K40" s="314"/>
      <c r="L40" s="314"/>
      <c r="M40" s="314"/>
      <c r="O40" s="300"/>
    </row>
    <row r="41" spans="1:15" x14ac:dyDescent="0.25">
      <c r="A41" s="522" t="s">
        <v>22</v>
      </c>
      <c r="B41" s="24"/>
      <c r="C41" s="24"/>
      <c r="D41" s="24"/>
      <c r="E41" s="332"/>
      <c r="F41" s="194">
        <f>SUM(B41:E41)</f>
        <v>0</v>
      </c>
      <c r="G41" s="194">
        <f>ROUND(F41/12*0,2)</f>
        <v>0</v>
      </c>
      <c r="K41" s="314"/>
      <c r="L41" s="314"/>
      <c r="M41" s="314"/>
    </row>
    <row r="42" spans="1:15" x14ac:dyDescent="0.25">
      <c r="A42" s="522" t="s">
        <v>23</v>
      </c>
      <c r="B42" s="193">
        <f>B48</f>
        <v>0</v>
      </c>
      <c r="C42" s="193">
        <f>C48</f>
        <v>0</v>
      </c>
      <c r="D42" s="193">
        <f>D48</f>
        <v>0</v>
      </c>
      <c r="E42" s="333">
        <f>E48</f>
        <v>0</v>
      </c>
      <c r="F42" s="194">
        <f>SUM(B42:E42)</f>
        <v>0</v>
      </c>
      <c r="G42" s="194">
        <f>G48</f>
        <v>0</v>
      </c>
      <c r="K42" s="314"/>
      <c r="L42" s="314"/>
      <c r="M42" s="314"/>
    </row>
    <row r="43" spans="1:15" x14ac:dyDescent="0.25">
      <c r="A43" s="522" t="s">
        <v>3</v>
      </c>
      <c r="B43" s="194">
        <f t="shared" ref="B43:G43" si="12">SUM(B41:B42)</f>
        <v>0</v>
      </c>
      <c r="C43" s="194">
        <f t="shared" si="12"/>
        <v>0</v>
      </c>
      <c r="D43" s="194">
        <f t="shared" si="12"/>
        <v>0</v>
      </c>
      <c r="E43" s="334">
        <f t="shared" si="12"/>
        <v>0</v>
      </c>
      <c r="F43" s="194">
        <f t="shared" si="12"/>
        <v>0</v>
      </c>
      <c r="G43" s="194">
        <f t="shared" si="12"/>
        <v>0</v>
      </c>
      <c r="K43" s="314"/>
      <c r="L43" s="314"/>
      <c r="M43" s="314"/>
    </row>
    <row r="44" spans="1:15" x14ac:dyDescent="0.25">
      <c r="A44" s="388"/>
      <c r="B44" s="191"/>
      <c r="C44" s="191"/>
      <c r="D44" s="192"/>
      <c r="E44" s="331"/>
      <c r="K44" s="314"/>
      <c r="L44" s="314"/>
      <c r="M44" s="314"/>
    </row>
    <row r="45" spans="1:15" x14ac:dyDescent="0.25">
      <c r="A45" s="19" t="s">
        <v>94</v>
      </c>
      <c r="B45" s="24"/>
      <c r="C45" s="24"/>
      <c r="D45" s="24"/>
      <c r="E45" s="333"/>
      <c r="F45" s="194">
        <f t="shared" ref="F45:F47" si="13">SUM(B45:E45)</f>
        <v>0</v>
      </c>
      <c r="G45" s="194">
        <f>ROUND(F45/12*0,2)</f>
        <v>0</v>
      </c>
      <c r="K45" s="314"/>
      <c r="L45" s="314"/>
      <c r="M45" s="314"/>
    </row>
    <row r="46" spans="1:15" x14ac:dyDescent="0.25">
      <c r="A46" s="19" t="s">
        <v>95</v>
      </c>
      <c r="B46" s="24"/>
      <c r="C46" s="24"/>
      <c r="D46" s="24"/>
      <c r="E46" s="332"/>
      <c r="F46" s="194">
        <f t="shared" si="13"/>
        <v>0</v>
      </c>
      <c r="G46" s="194">
        <f t="shared" ref="G46:G47" si="14">ROUND(F46/12*0,2)</f>
        <v>0</v>
      </c>
    </row>
    <row r="47" spans="1:15" s="38" customFormat="1" x14ac:dyDescent="0.25">
      <c r="A47" s="19" t="s">
        <v>96</v>
      </c>
      <c r="B47" s="193"/>
      <c r="C47" s="193"/>
      <c r="D47" s="193"/>
      <c r="E47" s="333"/>
      <c r="F47" s="194">
        <f t="shared" si="13"/>
        <v>0</v>
      </c>
      <c r="G47" s="194">
        <f t="shared" si="14"/>
        <v>0</v>
      </c>
    </row>
    <row r="48" spans="1:15" s="38" customFormat="1" x14ac:dyDescent="0.25">
      <c r="A48" s="19" t="s">
        <v>97</v>
      </c>
      <c r="B48" s="194">
        <f>SUM(B45:B47)</f>
        <v>0</v>
      </c>
      <c r="C48" s="194">
        <f>SUM(C45:C47)</f>
        <v>0</v>
      </c>
      <c r="D48" s="194">
        <f t="shared" ref="D48:G48" si="15">SUM(D45:D47)</f>
        <v>0</v>
      </c>
      <c r="E48" s="334">
        <f t="shared" si="15"/>
        <v>0</v>
      </c>
      <c r="F48" s="194">
        <f t="shared" si="15"/>
        <v>0</v>
      </c>
      <c r="G48" s="194">
        <f t="shared" si="15"/>
        <v>0</v>
      </c>
    </row>
    <row r="49" spans="1:11" s="38" customFormat="1" x14ac:dyDescent="0.25">
      <c r="A49" s="45"/>
      <c r="B49" s="45"/>
      <c r="C49" s="45"/>
      <c r="D49" s="45"/>
      <c r="E49" s="331"/>
      <c r="F49" s="45"/>
      <c r="G49" s="45"/>
    </row>
    <row r="50" spans="1:11" s="38" customFormat="1" x14ac:dyDescent="0.25">
      <c r="A50" s="29"/>
      <c r="B50" s="219"/>
      <c r="C50" s="219"/>
      <c r="D50" s="219"/>
      <c r="E50" s="219"/>
      <c r="F50" s="219"/>
      <c r="G50" s="219"/>
    </row>
    <row r="51" spans="1:11" x14ac:dyDescent="0.25">
      <c r="A51" s="52" t="s">
        <v>9</v>
      </c>
    </row>
    <row r="52" spans="1:11" x14ac:dyDescent="0.25">
      <c r="A52" s="408" t="s">
        <v>245</v>
      </c>
    </row>
    <row r="53" spans="1:11" x14ac:dyDescent="0.25">
      <c r="A53" s="3" t="s">
        <v>227</v>
      </c>
    </row>
    <row r="54" spans="1:11" x14ac:dyDescent="0.25">
      <c r="A54" s="3" t="s">
        <v>228</v>
      </c>
    </row>
    <row r="55" spans="1:11" x14ac:dyDescent="0.25">
      <c r="A55" s="3" t="s">
        <v>229</v>
      </c>
    </row>
    <row r="56" spans="1:11" x14ac:dyDescent="0.25">
      <c r="A56" s="3" t="s">
        <v>139</v>
      </c>
    </row>
    <row r="57" spans="1:11" ht="33.75" customHeight="1" x14ac:dyDescent="0.25">
      <c r="A57" s="545" t="s">
        <v>246</v>
      </c>
      <c r="B57" s="545"/>
      <c r="C57" s="545"/>
      <c r="D57" s="545"/>
      <c r="E57" s="545"/>
      <c r="F57" s="545"/>
      <c r="G57" s="545"/>
      <c r="H57" s="545"/>
      <c r="I57" s="545"/>
      <c r="J57" s="545"/>
      <c r="K57" s="545"/>
    </row>
  </sheetData>
  <autoFilter ref="A5:O57" xr:uid="{1A7AD30C-FF8D-4608-8CF9-4858A853D870}"/>
  <mergeCells count="2">
    <mergeCell ref="B4:D4"/>
    <mergeCell ref="A57:K57"/>
  </mergeCells>
  <pageMargins left="0.2" right="0.2" top="0.75" bottom="0.25" header="0.3" footer="0.3"/>
  <pageSetup orientation="landscape" r:id="rId1"/>
  <headerFooter>
    <oddHeader>&amp;C&amp;F &amp;A&amp;R&amp;"Arial"&amp;10&amp;K000000CONFIDENTIAL</oddHeader>
    <oddFooter xml:space="preserve">&amp;R_x000D_&amp;1#&amp;"Calibri"&amp;10&amp;KA80000 Restricted – Sensitive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pageSetUpPr fitToPage="1"/>
  </sheetPr>
  <dimension ref="A1:AI63"/>
  <sheetViews>
    <sheetView zoomScale="85" zoomScaleNormal="85" workbookViewId="0">
      <pane xSplit="2" ySplit="13" topLeftCell="C14" activePane="bottomRight" state="frozen"/>
      <selection pane="topRight"/>
      <selection pane="bottomLeft"/>
      <selection pane="bottomRight" activeCell="N15" sqref="N15"/>
    </sheetView>
  </sheetViews>
  <sheetFormatPr defaultColWidth="9.140625" defaultRowHeight="15" outlineLevelCol="1" x14ac:dyDescent="0.25"/>
  <cols>
    <col min="1" max="1" width="37.7109375" style="45" customWidth="1"/>
    <col min="2" max="3" width="20.7109375" style="45" customWidth="1"/>
    <col min="4" max="4" width="15.42578125" style="45" customWidth="1"/>
    <col min="5" max="5" width="15.85546875" style="45" bestFit="1" customWidth="1"/>
    <col min="6" max="6" width="12.28515625" style="45" bestFit="1" customWidth="1"/>
    <col min="7" max="8" width="13.28515625" style="45" bestFit="1" customWidth="1"/>
    <col min="9" max="9" width="12.28515625" style="45" bestFit="1" customWidth="1"/>
    <col min="10" max="10" width="12.5703125" style="45" customWidth="1"/>
    <col min="11" max="11" width="12.85546875" style="45" customWidth="1"/>
    <col min="12" max="12" width="16" style="45" customWidth="1"/>
    <col min="13" max="13" width="15" style="45" bestFit="1" customWidth="1"/>
    <col min="14" max="14" width="16" style="45" bestFit="1" customWidth="1"/>
    <col min="15" max="15" width="17.85546875" style="166" hidden="1" customWidth="1" outlineLevel="1"/>
    <col min="16" max="16" width="15.28515625" style="45" bestFit="1" customWidth="1" collapsed="1"/>
    <col min="17" max="17" width="17.42578125" style="45" bestFit="1" customWidth="1"/>
    <col min="18" max="18" width="16.28515625" style="45" bestFit="1" customWidth="1"/>
    <col min="19" max="19" width="15.28515625" style="45" bestFit="1" customWidth="1"/>
    <col min="20" max="20" width="12.42578125" style="45" customWidth="1"/>
    <col min="21" max="22" width="14.28515625" style="45" bestFit="1" customWidth="1"/>
    <col min="23" max="16384" width="9.140625" style="45"/>
  </cols>
  <sheetData>
    <row r="1" spans="1:35" x14ac:dyDescent="0.25">
      <c r="A1" s="3" t="str">
        <f>+'PTD Cycle 3'!A1</f>
        <v>Evergy Missouri West, Inc. - DSIM Rider Update Filed 12/01/2025</v>
      </c>
      <c r="B1" s="3"/>
      <c r="C1" s="3"/>
    </row>
    <row r="2" spans="1:35" x14ac:dyDescent="0.25">
      <c r="D2" s="3" t="s">
        <v>125</v>
      </c>
    </row>
    <row r="3" spans="1:35" ht="30" x14ac:dyDescent="0.25">
      <c r="D3" s="47" t="s">
        <v>40</v>
      </c>
      <c r="E3" s="69" t="s">
        <v>52</v>
      </c>
      <c r="F3" s="47" t="s">
        <v>1</v>
      </c>
      <c r="G3" s="69" t="s">
        <v>49</v>
      </c>
      <c r="H3" s="47" t="s">
        <v>8</v>
      </c>
      <c r="I3" s="47" t="s">
        <v>53</v>
      </c>
      <c r="S3" s="47"/>
    </row>
    <row r="4" spans="1:35" x14ac:dyDescent="0.25">
      <c r="A4" s="19" t="s">
        <v>22</v>
      </c>
      <c r="B4" s="19"/>
      <c r="C4" s="19"/>
      <c r="D4" s="21">
        <f>SUM(C18:L18)</f>
        <v>-11625.81</v>
      </c>
      <c r="E4" s="21">
        <f>SUM(C24:K24)</f>
        <v>-1047.72</v>
      </c>
      <c r="F4" s="21">
        <f>E4-D4</f>
        <v>10578.09</v>
      </c>
      <c r="G4" s="21">
        <f>+B38</f>
        <v>-9965.0021800001814</v>
      </c>
      <c r="H4" s="21">
        <f>SUM(C45:K45)</f>
        <v>-174.01</v>
      </c>
      <c r="I4" s="24">
        <f>SUM(F4:H4)</f>
        <v>439.07781999981876</v>
      </c>
      <c r="J4" s="554">
        <f>+I4-I38</f>
        <v>-1.2505552149377763E-12</v>
      </c>
      <c r="M4" s="46"/>
    </row>
    <row r="5" spans="1:35" ht="15.75" thickBot="1" x14ac:dyDescent="0.3">
      <c r="A5" s="19" t="s">
        <v>23</v>
      </c>
      <c r="B5" s="19"/>
      <c r="C5" s="19"/>
      <c r="D5" s="21">
        <f>SUM(C19:L21)</f>
        <v>15924.899999999998</v>
      </c>
      <c r="E5" s="21">
        <f>SUM(C25:K27)</f>
        <v>3.8299999999999983</v>
      </c>
      <c r="F5" s="21">
        <f>E5-D5</f>
        <v>-15921.069999999998</v>
      </c>
      <c r="G5" s="21">
        <f>SUM(B39:B41)</f>
        <v>15752.629160000011</v>
      </c>
      <c r="H5" s="21">
        <f>SUM(C46:K48)</f>
        <v>212.65999999999974</v>
      </c>
      <c r="I5" s="24">
        <f>SUM(F5:H5)</f>
        <v>44.219160000013176</v>
      </c>
      <c r="J5" s="554">
        <f>+I5-SUM(I39:I41)</f>
        <v>-1.1107204045401886E-10</v>
      </c>
      <c r="M5" s="46"/>
    </row>
    <row r="6" spans="1:35" ht="16.5" thickTop="1" thickBot="1" x14ac:dyDescent="0.3">
      <c r="D6" s="26">
        <f t="shared" ref="D6:I6" si="0">SUM(D4:D5)</f>
        <v>4299.0899999999983</v>
      </c>
      <c r="E6" s="26">
        <f t="shared" si="0"/>
        <v>-1043.8900000000001</v>
      </c>
      <c r="F6" s="26">
        <f t="shared" si="0"/>
        <v>-5342.9799999999977</v>
      </c>
      <c r="G6" s="26">
        <f t="shared" si="0"/>
        <v>5787.6269799998299</v>
      </c>
      <c r="H6" s="26">
        <f t="shared" si="0"/>
        <v>38.64999999999975</v>
      </c>
      <c r="I6" s="26">
        <f t="shared" si="0"/>
        <v>483.29697999983193</v>
      </c>
      <c r="T6" s="5"/>
    </row>
    <row r="7" spans="1:35" ht="45.75" thickTop="1" x14ac:dyDescent="0.25">
      <c r="I7" s="198"/>
      <c r="J7" s="197" t="s">
        <v>107</v>
      </c>
    </row>
    <row r="8" spans="1:35" ht="17.25" customHeight="1" x14ac:dyDescent="0.25">
      <c r="A8" s="19" t="s">
        <v>94</v>
      </c>
      <c r="I8" s="24">
        <f>ROUND($I$5*J8,2)</f>
        <v>17.34</v>
      </c>
      <c r="J8" s="195">
        <f>'TDR Cycle 2'!L8</f>
        <v>0.39209287804949344</v>
      </c>
      <c r="K8" s="38"/>
    </row>
    <row r="9" spans="1:35" ht="17.25" customHeight="1" x14ac:dyDescent="0.25">
      <c r="A9" s="19" t="s">
        <v>95</v>
      </c>
      <c r="I9" s="24">
        <f t="shared" ref="I9:I10" si="1">ROUND($I$5*J9,2)</f>
        <v>20.09</v>
      </c>
      <c r="J9" s="488">
        <f>'TDR Cycle 2'!L9</f>
        <v>0.45435908608374953</v>
      </c>
      <c r="K9" s="38"/>
    </row>
    <row r="10" spans="1:35" ht="15.75" thickBot="1" x14ac:dyDescent="0.3">
      <c r="A10" s="19" t="s">
        <v>96</v>
      </c>
      <c r="B10" s="45" t="str">
        <f>+'PCR Cycle 4'!B10</f>
        <v>Cumulative Over/Under Carryover From 06/01/2025 Filing</v>
      </c>
      <c r="I10" s="24">
        <f t="shared" si="1"/>
        <v>6.79</v>
      </c>
      <c r="J10" s="488">
        <f>'TDR Cycle 2'!L10</f>
        <v>0.15354803586675725</v>
      </c>
      <c r="K10" s="38"/>
    </row>
    <row r="11" spans="1:35" ht="17.25" customHeight="1" thickTop="1" thickBot="1" x14ac:dyDescent="0.3">
      <c r="A11" s="19" t="s">
        <v>97</v>
      </c>
      <c r="I11" s="26">
        <f>SUM(I8:I10)</f>
        <v>44.22</v>
      </c>
      <c r="J11" s="196">
        <f>SUM(J8:J10)</f>
        <v>1.0000000000000002</v>
      </c>
    </row>
    <row r="12" spans="1:35" ht="16.5" thickTop="1" thickBot="1" x14ac:dyDescent="0.3">
      <c r="V12" s="4"/>
      <c r="W12" s="5"/>
    </row>
    <row r="13" spans="1:35" ht="60.75" thickBot="1" x14ac:dyDescent="0.3">
      <c r="B13" s="109" t="str">
        <f>+'PCR Cycle 4'!B10</f>
        <v>Cumulative Over/Under Carryover From 06/01/2025 Filing</v>
      </c>
      <c r="C13" s="139" t="str">
        <f>+'PCR Cycle 4'!C10</f>
        <v>Reverse May 2025 - July 2025 Forecast From 06/01/2025 Filing</v>
      </c>
      <c r="D13" s="544" t="s">
        <v>28</v>
      </c>
      <c r="E13" s="529"/>
      <c r="F13" s="530"/>
      <c r="G13" s="538" t="s">
        <v>28</v>
      </c>
      <c r="H13" s="539"/>
      <c r="I13" s="540"/>
      <c r="J13" s="534" t="s">
        <v>6</v>
      </c>
      <c r="K13" s="535"/>
      <c r="L13" s="536"/>
      <c r="O13" s="261" t="s">
        <v>196</v>
      </c>
    </row>
    <row r="14" spans="1:35" x14ac:dyDescent="0.25">
      <c r="A14" s="45" t="s">
        <v>75</v>
      </c>
      <c r="C14" s="551"/>
      <c r="D14" s="322">
        <f>+'PCR Cycle 4'!E$11</f>
        <v>45808</v>
      </c>
      <c r="E14" s="322">
        <f>+'PCR Cycle 4'!F$11</f>
        <v>45838</v>
      </c>
      <c r="F14" s="322">
        <f>+'PCR Cycle 4'!G$11</f>
        <v>45869</v>
      </c>
      <c r="G14" s="551">
        <f>+'PCR Cycle 4'!H$11</f>
        <v>45900</v>
      </c>
      <c r="H14" s="322">
        <f>+'PCR Cycle 4'!I$11</f>
        <v>45930</v>
      </c>
      <c r="I14" s="552">
        <f>+'PCR Cycle 4'!J$11</f>
        <v>45961</v>
      </c>
      <c r="J14" s="322"/>
      <c r="K14" s="322"/>
      <c r="L14" s="553"/>
      <c r="Z14" s="1"/>
      <c r="AA14" s="1"/>
      <c r="AB14" s="1"/>
      <c r="AC14" s="1"/>
      <c r="AD14" s="1"/>
      <c r="AE14" s="1"/>
      <c r="AF14" s="1"/>
      <c r="AG14" s="1"/>
      <c r="AH14" s="1"/>
      <c r="AI14" s="1"/>
    </row>
    <row r="15" spans="1:35" x14ac:dyDescent="0.25">
      <c r="A15" s="45" t="s">
        <v>3</v>
      </c>
      <c r="C15" s="94">
        <v>2087.7799999999997</v>
      </c>
      <c r="D15" s="103">
        <f>SUM(D24:D27)</f>
        <v>-1043.8899999999999</v>
      </c>
      <c r="E15" s="103">
        <f t="shared" ref="E15:I15" si="2">SUM(E24:E27)</f>
        <v>-1043.8899999999999</v>
      </c>
      <c r="F15" s="104">
        <f t="shared" si="2"/>
        <v>-1043.8899999999999</v>
      </c>
      <c r="G15" s="15">
        <f t="shared" si="2"/>
        <v>0</v>
      </c>
      <c r="H15" s="54">
        <f t="shared" si="2"/>
        <v>0</v>
      </c>
      <c r="I15" s="150">
        <f t="shared" si="2"/>
        <v>0</v>
      </c>
      <c r="J15" s="143"/>
      <c r="K15" s="75"/>
      <c r="L15" s="76"/>
      <c r="N15" s="388"/>
      <c r="O15" s="166">
        <f>-SUM(J15:L15)</f>
        <v>0</v>
      </c>
    </row>
    <row r="16" spans="1:35" x14ac:dyDescent="0.25">
      <c r="C16" s="96"/>
      <c r="D16" s="16"/>
      <c r="E16" s="16"/>
      <c r="F16" s="16"/>
      <c r="G16" s="9"/>
      <c r="H16" s="16"/>
      <c r="I16" s="10"/>
      <c r="J16" s="30"/>
      <c r="K16" s="30"/>
      <c r="L16" s="28"/>
      <c r="N16" s="388"/>
    </row>
    <row r="17" spans="1:16" x14ac:dyDescent="0.25">
      <c r="A17" s="45" t="s">
        <v>76</v>
      </c>
      <c r="C17" s="96"/>
      <c r="D17" s="17"/>
      <c r="E17" s="17"/>
      <c r="F17" s="17"/>
      <c r="G17" s="88"/>
      <c r="H17" s="17"/>
      <c r="I17" s="151"/>
      <c r="J17" s="30"/>
      <c r="K17" s="30"/>
      <c r="L17" s="28"/>
      <c r="M17" s="408" t="s">
        <v>44</v>
      </c>
      <c r="N17" s="388"/>
    </row>
    <row r="18" spans="1:16" x14ac:dyDescent="0.25">
      <c r="A18" s="45" t="s">
        <v>22</v>
      </c>
      <c r="C18" s="94">
        <v>8912.02</v>
      </c>
      <c r="D18" s="123">
        <f>ROUND('[9]May 2025'!$G68,2)</f>
        <v>-2007.87</v>
      </c>
      <c r="E18" s="123">
        <f>ROUND('[9]June 2025'!$G68,2)</f>
        <v>-2533.84</v>
      </c>
      <c r="F18" s="123">
        <f>ROUND('[9]July 2025'!$G68,2)</f>
        <v>-3953.35</v>
      </c>
      <c r="G18" s="15">
        <f>ROUND('[9]August 2025'!$G68,2)</f>
        <v>-0.21</v>
      </c>
      <c r="H18" s="54">
        <f>ROUND('[9]Sept 2025'!$G68,2)</f>
        <v>-0.38</v>
      </c>
      <c r="I18" s="150">
        <f>ROUND('[9]EMW Oct25'!$G79,2)</f>
        <v>-12042.18</v>
      </c>
      <c r="J18" s="113"/>
      <c r="K18" s="40"/>
      <c r="L18" s="60"/>
      <c r="M18" s="71">
        <v>0</v>
      </c>
      <c r="N18" s="316"/>
      <c r="O18" s="166">
        <f t="shared" ref="O18:O21" si="3">-SUM(J18:L18)</f>
        <v>0</v>
      </c>
    </row>
    <row r="19" spans="1:16" x14ac:dyDescent="0.25">
      <c r="A19" s="45" t="s">
        <v>119</v>
      </c>
      <c r="C19" s="94">
        <v>-3206.5699999999997</v>
      </c>
      <c r="D19" s="439">
        <f>ROUND('[9]May 2025'!$G69,2)</f>
        <v>963.5</v>
      </c>
      <c r="E19" s="123">
        <f>ROUND('[9]June 2025'!$G69,2)</f>
        <v>1088.33</v>
      </c>
      <c r="F19" s="123">
        <f>ROUND('[9]July 2025'!$G69,2)</f>
        <v>1395.95</v>
      </c>
      <c r="G19" s="15">
        <f>ROUND('[9]August 2025'!$G69,2)</f>
        <v>-1.02</v>
      </c>
      <c r="H19" s="54">
        <f>ROUND('[9]Sept 2025'!$G69,2)</f>
        <v>-0.47</v>
      </c>
      <c r="I19" s="455">
        <f>ROUND('[9]EMW Oct25'!$G80,2)</f>
        <v>5211.25</v>
      </c>
      <c r="J19" s="113"/>
      <c r="K19" s="40"/>
      <c r="L19" s="60"/>
      <c r="M19" s="416">
        <v>0</v>
      </c>
      <c r="N19" s="316"/>
      <c r="O19" s="166">
        <f t="shared" si="3"/>
        <v>0</v>
      </c>
    </row>
    <row r="20" spans="1:16" x14ac:dyDescent="0.25">
      <c r="A20" s="45" t="s">
        <v>120</v>
      </c>
      <c r="C20" s="94">
        <v>0</v>
      </c>
      <c r="D20" s="439">
        <f>ROUND('[9]May 2025'!$G70,2)</f>
        <v>0</v>
      </c>
      <c r="E20" s="123">
        <f>ROUND('[9]June 2025'!$G70,2)</f>
        <v>0</v>
      </c>
      <c r="F20" s="123">
        <f>ROUND('[9]July 2025'!$G70,2)</f>
        <v>2.87</v>
      </c>
      <c r="G20" s="15">
        <f>ROUND('[9]August 2025'!$G70,2)</f>
        <v>1002.29</v>
      </c>
      <c r="H20" s="54">
        <f>ROUND('[9]Sept 2025'!$G70,2)</f>
        <v>1013.83</v>
      </c>
      <c r="I20" s="455">
        <f>ROUND('[9]EMW Oct25'!$G81,2)</f>
        <v>6038.82</v>
      </c>
      <c r="J20" s="113"/>
      <c r="K20" s="40"/>
      <c r="L20" s="60"/>
      <c r="M20" s="416">
        <v>1.0000000000000001E-5</v>
      </c>
      <c r="N20" s="316"/>
      <c r="O20" s="166">
        <f t="shared" si="3"/>
        <v>0</v>
      </c>
    </row>
    <row r="21" spans="1:16" x14ac:dyDescent="0.25">
      <c r="A21" s="45" t="s">
        <v>121</v>
      </c>
      <c r="C21" s="94">
        <v>-1820.7800000000002</v>
      </c>
      <c r="D21" s="439">
        <f>ROUND('[9]May 2025'!$G71,2)</f>
        <v>671.06</v>
      </c>
      <c r="E21" s="123">
        <f>ROUND('[9]June 2025'!$G71,2)</f>
        <v>729.24</v>
      </c>
      <c r="F21" s="123">
        <f>ROUND('[9]July 2025'!$G71,2)</f>
        <v>790.64</v>
      </c>
      <c r="G21" s="15">
        <f>ROUND('[9]August 2025'!$G71,2)</f>
        <v>5.18</v>
      </c>
      <c r="H21" s="54">
        <f>ROUND('[9]Sept 2025'!$G71,2)</f>
        <v>0</v>
      </c>
      <c r="I21" s="455">
        <f>ROUND('[9]EMW Oct25'!$G82,2)</f>
        <v>2040.78</v>
      </c>
      <c r="J21" s="113"/>
      <c r="K21" s="40"/>
      <c r="L21" s="60"/>
      <c r="M21" s="416">
        <v>0</v>
      </c>
      <c r="N21" s="316"/>
      <c r="O21" s="166">
        <f t="shared" si="3"/>
        <v>0</v>
      </c>
    </row>
    <row r="22" spans="1:16" x14ac:dyDescent="0.25">
      <c r="C22" s="66"/>
      <c r="D22" s="67"/>
      <c r="E22" s="67"/>
      <c r="F22" s="67"/>
      <c r="G22" s="66"/>
      <c r="H22" s="67"/>
      <c r="I22" s="152"/>
      <c r="J22" s="55"/>
      <c r="K22" s="55"/>
      <c r="L22" s="12"/>
      <c r="N22" s="316"/>
    </row>
    <row r="23" spans="1:16" x14ac:dyDescent="0.25">
      <c r="A23" s="45" t="s">
        <v>78</v>
      </c>
      <c r="C23" s="35"/>
      <c r="D23" s="36"/>
      <c r="E23" s="36"/>
      <c r="F23" s="36"/>
      <c r="G23" s="35"/>
      <c r="H23" s="36"/>
      <c r="I23" s="154"/>
      <c r="J23" s="51"/>
      <c r="K23" s="51"/>
      <c r="L23" s="37"/>
      <c r="N23" s="388"/>
    </row>
    <row r="24" spans="1:16" x14ac:dyDescent="0.25">
      <c r="A24" s="45" t="s">
        <v>22</v>
      </c>
      <c r="C24" s="94">
        <v>2095.44</v>
      </c>
      <c r="D24" s="305">
        <f>ROUND(+'EO Cycle 2'!$F$80/24,2)</f>
        <v>-1047.72</v>
      </c>
      <c r="E24" s="305">
        <f>ROUND(+'EO Cycle 2'!$F$80/24,2)</f>
        <v>-1047.72</v>
      </c>
      <c r="F24" s="305">
        <f>ROUND(+'EO Cycle 2'!$F$80/24,2)</f>
        <v>-1047.72</v>
      </c>
      <c r="G24" s="15"/>
      <c r="H24" s="54"/>
      <c r="I24" s="150"/>
      <c r="J24" s="129"/>
      <c r="K24" s="129"/>
      <c r="L24" s="76"/>
      <c r="N24" s="555"/>
      <c r="O24" s="166">
        <f t="shared" ref="O24:O29" si="4">-SUM(J24:L24)</f>
        <v>0</v>
      </c>
      <c r="P24" s="166"/>
    </row>
    <row r="25" spans="1:16" x14ac:dyDescent="0.25">
      <c r="A25" s="45" t="s">
        <v>119</v>
      </c>
      <c r="C25" s="94">
        <v>-59.16</v>
      </c>
      <c r="D25" s="305">
        <f>ROUND(+'EO Cycle 2'!$F84/24,2)</f>
        <v>29.58</v>
      </c>
      <c r="E25" s="305">
        <f>ROUND(+'EO Cycle 2'!$F84/24,2)</f>
        <v>29.58</v>
      </c>
      <c r="F25" s="305">
        <f>ROUND(+'EO Cycle 2'!$F84/24,2)</f>
        <v>29.58</v>
      </c>
      <c r="G25" s="15"/>
      <c r="H25" s="54"/>
      <c r="I25" s="150"/>
      <c r="J25" s="129"/>
      <c r="K25" s="129"/>
      <c r="L25" s="76"/>
      <c r="N25" s="555"/>
      <c r="O25" s="166">
        <f t="shared" si="4"/>
        <v>0</v>
      </c>
      <c r="P25" s="166"/>
    </row>
    <row r="26" spans="1:16" x14ac:dyDescent="0.25">
      <c r="A26" s="45" t="s">
        <v>120</v>
      </c>
      <c r="C26" s="94">
        <v>11.94</v>
      </c>
      <c r="D26" s="305">
        <f>ROUND(+'EO Cycle 2'!$F85/24,2)</f>
        <v>-5.97</v>
      </c>
      <c r="E26" s="305">
        <f>ROUND(+'EO Cycle 2'!$F85/24,2)</f>
        <v>-5.97</v>
      </c>
      <c r="F26" s="305">
        <f>ROUND(+'EO Cycle 2'!$F85/24,2)</f>
        <v>-5.97</v>
      </c>
      <c r="G26" s="370"/>
      <c r="H26" s="54"/>
      <c r="I26" s="150"/>
      <c r="J26" s="129"/>
      <c r="K26" s="129"/>
      <c r="L26" s="76"/>
      <c r="N26" s="555"/>
      <c r="O26" s="166">
        <f t="shared" si="4"/>
        <v>0</v>
      </c>
      <c r="P26" s="166"/>
    </row>
    <row r="27" spans="1:16" x14ac:dyDescent="0.25">
      <c r="A27" s="45" t="s">
        <v>121</v>
      </c>
      <c r="C27" s="94">
        <v>39.56</v>
      </c>
      <c r="D27" s="305">
        <f>ROUND(+'EO Cycle 2'!$F86/24,2)</f>
        <v>-19.78</v>
      </c>
      <c r="E27" s="305">
        <f>ROUND(+'EO Cycle 2'!$F86/24,2)</f>
        <v>-19.78</v>
      </c>
      <c r="F27" s="305">
        <f>ROUND(+'EO Cycle 2'!$F86/24,2)</f>
        <v>-19.78</v>
      </c>
      <c r="G27" s="370"/>
      <c r="H27" s="54"/>
      <c r="I27" s="150"/>
      <c r="J27" s="129"/>
      <c r="K27" s="129"/>
      <c r="L27" s="76"/>
      <c r="N27" s="555"/>
      <c r="O27" s="166">
        <f t="shared" si="4"/>
        <v>0</v>
      </c>
      <c r="P27" s="166"/>
    </row>
    <row r="28" spans="1:16" x14ac:dyDescent="0.25">
      <c r="C28" s="96"/>
      <c r="D28" s="321"/>
      <c r="E28" s="17"/>
      <c r="F28" s="17"/>
      <c r="G28" s="88"/>
      <c r="H28" s="17"/>
      <c r="I28" s="151"/>
      <c r="J28" s="55"/>
      <c r="K28" s="55"/>
      <c r="L28" s="12"/>
      <c r="N28" s="388"/>
    </row>
    <row r="29" spans="1:16" ht="15.75" thickBot="1" x14ac:dyDescent="0.3">
      <c r="A29" s="3" t="s">
        <v>12</v>
      </c>
      <c r="B29" s="3"/>
      <c r="C29" s="98">
        <v>-34.700000000000003</v>
      </c>
      <c r="D29" s="123">
        <f>13.8+3.32</f>
        <v>17.12</v>
      </c>
      <c r="E29" s="123">
        <f>11.48+3.34</f>
        <v>14.82</v>
      </c>
      <c r="F29" s="124">
        <f>12.52+3.37</f>
        <v>15.89</v>
      </c>
      <c r="G29" s="25">
        <f>11.89+3.37</f>
        <v>15.260000000000002</v>
      </c>
      <c r="H29" s="112">
        <f>6.95+3.31</f>
        <v>10.26</v>
      </c>
      <c r="I29" s="155">
        <v>0</v>
      </c>
      <c r="J29" s="146"/>
      <c r="K29" s="131"/>
      <c r="L29" s="79"/>
      <c r="N29" s="388"/>
      <c r="O29" s="166">
        <f t="shared" si="4"/>
        <v>0</v>
      </c>
    </row>
    <row r="30" spans="1:16" x14ac:dyDescent="0.25">
      <c r="C30" s="63"/>
      <c r="D30" s="135"/>
      <c r="E30" s="135"/>
      <c r="F30" s="136"/>
      <c r="G30" s="63"/>
      <c r="H30" s="32"/>
      <c r="I30" s="156"/>
      <c r="J30" s="33"/>
      <c r="K30" s="33"/>
      <c r="L30" s="59"/>
      <c r="N30" s="388"/>
    </row>
    <row r="31" spans="1:16" x14ac:dyDescent="0.25">
      <c r="A31" s="45" t="s">
        <v>46</v>
      </c>
      <c r="C31" s="64"/>
      <c r="D31" s="136"/>
      <c r="E31" s="136"/>
      <c r="F31" s="136"/>
      <c r="G31" s="64"/>
      <c r="H31" s="34"/>
      <c r="I31" s="157"/>
      <c r="J31" s="33"/>
      <c r="K31" s="33"/>
      <c r="L31" s="59"/>
      <c r="N31" s="388"/>
    </row>
    <row r="32" spans="1:16" x14ac:dyDescent="0.25">
      <c r="A32" s="45" t="s">
        <v>22</v>
      </c>
      <c r="C32" s="97">
        <f t="shared" ref="C32:I32" si="5">C24-C18</f>
        <v>-6816.58</v>
      </c>
      <c r="D32" s="40">
        <f t="shared" si="5"/>
        <v>960.14999999999986</v>
      </c>
      <c r="E32" s="40">
        <f t="shared" si="5"/>
        <v>1486.1200000000001</v>
      </c>
      <c r="F32" s="102">
        <f t="shared" si="5"/>
        <v>2905.63</v>
      </c>
      <c r="G32" s="39">
        <f t="shared" si="5"/>
        <v>0.21</v>
      </c>
      <c r="H32" s="40">
        <f t="shared" si="5"/>
        <v>0.38</v>
      </c>
      <c r="I32" s="60">
        <f t="shared" si="5"/>
        <v>12042.18</v>
      </c>
      <c r="J32" s="113"/>
      <c r="K32" s="40"/>
      <c r="L32" s="60"/>
      <c r="N32" s="388"/>
    </row>
    <row r="33" spans="1:15" x14ac:dyDescent="0.25">
      <c r="A33" s="45" t="s">
        <v>119</v>
      </c>
      <c r="C33" s="97">
        <f t="shared" ref="C33:I33" si="6">C25-C19</f>
        <v>3147.41</v>
      </c>
      <c r="D33" s="40">
        <f t="shared" si="6"/>
        <v>-933.92</v>
      </c>
      <c r="E33" s="40">
        <f t="shared" si="6"/>
        <v>-1058.75</v>
      </c>
      <c r="F33" s="102">
        <f t="shared" si="6"/>
        <v>-1366.3700000000001</v>
      </c>
      <c r="G33" s="39">
        <f t="shared" si="6"/>
        <v>1.02</v>
      </c>
      <c r="H33" s="40">
        <f t="shared" si="6"/>
        <v>0.47</v>
      </c>
      <c r="I33" s="60">
        <f t="shared" si="6"/>
        <v>-5211.25</v>
      </c>
      <c r="J33" s="113"/>
      <c r="K33" s="40"/>
      <c r="L33" s="60"/>
      <c r="N33" s="388"/>
    </row>
    <row r="34" spans="1:15" x14ac:dyDescent="0.25">
      <c r="A34" s="45" t="s">
        <v>120</v>
      </c>
      <c r="C34" s="97">
        <f t="shared" ref="C34:I34" si="7">C26-C20</f>
        <v>11.94</v>
      </c>
      <c r="D34" s="40">
        <f t="shared" si="7"/>
        <v>-5.97</v>
      </c>
      <c r="E34" s="40">
        <f t="shared" si="7"/>
        <v>-5.97</v>
      </c>
      <c r="F34" s="102">
        <f t="shared" si="7"/>
        <v>-8.84</v>
      </c>
      <c r="G34" s="39">
        <f t="shared" si="7"/>
        <v>-1002.29</v>
      </c>
      <c r="H34" s="40">
        <f t="shared" si="7"/>
        <v>-1013.83</v>
      </c>
      <c r="I34" s="60">
        <f t="shared" si="7"/>
        <v>-6038.82</v>
      </c>
      <c r="J34" s="113"/>
      <c r="K34" s="40"/>
      <c r="L34" s="60"/>
      <c r="N34" s="388"/>
    </row>
    <row r="35" spans="1:15" x14ac:dyDescent="0.25">
      <c r="A35" s="45" t="s">
        <v>121</v>
      </c>
      <c r="C35" s="97">
        <f t="shared" ref="C35:I35" si="8">C27-C21</f>
        <v>1860.3400000000001</v>
      </c>
      <c r="D35" s="40">
        <f t="shared" si="8"/>
        <v>-690.83999999999992</v>
      </c>
      <c r="E35" s="40">
        <f t="shared" si="8"/>
        <v>-749.02</v>
      </c>
      <c r="F35" s="102">
        <f t="shared" si="8"/>
        <v>-810.42</v>
      </c>
      <c r="G35" s="39">
        <f t="shared" si="8"/>
        <v>-5.18</v>
      </c>
      <c r="H35" s="40">
        <f t="shared" si="8"/>
        <v>0</v>
      </c>
      <c r="I35" s="60">
        <f t="shared" si="8"/>
        <v>-2040.78</v>
      </c>
      <c r="J35" s="113"/>
      <c r="K35" s="40"/>
      <c r="L35" s="60"/>
      <c r="N35" s="388"/>
    </row>
    <row r="36" spans="1:15" x14ac:dyDescent="0.25">
      <c r="C36" s="96"/>
      <c r="D36" s="16"/>
      <c r="E36" s="16"/>
      <c r="F36" s="16"/>
      <c r="G36" s="9"/>
      <c r="H36" s="16"/>
      <c r="I36" s="10"/>
      <c r="J36" s="16"/>
      <c r="K36" s="16"/>
      <c r="L36" s="10"/>
      <c r="N36" s="388"/>
    </row>
    <row r="37" spans="1:15" ht="15.75" thickBot="1" x14ac:dyDescent="0.3">
      <c r="A37" s="45" t="s">
        <v>47</v>
      </c>
      <c r="C37" s="96"/>
      <c r="D37" s="16"/>
      <c r="E37" s="16"/>
      <c r="F37" s="16"/>
      <c r="G37" s="9"/>
      <c r="H37" s="16"/>
      <c r="I37" s="10"/>
      <c r="J37" s="16"/>
      <c r="K37" s="16"/>
      <c r="L37" s="10"/>
      <c r="N37" s="388"/>
    </row>
    <row r="38" spans="1:15" x14ac:dyDescent="0.25">
      <c r="A38" s="45" t="s">
        <v>22</v>
      </c>
      <c r="B38" s="284">
        <v>-9965.0021800001814</v>
      </c>
      <c r="C38" s="97">
        <f t="shared" ref="C38:I38" si="9">B38+C32+B45</f>
        <v>-16781.58218000018</v>
      </c>
      <c r="D38" s="40">
        <f t="shared" si="9"/>
        <v>-15679.28218000018</v>
      </c>
      <c r="E38" s="40">
        <f t="shared" si="9"/>
        <v>-14269.622180000179</v>
      </c>
      <c r="F38" s="102">
        <f t="shared" si="9"/>
        <v>-11434.902180000179</v>
      </c>
      <c r="G38" s="39">
        <f t="shared" si="9"/>
        <v>-11495.85218000018</v>
      </c>
      <c r="H38" s="40">
        <f t="shared" si="9"/>
        <v>-11549.95218000018</v>
      </c>
      <c r="I38" s="60">
        <f t="shared" si="9"/>
        <v>439.07781999982001</v>
      </c>
      <c r="J38" s="113"/>
      <c r="K38" s="40"/>
      <c r="L38" s="60"/>
      <c r="N38" s="388"/>
    </row>
    <row r="39" spans="1:15" x14ac:dyDescent="0.25">
      <c r="A39" s="45" t="s">
        <v>119</v>
      </c>
      <c r="B39" s="287">
        <v>-551595.41639999999</v>
      </c>
      <c r="C39" s="97">
        <f t="shared" ref="C39:I39" si="10">B39+C33+B46</f>
        <v>-548448.00639999995</v>
      </c>
      <c r="D39" s="40">
        <f t="shared" si="10"/>
        <v>-544332.12639999995</v>
      </c>
      <c r="E39" s="40">
        <f t="shared" si="10"/>
        <v>-547964.26639999996</v>
      </c>
      <c r="F39" s="102">
        <f t="shared" si="10"/>
        <v>-551916.34639999992</v>
      </c>
      <c r="G39" s="39">
        <f t="shared" si="10"/>
        <v>-554531.14639999985</v>
      </c>
      <c r="H39" s="40">
        <f t="shared" si="10"/>
        <v>-557158.55639999988</v>
      </c>
      <c r="I39" s="60">
        <f t="shared" si="10"/>
        <v>-564933.83639999991</v>
      </c>
      <c r="J39" s="113"/>
      <c r="K39" s="40"/>
      <c r="L39" s="60"/>
      <c r="N39" s="388"/>
    </row>
    <row r="40" spans="1:15" x14ac:dyDescent="0.25">
      <c r="A40" s="45" t="s">
        <v>120</v>
      </c>
      <c r="B40" s="287">
        <v>432205.25495999999</v>
      </c>
      <c r="C40" s="97">
        <f t="shared" ref="C40:I40" si="11">B40+C34+B47</f>
        <v>432217.19495999999</v>
      </c>
      <c r="D40" s="40">
        <f t="shared" si="11"/>
        <v>428238.55496000004</v>
      </c>
      <c r="E40" s="40">
        <f t="shared" si="11"/>
        <v>430258.87496000004</v>
      </c>
      <c r="F40" s="102">
        <f t="shared" si="11"/>
        <v>432282.29496000003</v>
      </c>
      <c r="G40" s="39">
        <f t="shared" si="11"/>
        <v>433331.37496000004</v>
      </c>
      <c r="H40" s="40">
        <f t="shared" si="11"/>
        <v>434373.43496000004</v>
      </c>
      <c r="I40" s="60">
        <f t="shared" si="11"/>
        <v>430335.92496000003</v>
      </c>
      <c r="J40" s="113"/>
      <c r="K40" s="40"/>
      <c r="L40" s="60"/>
      <c r="N40" s="388"/>
    </row>
    <row r="41" spans="1:15" ht="15.75" thickBot="1" x14ac:dyDescent="0.3">
      <c r="A41" s="45" t="s">
        <v>121</v>
      </c>
      <c r="B41" s="285">
        <v>135142.79060000001</v>
      </c>
      <c r="C41" s="97">
        <f t="shared" ref="C41:I41" si="12">B41+C35+B48</f>
        <v>137003.1306</v>
      </c>
      <c r="D41" s="40">
        <f t="shared" si="12"/>
        <v>135058.3106</v>
      </c>
      <c r="E41" s="40">
        <f t="shared" si="12"/>
        <v>134949.9706</v>
      </c>
      <c r="F41" s="102">
        <f t="shared" si="12"/>
        <v>134778.73059999998</v>
      </c>
      <c r="G41" s="39">
        <f t="shared" si="12"/>
        <v>135415.05059999999</v>
      </c>
      <c r="H41" s="40">
        <f t="shared" si="12"/>
        <v>136056.7806</v>
      </c>
      <c r="I41" s="60">
        <f t="shared" si="12"/>
        <v>134642.1306</v>
      </c>
      <c r="J41" s="113"/>
      <c r="K41" s="40"/>
      <c r="L41" s="60"/>
      <c r="N41" s="388"/>
    </row>
    <row r="42" spans="1:15" x14ac:dyDescent="0.25">
      <c r="C42" s="96"/>
      <c r="D42" s="16"/>
      <c r="E42" s="16"/>
      <c r="F42" s="16"/>
      <c r="G42" s="9"/>
      <c r="H42" s="16"/>
      <c r="I42" s="10"/>
      <c r="J42" s="16"/>
      <c r="K42" s="16"/>
      <c r="L42" s="10"/>
      <c r="N42" s="388"/>
    </row>
    <row r="43" spans="1:15" x14ac:dyDescent="0.25">
      <c r="A43" s="38" t="s">
        <v>77</v>
      </c>
      <c r="B43" s="38"/>
      <c r="C43" s="99"/>
      <c r="D43" s="289">
        <f>'PCR Cycle 3'!E45</f>
        <v>4.7316600000000004E-3</v>
      </c>
      <c r="E43" s="289">
        <f>'PCR Cycle 3'!F45</f>
        <v>4.7233199999999996E-3</v>
      </c>
      <c r="F43" s="289">
        <f>'PCR Cycle 3'!G45</f>
        <v>4.7454000000000003E-3</v>
      </c>
      <c r="G43" s="290">
        <f>'PCR Cycle 3'!H45</f>
        <v>4.7389099999999998E-3</v>
      </c>
      <c r="H43" s="289">
        <f>'PCR Cycle 3'!I45</f>
        <v>4.6019700000000004E-3</v>
      </c>
      <c r="I43" s="291"/>
      <c r="J43" s="351"/>
      <c r="K43" s="351"/>
      <c r="L43" s="82"/>
      <c r="N43" s="388"/>
    </row>
    <row r="44" spans="1:15" x14ac:dyDescent="0.25">
      <c r="A44" s="38" t="s">
        <v>31</v>
      </c>
      <c r="B44" s="38"/>
      <c r="C44" s="100"/>
      <c r="D44" s="80"/>
      <c r="E44" s="80"/>
      <c r="F44" s="80"/>
      <c r="G44" s="81"/>
      <c r="H44" s="80"/>
      <c r="I44" s="82"/>
      <c r="J44" s="80"/>
      <c r="K44" s="80"/>
      <c r="L44" s="82"/>
      <c r="N44" s="388"/>
    </row>
    <row r="45" spans="1:15" x14ac:dyDescent="0.25">
      <c r="A45" s="45" t="s">
        <v>22</v>
      </c>
      <c r="C45" s="292">
        <v>142.15</v>
      </c>
      <c r="D45" s="40">
        <f t="shared" ref="D45:I45" si="13">ROUND((C38+C45+D32/2)*D$43,2)</f>
        <v>-76.459999999999994</v>
      </c>
      <c r="E45" s="40">
        <f t="shared" si="13"/>
        <v>-70.91</v>
      </c>
      <c r="F45" s="102">
        <f t="shared" si="13"/>
        <v>-61.16</v>
      </c>
      <c r="G45" s="39">
        <f t="shared" si="13"/>
        <v>-54.48</v>
      </c>
      <c r="H45" s="113">
        <f t="shared" si="13"/>
        <v>-53.15</v>
      </c>
      <c r="I45" s="48">
        <f t="shared" si="13"/>
        <v>0</v>
      </c>
      <c r="J45" s="147"/>
      <c r="K45" s="102"/>
      <c r="L45" s="60"/>
      <c r="N45" s="388"/>
      <c r="O45" s="166">
        <f t="shared" ref="O45:O48" si="14">-SUM(J45:L45)</f>
        <v>0</v>
      </c>
    </row>
    <row r="46" spans="1:15" x14ac:dyDescent="0.25">
      <c r="A46" s="45" t="s">
        <v>119</v>
      </c>
      <c r="C46" s="292">
        <v>5049.7999999999993</v>
      </c>
      <c r="D46" s="40">
        <f t="shared" ref="D46:I46" si="15">ROUND((C39+C46+D33/2)*D$43,2)</f>
        <v>-2573.39</v>
      </c>
      <c r="E46" s="40">
        <f t="shared" si="15"/>
        <v>-2585.71</v>
      </c>
      <c r="F46" s="102">
        <f t="shared" si="15"/>
        <v>-2615.8200000000002</v>
      </c>
      <c r="G46" s="39">
        <f t="shared" si="15"/>
        <v>-2627.88</v>
      </c>
      <c r="H46" s="113">
        <f t="shared" si="15"/>
        <v>-2564.0300000000002</v>
      </c>
      <c r="I46" s="48">
        <f t="shared" si="15"/>
        <v>0</v>
      </c>
      <c r="J46" s="147"/>
      <c r="K46" s="102"/>
      <c r="L46" s="60"/>
      <c r="N46" s="388"/>
      <c r="O46" s="166">
        <f t="shared" si="14"/>
        <v>0</v>
      </c>
    </row>
    <row r="47" spans="1:15" x14ac:dyDescent="0.25">
      <c r="A47" s="45" t="s">
        <v>120</v>
      </c>
      <c r="C47" s="292">
        <v>-3972.67</v>
      </c>
      <c r="D47" s="40">
        <f t="shared" ref="D47:I47" si="16">ROUND((C40+C47+D34/2)*D$43,2)</f>
        <v>2026.29</v>
      </c>
      <c r="E47" s="40">
        <f t="shared" si="16"/>
        <v>2032.26</v>
      </c>
      <c r="F47" s="102">
        <f t="shared" si="16"/>
        <v>2051.37</v>
      </c>
      <c r="G47" s="39">
        <f t="shared" si="16"/>
        <v>2055.89</v>
      </c>
      <c r="H47" s="113">
        <f t="shared" si="16"/>
        <v>2001.31</v>
      </c>
      <c r="I47" s="48">
        <f t="shared" si="16"/>
        <v>0</v>
      </c>
      <c r="J47" s="147"/>
      <c r="K47" s="102"/>
      <c r="L47" s="60"/>
      <c r="N47" s="388"/>
      <c r="O47" s="166">
        <f t="shared" si="14"/>
        <v>0</v>
      </c>
    </row>
    <row r="48" spans="1:15" ht="15.75" thickBot="1" x14ac:dyDescent="0.3">
      <c r="A48" s="45" t="s">
        <v>121</v>
      </c>
      <c r="C48" s="292">
        <v>-1253.98</v>
      </c>
      <c r="D48" s="40">
        <f t="shared" ref="D48:I48" si="17">ROUND((C41+C48+D35/2)*D$43,2)</f>
        <v>640.67999999999995</v>
      </c>
      <c r="E48" s="40">
        <f t="shared" si="17"/>
        <v>639.17999999999995</v>
      </c>
      <c r="F48" s="102">
        <f t="shared" si="17"/>
        <v>641.5</v>
      </c>
      <c r="G48" s="39">
        <f t="shared" si="17"/>
        <v>641.73</v>
      </c>
      <c r="H48" s="113">
        <f t="shared" si="17"/>
        <v>626.13</v>
      </c>
      <c r="I48" s="48">
        <f t="shared" si="17"/>
        <v>0</v>
      </c>
      <c r="J48" s="147"/>
      <c r="K48" s="102"/>
      <c r="L48" s="60"/>
      <c r="N48" s="388"/>
      <c r="O48" s="166">
        <f t="shared" si="14"/>
        <v>0</v>
      </c>
    </row>
    <row r="49" spans="1:18" ht="16.5" thickTop="1" thickBot="1" x14ac:dyDescent="0.3">
      <c r="A49" s="53" t="s">
        <v>20</v>
      </c>
      <c r="B49" s="53"/>
      <c r="C49" s="101">
        <v>0</v>
      </c>
      <c r="D49" s="41">
        <f t="shared" ref="D49:I49" si="18">SUM(D45:D48)+SUM(D38:D41)-D52</f>
        <v>4.7293724492192268E-11</v>
      </c>
      <c r="E49" s="41">
        <f t="shared" si="18"/>
        <v>7.6397554948925972E-11</v>
      </c>
      <c r="F49" s="49">
        <f t="shared" si="18"/>
        <v>5.411493475548923E-11</v>
      </c>
      <c r="G49" s="133">
        <f t="shared" si="18"/>
        <v>1.9372237147763371E-10</v>
      </c>
      <c r="H49" s="49">
        <f t="shared" si="18"/>
        <v>1.9281287677586079E-10</v>
      </c>
      <c r="I49" s="61">
        <f t="shared" si="18"/>
        <v>7.2532202466391027E-11</v>
      </c>
      <c r="J49" s="148"/>
      <c r="K49" s="49"/>
      <c r="L49" s="61"/>
      <c r="N49" s="388"/>
    </row>
    <row r="50" spans="1:18" ht="16.5" thickTop="1" thickBot="1" x14ac:dyDescent="0.3">
      <c r="A50" s="53" t="s">
        <v>21</v>
      </c>
      <c r="B50" s="53"/>
      <c r="C50" s="101">
        <v>0</v>
      </c>
      <c r="D50" s="41">
        <f t="shared" ref="D50:I50" si="19">SUM(D45:D48)-D29</f>
        <v>0</v>
      </c>
      <c r="E50" s="41">
        <f t="shared" si="19"/>
        <v>4.9737991503207013E-14</v>
      </c>
      <c r="F50" s="49">
        <f t="shared" si="19"/>
        <v>-1.2789769243681803E-13</v>
      </c>
      <c r="G50" s="133">
        <f t="shared" si="19"/>
        <v>-2.3803181647963356E-13</v>
      </c>
      <c r="H50" s="49">
        <f t="shared" si="19"/>
        <v>-3.4994229736184934E-13</v>
      </c>
      <c r="I50" s="61">
        <f t="shared" si="19"/>
        <v>0</v>
      </c>
      <c r="J50" s="149"/>
      <c r="K50" s="41"/>
      <c r="L50" s="41"/>
      <c r="N50" s="388"/>
    </row>
    <row r="51" spans="1:18" ht="16.5" thickTop="1" thickBot="1" x14ac:dyDescent="0.3">
      <c r="C51" s="96"/>
      <c r="D51" s="16"/>
      <c r="E51" s="16"/>
      <c r="F51" s="16"/>
      <c r="G51" s="9"/>
      <c r="H51" s="16"/>
      <c r="I51" s="10"/>
      <c r="J51" s="16"/>
      <c r="K51" s="16"/>
      <c r="L51" s="10"/>
      <c r="N51" s="388"/>
    </row>
    <row r="52" spans="1:18" ht="15.75" thickBot="1" x14ac:dyDescent="0.3">
      <c r="A52" s="45" t="s">
        <v>30</v>
      </c>
      <c r="B52" s="110">
        <f>SUM(B38:B41)</f>
        <v>5787.6269799998263</v>
      </c>
      <c r="C52" s="97">
        <f t="shared" ref="C52:I52" si="20">(C15-SUM(C18:C21))+SUM(C45:C48)+B52</f>
        <v>3956.0369799998243</v>
      </c>
      <c r="D52" s="40">
        <f t="shared" si="20"/>
        <v>3302.5769799998243</v>
      </c>
      <c r="E52" s="40">
        <f t="shared" si="20"/>
        <v>2989.7769799998246</v>
      </c>
      <c r="F52" s="102">
        <f t="shared" si="20"/>
        <v>3725.6669799998244</v>
      </c>
      <c r="G52" s="39">
        <f t="shared" si="20"/>
        <v>2734.6869799998244</v>
      </c>
      <c r="H52" s="40">
        <f t="shared" si="20"/>
        <v>1731.9669799998242</v>
      </c>
      <c r="I52" s="60">
        <f t="shared" si="20"/>
        <v>483.29697999982477</v>
      </c>
      <c r="J52" s="147"/>
      <c r="K52" s="102"/>
      <c r="L52" s="60"/>
      <c r="N52" s="388"/>
      <c r="Q52" s="509"/>
      <c r="R52" s="509"/>
    </row>
    <row r="53" spans="1:18" x14ac:dyDescent="0.25">
      <c r="A53" s="45" t="s">
        <v>10</v>
      </c>
      <c r="C53" s="111"/>
      <c r="D53" s="16"/>
      <c r="E53" s="16"/>
      <c r="F53" s="16"/>
      <c r="G53" s="9"/>
      <c r="H53" s="16"/>
      <c r="I53" s="10"/>
      <c r="J53" s="16"/>
      <c r="K53" s="16"/>
      <c r="L53" s="10"/>
      <c r="Q53" s="509"/>
      <c r="R53" s="509"/>
    </row>
    <row r="54" spans="1:18" ht="15.75" thickBot="1" x14ac:dyDescent="0.3">
      <c r="A54" s="36"/>
      <c r="B54" s="36"/>
      <c r="C54" s="134"/>
      <c r="D54" s="43"/>
      <c r="E54" s="43"/>
      <c r="F54" s="43"/>
      <c r="G54" s="42"/>
      <c r="H54" s="43"/>
      <c r="I54" s="44"/>
      <c r="J54" s="43"/>
      <c r="K54" s="43"/>
      <c r="L54" s="44"/>
      <c r="Q54" s="509"/>
      <c r="R54" s="509"/>
    </row>
    <row r="56" spans="1:18" x14ac:dyDescent="0.25">
      <c r="A56" s="68" t="s">
        <v>9</v>
      </c>
      <c r="B56" s="68"/>
      <c r="C56" s="68"/>
    </row>
    <row r="57" spans="1:18" ht="31.5" customHeight="1" x14ac:dyDescent="0.25">
      <c r="A57" s="537" t="s">
        <v>140</v>
      </c>
      <c r="B57" s="537"/>
      <c r="C57" s="537"/>
      <c r="D57" s="537"/>
      <c r="E57" s="537"/>
      <c r="F57" s="537"/>
      <c r="G57" s="537"/>
      <c r="H57" s="537"/>
      <c r="I57" s="537"/>
      <c r="J57" s="202"/>
      <c r="K57" s="202"/>
      <c r="L57" s="202"/>
    </row>
    <row r="58" spans="1:18" ht="57" customHeight="1" x14ac:dyDescent="0.25">
      <c r="A58" s="537" t="s">
        <v>268</v>
      </c>
      <c r="B58" s="537"/>
      <c r="C58" s="537"/>
      <c r="D58" s="537"/>
      <c r="E58" s="537"/>
      <c r="F58" s="537"/>
      <c r="G58" s="537"/>
      <c r="H58" s="537"/>
      <c r="I58" s="537"/>
      <c r="J58" s="202"/>
      <c r="K58" s="202"/>
    </row>
    <row r="59" spans="1:18" ht="18.75" customHeight="1" x14ac:dyDescent="0.25">
      <c r="A59" s="537" t="s">
        <v>167</v>
      </c>
      <c r="B59" s="537"/>
      <c r="C59" s="537"/>
      <c r="D59" s="537"/>
      <c r="E59" s="537"/>
      <c r="F59" s="537"/>
      <c r="G59" s="537"/>
      <c r="H59" s="537"/>
      <c r="I59" s="537"/>
      <c r="J59" s="202"/>
      <c r="K59" s="202"/>
      <c r="L59" s="202"/>
    </row>
    <row r="60" spans="1:18" x14ac:dyDescent="0.25">
      <c r="A60" s="537" t="s">
        <v>219</v>
      </c>
      <c r="B60" s="537"/>
      <c r="C60" s="537"/>
      <c r="D60" s="537"/>
      <c r="E60" s="537"/>
      <c r="F60" s="537"/>
      <c r="G60" s="537"/>
      <c r="H60" s="537"/>
      <c r="I60" s="537"/>
    </row>
    <row r="61" spans="1:18" x14ac:dyDescent="0.25">
      <c r="A61" s="408" t="s">
        <v>270</v>
      </c>
      <c r="B61" s="408"/>
      <c r="C61" s="408"/>
      <c r="D61" s="388"/>
      <c r="E61" s="388"/>
      <c r="F61" s="388"/>
      <c r="G61" s="388"/>
      <c r="H61" s="388"/>
      <c r="I61" s="388"/>
    </row>
    <row r="62" spans="1:18" x14ac:dyDescent="0.25">
      <c r="A62" s="408" t="s">
        <v>84</v>
      </c>
      <c r="B62" s="408"/>
      <c r="C62" s="408"/>
      <c r="D62" s="388"/>
      <c r="E62" s="388"/>
      <c r="F62" s="388"/>
      <c r="G62" s="388"/>
      <c r="H62" s="388"/>
      <c r="I62" s="388"/>
    </row>
    <row r="63" spans="1:18" x14ac:dyDescent="0.25">
      <c r="A63" s="408" t="s">
        <v>163</v>
      </c>
      <c r="B63" s="408"/>
      <c r="C63" s="408"/>
      <c r="D63" s="388"/>
      <c r="E63" s="388"/>
      <c r="F63" s="388"/>
      <c r="G63" s="388"/>
      <c r="H63" s="388"/>
      <c r="I63" s="388"/>
    </row>
  </sheetData>
  <mergeCells count="7">
    <mergeCell ref="A60:I60"/>
    <mergeCell ref="A59:I59"/>
    <mergeCell ref="D13:F13"/>
    <mergeCell ref="G13:I13"/>
    <mergeCell ref="J13:L13"/>
    <mergeCell ref="A57:I57"/>
    <mergeCell ref="A58:I58"/>
  </mergeCells>
  <pageMargins left="0.2" right="0.2" top="0.75" bottom="0.25" header="0.3" footer="0.3"/>
  <pageSetup scale="57" orientation="landscape" r:id="rId1"/>
  <headerFooter>
    <oddHeader>&amp;C&amp;F &amp;A&amp;R&amp;"Arial"&amp;10&amp;K000000CONFIDENTIAL</oddHeader>
    <oddFooter xml:space="preserve">&amp;R_x000D_&amp;1#&amp;"Calibri"&amp;10&amp;KA80000 Restricted – Sensitive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D152-8B9E-41F1-8D17-EEF361E7FE19}">
  <sheetPr>
    <pageSetUpPr fitToPage="1"/>
  </sheetPr>
  <dimension ref="A1:AJ60"/>
  <sheetViews>
    <sheetView zoomScale="85" zoomScaleNormal="85" workbookViewId="0">
      <selection activeCell="A54" sqref="A54:J54"/>
    </sheetView>
  </sheetViews>
  <sheetFormatPr defaultColWidth="9.140625" defaultRowHeight="15" outlineLevelCol="1" x14ac:dyDescent="0.25"/>
  <cols>
    <col min="1" max="1" width="37.7109375" style="45" customWidth="1"/>
    <col min="2" max="3" width="20.7109375" style="45" customWidth="1"/>
    <col min="4" max="4" width="12.42578125" style="45" hidden="1" customWidth="1" outlineLevel="1"/>
    <col min="5" max="5" width="15.42578125" style="45" customWidth="1" collapsed="1"/>
    <col min="6" max="6" width="15.85546875" style="45" bestFit="1" customWidth="1"/>
    <col min="7" max="7" width="12.28515625" style="45" bestFit="1" customWidth="1"/>
    <col min="8" max="9" width="13.28515625" style="45" bestFit="1" customWidth="1"/>
    <col min="10" max="10" width="12.28515625" style="45" bestFit="1" customWidth="1"/>
    <col min="11" max="11" width="12.5703125" style="45" customWidth="1"/>
    <col min="12" max="12" width="12.85546875" style="45" customWidth="1"/>
    <col min="13" max="13" width="16" style="45" customWidth="1"/>
    <col min="14" max="14" width="15" style="45" bestFit="1" customWidth="1"/>
    <col min="15" max="15" width="16" style="45" bestFit="1" customWidth="1"/>
    <col min="16" max="16" width="17.85546875" style="166" hidden="1" customWidth="1" outlineLevel="1"/>
    <col min="17" max="17" width="15.28515625" style="45" bestFit="1" customWidth="1" collapsed="1"/>
    <col min="18" max="18" width="17.42578125" style="45" bestFit="1" customWidth="1"/>
    <col min="19" max="19" width="16.28515625" style="45" bestFit="1" customWidth="1"/>
    <col min="20" max="20" width="15.28515625" style="45" bestFit="1" customWidth="1"/>
    <col min="21" max="21" width="12.42578125" style="45" customWidth="1"/>
    <col min="22" max="23" width="14.28515625" style="45" bestFit="1" customWidth="1"/>
    <col min="24" max="16384" width="9.140625" style="45"/>
  </cols>
  <sheetData>
    <row r="1" spans="1:36" x14ac:dyDescent="0.25">
      <c r="A1" s="3" t="str">
        <f>+'PTD Cycle 3'!A1</f>
        <v>Evergy Missouri West, Inc. - DSIM Rider Update Filed 12/01/2025</v>
      </c>
      <c r="B1" s="3"/>
      <c r="C1" s="3"/>
      <c r="D1" s="3"/>
    </row>
    <row r="2" spans="1:36" x14ac:dyDescent="0.25">
      <c r="E2" s="3" t="s">
        <v>149</v>
      </c>
    </row>
    <row r="3" spans="1:36" ht="30" x14ac:dyDescent="0.25">
      <c r="E3" s="47" t="s">
        <v>40</v>
      </c>
      <c r="F3" s="69" t="s">
        <v>52</v>
      </c>
      <c r="G3" s="47" t="s">
        <v>1</v>
      </c>
      <c r="H3" s="69" t="s">
        <v>49</v>
      </c>
      <c r="I3" s="47" t="s">
        <v>8</v>
      </c>
      <c r="J3" s="47" t="s">
        <v>53</v>
      </c>
      <c r="T3" s="47"/>
    </row>
    <row r="4" spans="1:36" x14ac:dyDescent="0.25">
      <c r="A4" s="19" t="s">
        <v>22</v>
      </c>
      <c r="B4" s="19"/>
      <c r="C4" s="19"/>
      <c r="D4" s="19"/>
      <c r="E4" s="21">
        <f>SUM(C15:M15)</f>
        <v>1004763.8700000008</v>
      </c>
      <c r="F4" s="21">
        <f>SUM(C21:L21)</f>
        <v>592054.97</v>
      </c>
      <c r="G4" s="21">
        <f>F4-E4</f>
        <v>-412708.90000000084</v>
      </c>
      <c r="H4" s="21">
        <f>+B35</f>
        <v>737460.51000000036</v>
      </c>
      <c r="I4" s="21">
        <f>SUM(C42:L42)</f>
        <v>20151.599999999999</v>
      </c>
      <c r="J4" s="24">
        <f>SUM(G4:I4)</f>
        <v>344903.2099999995</v>
      </c>
      <c r="K4" s="46">
        <f>+J4-M35</f>
        <v>0</v>
      </c>
      <c r="N4" s="46"/>
    </row>
    <row r="5" spans="1:36" x14ac:dyDescent="0.25">
      <c r="A5" s="19" t="s">
        <v>94</v>
      </c>
      <c r="B5" s="19"/>
      <c r="C5" s="19"/>
      <c r="D5" s="19"/>
      <c r="E5" s="21">
        <f t="shared" ref="E5:E7" si="0">SUM(C16:M16)</f>
        <v>302526.17</v>
      </c>
      <c r="F5" s="21">
        <f t="shared" ref="F5:F7" si="1">SUM(C22:L22)</f>
        <v>195772.69000000003</v>
      </c>
      <c r="G5" s="21">
        <f t="shared" ref="G5:G7" si="2">F5-E5</f>
        <v>-106753.47999999995</v>
      </c>
      <c r="H5" s="21">
        <f t="shared" ref="H5:H7" si="3">+B36</f>
        <v>104844.30999999998</v>
      </c>
      <c r="I5" s="21">
        <f t="shared" ref="I5:I7" si="4">SUM(C43:L43)</f>
        <v>2446.1800000000003</v>
      </c>
      <c r="J5" s="24">
        <f t="shared" ref="J5:J7" si="5">SUM(G5:I5)</f>
        <v>537.01000000003114</v>
      </c>
      <c r="K5" s="46">
        <f>+J5-M36</f>
        <v>7.1054273576010019E-11</v>
      </c>
      <c r="N5" s="46"/>
    </row>
    <row r="6" spans="1:36" x14ac:dyDescent="0.25">
      <c r="A6" s="19" t="s">
        <v>95</v>
      </c>
      <c r="B6" s="19"/>
      <c r="C6" s="19"/>
      <c r="D6" s="19"/>
      <c r="E6" s="21">
        <f t="shared" si="0"/>
        <v>347895.48</v>
      </c>
      <c r="F6" s="21">
        <f t="shared" si="1"/>
        <v>203662.02</v>
      </c>
      <c r="G6" s="21">
        <f t="shared" si="2"/>
        <v>-144233.46</v>
      </c>
      <c r="H6" s="21">
        <f t="shared" si="3"/>
        <v>209735.67000000004</v>
      </c>
      <c r="I6" s="21">
        <f t="shared" si="4"/>
        <v>5190.3600000000006</v>
      </c>
      <c r="J6" s="24">
        <f t="shared" si="5"/>
        <v>70692.570000000051</v>
      </c>
      <c r="K6" s="46">
        <f>+J6-M37</f>
        <v>0</v>
      </c>
      <c r="N6" s="46"/>
    </row>
    <row r="7" spans="1:36" ht="15.75" thickBot="1" x14ac:dyDescent="0.3">
      <c r="A7" s="19" t="s">
        <v>96</v>
      </c>
      <c r="B7" s="19"/>
      <c r="C7" s="19"/>
      <c r="D7" s="19"/>
      <c r="E7" s="21">
        <f t="shared" si="0"/>
        <v>268653.78000000003</v>
      </c>
      <c r="F7" s="21">
        <f t="shared" si="1"/>
        <v>139258.38999999998</v>
      </c>
      <c r="G7" s="21">
        <f t="shared" si="2"/>
        <v>-129395.39000000004</v>
      </c>
      <c r="H7" s="21">
        <f t="shared" si="3"/>
        <v>118203.87000000001</v>
      </c>
      <c r="I7" s="21">
        <f t="shared" si="4"/>
        <v>2154.9700000000003</v>
      </c>
      <c r="J7" s="24">
        <f t="shared" si="5"/>
        <v>-9036.550000000032</v>
      </c>
      <c r="K7" s="46">
        <f>+J7-M38</f>
        <v>0</v>
      </c>
      <c r="N7" s="46"/>
    </row>
    <row r="8" spans="1:36" ht="16.5" thickTop="1" thickBot="1" x14ac:dyDescent="0.3">
      <c r="E8" s="26">
        <f t="shared" ref="E8:J8" si="6">SUM(E4:E7)</f>
        <v>1923839.3000000007</v>
      </c>
      <c r="F8" s="26">
        <f t="shared" si="6"/>
        <v>1130748.07</v>
      </c>
      <c r="G8" s="26">
        <f t="shared" si="6"/>
        <v>-793091.2300000008</v>
      </c>
      <c r="H8" s="26">
        <f t="shared" si="6"/>
        <v>1170244.3600000003</v>
      </c>
      <c r="I8" s="26">
        <f t="shared" si="6"/>
        <v>29943.11</v>
      </c>
      <c r="J8" s="26">
        <f t="shared" si="6"/>
        <v>407096.23999999953</v>
      </c>
      <c r="U8" s="5"/>
    </row>
    <row r="9" spans="1:36" ht="16.5" thickTop="1" thickBot="1" x14ac:dyDescent="0.3">
      <c r="W9" s="4"/>
      <c r="X9" s="5"/>
    </row>
    <row r="10" spans="1:36" ht="60.75" thickBot="1" x14ac:dyDescent="0.3">
      <c r="B10" s="109" t="str">
        <f>+'PCR Cycle 4'!B10</f>
        <v>Cumulative Over/Under Carryover From 06/01/2025 Filing</v>
      </c>
      <c r="C10" s="139" t="str">
        <f>+'PCR Cycle 4'!C10</f>
        <v>Reverse May 2025 - July 2025 Forecast From 06/01/2025 Filing</v>
      </c>
      <c r="D10" s="326"/>
      <c r="E10" s="544" t="s">
        <v>28</v>
      </c>
      <c r="F10" s="529"/>
      <c r="G10" s="530"/>
      <c r="H10" s="538" t="s">
        <v>28</v>
      </c>
      <c r="I10" s="539"/>
      <c r="J10" s="540"/>
      <c r="K10" s="534" t="s">
        <v>6</v>
      </c>
      <c r="L10" s="535"/>
      <c r="M10" s="536"/>
      <c r="P10" s="261" t="s">
        <v>196</v>
      </c>
    </row>
    <row r="11" spans="1:36" x14ac:dyDescent="0.25">
      <c r="A11" s="45" t="s">
        <v>75</v>
      </c>
      <c r="C11" s="551"/>
      <c r="D11" s="322"/>
      <c r="E11" s="322">
        <f>+'PCR Cycle 4'!E$11</f>
        <v>45808</v>
      </c>
      <c r="F11" s="322">
        <f>+'PCR Cycle 4'!F$11</f>
        <v>45838</v>
      </c>
      <c r="G11" s="322">
        <f>+'PCR Cycle 4'!G$11</f>
        <v>45869</v>
      </c>
      <c r="H11" s="551">
        <f>+'PCR Cycle 4'!H$11</f>
        <v>45900</v>
      </c>
      <c r="I11" s="322">
        <f>+'PCR Cycle 4'!I$11</f>
        <v>45930</v>
      </c>
      <c r="J11" s="552">
        <f>+'PCR Cycle 4'!J$11</f>
        <v>45961</v>
      </c>
      <c r="K11" s="322">
        <f>+'PCR Cycle 4'!K$11</f>
        <v>45991</v>
      </c>
      <c r="L11" s="322">
        <f>+'PCR Cycle 4'!L$11</f>
        <v>46022</v>
      </c>
      <c r="M11" s="553">
        <f>+'PCR Cycle 4'!M$11</f>
        <v>46053</v>
      </c>
      <c r="AA11" s="1"/>
      <c r="AB11" s="1"/>
      <c r="AC11" s="1"/>
      <c r="AD11" s="1"/>
      <c r="AE11" s="1"/>
      <c r="AF11" s="1"/>
      <c r="AG11" s="1"/>
      <c r="AH11" s="1"/>
      <c r="AI11" s="1"/>
      <c r="AJ11" s="1"/>
    </row>
    <row r="12" spans="1:36" x14ac:dyDescent="0.25">
      <c r="A12" s="45" t="s">
        <v>3</v>
      </c>
      <c r="C12" s="94">
        <v>-371587.93999999994</v>
      </c>
      <c r="D12" s="235"/>
      <c r="E12" s="103">
        <f t="shared" ref="E12:L12" si="7">SUM(E21:E24)</f>
        <v>185793.96999999997</v>
      </c>
      <c r="F12" s="103">
        <f t="shared" si="7"/>
        <v>185793.96999999997</v>
      </c>
      <c r="G12" s="104">
        <f t="shared" si="7"/>
        <v>185793.96999999997</v>
      </c>
      <c r="H12" s="15">
        <f t="shared" si="7"/>
        <v>188990.82</v>
      </c>
      <c r="I12" s="54">
        <f t="shared" si="7"/>
        <v>188990.82</v>
      </c>
      <c r="J12" s="150">
        <f t="shared" si="7"/>
        <v>188990.82</v>
      </c>
      <c r="K12" s="143">
        <f t="shared" si="7"/>
        <v>188990.82</v>
      </c>
      <c r="L12" s="75">
        <f t="shared" si="7"/>
        <v>188990.82</v>
      </c>
      <c r="M12" s="76"/>
      <c r="P12" s="166">
        <f>-SUM(K12:M12)</f>
        <v>-377981.64</v>
      </c>
    </row>
    <row r="13" spans="1:36" x14ac:dyDescent="0.25">
      <c r="C13" s="96"/>
      <c r="D13" s="137"/>
      <c r="E13" s="16"/>
      <c r="F13" s="16"/>
      <c r="G13" s="16"/>
      <c r="H13" s="9"/>
      <c r="I13" s="16"/>
      <c r="J13" s="10"/>
      <c r="K13" s="30"/>
      <c r="L13" s="30"/>
      <c r="M13" s="28"/>
    </row>
    <row r="14" spans="1:36" x14ac:dyDescent="0.25">
      <c r="A14" s="45" t="s">
        <v>76</v>
      </c>
      <c r="C14" s="96"/>
      <c r="D14" s="137"/>
      <c r="E14" s="17"/>
      <c r="F14" s="17"/>
      <c r="G14" s="17"/>
      <c r="H14" s="88"/>
      <c r="I14" s="17"/>
      <c r="J14" s="151"/>
      <c r="K14" s="30"/>
      <c r="L14" s="30"/>
      <c r="M14" s="28"/>
      <c r="N14" s="408" t="s">
        <v>44</v>
      </c>
      <c r="O14" s="38"/>
    </row>
    <row r="15" spans="1:36" x14ac:dyDescent="0.25">
      <c r="A15" s="45" t="s">
        <v>22</v>
      </c>
      <c r="C15" s="94">
        <v>-338657.03</v>
      </c>
      <c r="D15" s="235"/>
      <c r="E15" s="123">
        <f>'[9]May 2025'!$G111</f>
        <v>76304.38</v>
      </c>
      <c r="F15" s="123">
        <f>'[9]June 2025'!$G111</f>
        <v>96279.11</v>
      </c>
      <c r="G15" s="123">
        <f>'[9]July 2025'!$G111</f>
        <v>150235.25</v>
      </c>
      <c r="H15" s="15">
        <f>'[9]August 2025'!$G111</f>
        <v>201873.33</v>
      </c>
      <c r="I15" s="54">
        <f>'[9]Sept 2025'!$G111</f>
        <v>165267.06</v>
      </c>
      <c r="J15" s="150">
        <f>'[9]EMW Oct25'!$G122</f>
        <v>150366.66000000085</v>
      </c>
      <c r="K15" s="113">
        <f>ROUND('PCR Cycle 4'!K20*$N15,2)</f>
        <v>126966.03</v>
      </c>
      <c r="L15" s="40">
        <f>ROUND('PCR Cycle 4'!L20*$N15,2)</f>
        <v>170247.53</v>
      </c>
      <c r="M15" s="60">
        <f>ROUND('PCR Cycle 4'!M20*$N15,2)</f>
        <v>205881.55</v>
      </c>
      <c r="N15" s="71">
        <v>5.1000000000000004E-4</v>
      </c>
      <c r="O15" s="4"/>
      <c r="P15" s="166">
        <f t="shared" ref="P15:P18" si="8">-SUM(K15:M15)</f>
        <v>-503095.11</v>
      </c>
    </row>
    <row r="16" spans="1:36" x14ac:dyDescent="0.25">
      <c r="A16" s="45" t="s">
        <v>119</v>
      </c>
      <c r="C16" s="94">
        <v>-73751.009999999995</v>
      </c>
      <c r="D16" s="235"/>
      <c r="E16" s="439">
        <f>'[9]May 2025'!$G112</f>
        <v>22410.3</v>
      </c>
      <c r="F16" s="123">
        <f>'[9]June 2025'!$G112</f>
        <v>25517.19</v>
      </c>
      <c r="G16" s="123">
        <f>'[9]July 2025'!$G112</f>
        <v>32441.54</v>
      </c>
      <c r="H16" s="15">
        <f>'[9]August 2025'!$G112</f>
        <v>59941.22</v>
      </c>
      <c r="I16" s="54">
        <f>'[9]Sept 2025'!$G112</f>
        <v>55602.6</v>
      </c>
      <c r="J16" s="455">
        <f>'[9]EMW Oct25'!$G123</f>
        <v>45806.9</v>
      </c>
      <c r="K16" s="113">
        <f>ROUND('PCR Cycle 4'!K21*$N16,2)</f>
        <v>40590.730000000003</v>
      </c>
      <c r="L16" s="40">
        <f>ROUND('PCR Cycle 4'!L21*$N16,2)</f>
        <v>41840.22</v>
      </c>
      <c r="M16" s="60">
        <f>ROUND('PCR Cycle 4'!M21*$N16,2)</f>
        <v>52126.48</v>
      </c>
      <c r="N16" s="416">
        <v>4.3000000000000004E-4</v>
      </c>
      <c r="O16" s="4"/>
      <c r="P16" s="166">
        <f t="shared" si="8"/>
        <v>-134557.43000000002</v>
      </c>
    </row>
    <row r="17" spans="1:16" x14ac:dyDescent="0.25">
      <c r="A17" s="45" t="s">
        <v>120</v>
      </c>
      <c r="C17" s="94">
        <v>-115322.61</v>
      </c>
      <c r="D17" s="235"/>
      <c r="E17" s="439">
        <f>'[9]May 2025'!$G113</f>
        <v>35207.910000000003</v>
      </c>
      <c r="F17" s="123">
        <f>'[9]June 2025'!$G113</f>
        <v>39091.74</v>
      </c>
      <c r="G17" s="123">
        <f>'[9]July 2025'!$G113</f>
        <v>45792.57</v>
      </c>
      <c r="H17" s="15">
        <f>'[9]August 2025'!$G113</f>
        <v>64859.25</v>
      </c>
      <c r="I17" s="54">
        <f>'[9]Sept 2025'!$G113</f>
        <v>63884.09</v>
      </c>
      <c r="J17" s="455">
        <f>'[9]EMW Oct25'!$G124</f>
        <v>53243.27</v>
      </c>
      <c r="K17" s="113">
        <f>ROUND('PCR Cycle 4'!K22*$N17,2)</f>
        <v>48609.43</v>
      </c>
      <c r="L17" s="40">
        <f>ROUND('PCR Cycle 4'!L22*$N17,2)</f>
        <v>50105.760000000002</v>
      </c>
      <c r="M17" s="60">
        <f>ROUND('PCR Cycle 4'!M22*$N17,2)</f>
        <v>62424.07</v>
      </c>
      <c r="N17" s="416">
        <v>6.3000000000000003E-4</v>
      </c>
      <c r="O17" s="4"/>
      <c r="P17" s="166">
        <f t="shared" si="8"/>
        <v>-161139.26</v>
      </c>
    </row>
    <row r="18" spans="1:16" x14ac:dyDescent="0.25">
      <c r="A18" s="45" t="s">
        <v>121</v>
      </c>
      <c r="C18" s="94">
        <v>-81935.23</v>
      </c>
      <c r="D18" s="235"/>
      <c r="E18" s="439">
        <f>'[9]May 2025'!$G114</f>
        <v>30711.97</v>
      </c>
      <c r="F18" s="123">
        <f>'[9]June 2025'!$G114</f>
        <v>33309.660000000003</v>
      </c>
      <c r="G18" s="123">
        <f>'[9]July 2025'!$G114</f>
        <v>36013.24</v>
      </c>
      <c r="H18" s="15">
        <f>'[9]August 2025'!$G114</f>
        <v>45305.84</v>
      </c>
      <c r="I18" s="54">
        <f>'[9]Sept 2025'!$G114</f>
        <v>48770.77</v>
      </c>
      <c r="J18" s="455">
        <f>'[9]EMW Oct25'!$G125</f>
        <v>51641.8</v>
      </c>
      <c r="K18" s="113">
        <f>ROUND('PCR Cycle 4'!K23*$N18,2)</f>
        <v>31624.85</v>
      </c>
      <c r="L18" s="40">
        <f>ROUND('PCR Cycle 4'!L23*$N18,2)</f>
        <v>32598.35</v>
      </c>
      <c r="M18" s="60">
        <f>ROUND('PCR Cycle 4'!M23*$N18,2)</f>
        <v>40612.53</v>
      </c>
      <c r="N18" s="416">
        <v>5.9000000000000003E-4</v>
      </c>
      <c r="O18" s="4"/>
      <c r="P18" s="166">
        <f t="shared" si="8"/>
        <v>-104835.73</v>
      </c>
    </row>
    <row r="19" spans="1:16" x14ac:dyDescent="0.25">
      <c r="C19" s="66"/>
      <c r="D19" s="67"/>
      <c r="E19" s="67"/>
      <c r="F19" s="67"/>
      <c r="G19" s="67"/>
      <c r="H19" s="66"/>
      <c r="I19" s="67"/>
      <c r="J19" s="152"/>
      <c r="K19" s="55"/>
      <c r="L19" s="55"/>
      <c r="M19" s="12"/>
      <c r="O19" s="4"/>
    </row>
    <row r="20" spans="1:16" x14ac:dyDescent="0.25">
      <c r="A20" s="45" t="s">
        <v>78</v>
      </c>
      <c r="C20" s="35"/>
      <c r="D20" s="36"/>
      <c r="E20" s="36"/>
      <c r="F20" s="36"/>
      <c r="G20" s="36"/>
      <c r="H20" s="35"/>
      <c r="I20" s="36"/>
      <c r="J20" s="154"/>
      <c r="K20" s="51"/>
      <c r="L20" s="51"/>
      <c r="M20" s="37"/>
    </row>
    <row r="21" spans="1:16" x14ac:dyDescent="0.25">
      <c r="A21" s="45" t="s">
        <v>22</v>
      </c>
      <c r="C21" s="94">
        <v>-216454.34</v>
      </c>
      <c r="D21" s="235"/>
      <c r="E21" s="103">
        <f>ROUND((+'EO Cycle 3'!$F96/12+'EO Cycle 3'!$F85/12+'EO Cycle 3'!$F118/12),2)</f>
        <v>108227.17</v>
      </c>
      <c r="F21" s="103">
        <f>ROUND((+'EO Cycle 3'!$F96/12+'EO Cycle 3'!$F85/12+'EO Cycle 3'!$F118/12),2)</f>
        <v>108227.17</v>
      </c>
      <c r="G21" s="103">
        <f>ROUND((+'EO Cycle 3'!$F96/12+'EO Cycle 3'!$F85/12+'EO Cycle 3'!$F118/12),2)</f>
        <v>108227.17</v>
      </c>
      <c r="H21" s="15">
        <f>ROUND((+'EO Cycle 3'!$F96/12+'EO Cycle 3'!$F107/12+'EO Cycle 3'!$F129/12),2)</f>
        <v>96765.56</v>
      </c>
      <c r="I21" s="54">
        <f>ROUND((+'EO Cycle 3'!$F96/12+'EO Cycle 3'!$F107/12+'EO Cycle 3'!$F129/12),2)</f>
        <v>96765.56</v>
      </c>
      <c r="J21" s="150">
        <f>ROUND((+'EO Cycle 3'!$F96/12+'EO Cycle 3'!$F107/12+'EO Cycle 3'!$F129/12),2)</f>
        <v>96765.56</v>
      </c>
      <c r="K21" s="129">
        <f>ROUND((+'EO Cycle 3'!$F96/12+'EO Cycle 3'!$F107/12+'EO Cycle 3'!$F129/12),2)</f>
        <v>96765.56</v>
      </c>
      <c r="L21" s="129">
        <f>ROUND((+'EO Cycle 3'!$F96/12+'EO Cycle 3'!$F107/12+'EO Cycle 3'!$F129/12),2)</f>
        <v>96765.56</v>
      </c>
      <c r="M21" s="76"/>
      <c r="P21" s="166">
        <f t="shared" ref="P21:P26" si="9">-SUM(K21:M21)</f>
        <v>-193531.12</v>
      </c>
    </row>
    <row r="22" spans="1:16" x14ac:dyDescent="0.25">
      <c r="A22" s="45" t="s">
        <v>119</v>
      </c>
      <c r="C22" s="94">
        <v>-55243.78</v>
      </c>
      <c r="D22" s="235"/>
      <c r="E22" s="431">
        <f>ROUND((+'EO Cycle 3'!$F100/12+'EO Cycle 3'!$F89/12+'EO Cycle 3'!$F122/12),2)</f>
        <v>27621.89</v>
      </c>
      <c r="F22" s="103">
        <f>ROUND((+'EO Cycle 3'!$F100/12+'EO Cycle 3'!$F89/12+'EO Cycle 3'!$F122/12),2)</f>
        <v>27621.89</v>
      </c>
      <c r="G22" s="103">
        <f>ROUND((+'EO Cycle 3'!$F100/12+'EO Cycle 3'!$F89/12+'EO Cycle 3'!$F122/12),2)</f>
        <v>27621.89</v>
      </c>
      <c r="H22" s="15">
        <f>ROUND((+'EO Cycle 3'!$F100/12+'EO Cycle 3'!$F111/12+'EO Cycle 3'!$F133/12),2)</f>
        <v>33630.160000000003</v>
      </c>
      <c r="I22" s="54">
        <f>ROUND((+'EO Cycle 3'!$F100/12+'EO Cycle 3'!$F111/12+'EO Cycle 3'!$F133/12),2)</f>
        <v>33630.160000000003</v>
      </c>
      <c r="J22" s="150">
        <f>ROUND((+'EO Cycle 3'!$F100/12+'EO Cycle 3'!$F111/12+'EO Cycle 3'!$F133/12),2)</f>
        <v>33630.160000000003</v>
      </c>
      <c r="K22" s="129">
        <f>ROUND((+'EO Cycle 3'!$F100/12+'EO Cycle 3'!$F111/12+'EO Cycle 3'!$F133/12),2)</f>
        <v>33630.160000000003</v>
      </c>
      <c r="L22" s="129">
        <f>ROUND((+'EO Cycle 3'!$F100/12+'EO Cycle 3'!$F111/12+'EO Cycle 3'!$F133/12),2)</f>
        <v>33630.160000000003</v>
      </c>
      <c r="M22" s="76"/>
      <c r="P22" s="166">
        <f t="shared" si="9"/>
        <v>-67260.320000000007</v>
      </c>
    </row>
    <row r="23" spans="1:16" x14ac:dyDescent="0.25">
      <c r="A23" s="45" t="s">
        <v>120</v>
      </c>
      <c r="C23" s="94">
        <v>-56932.54</v>
      </c>
      <c r="D23" s="235"/>
      <c r="E23" s="431">
        <f>ROUND((+'EO Cycle 3'!$F101/12+'EO Cycle 3'!$F90/12+'EO Cycle 3'!$F123/12),2)</f>
        <v>28466.27</v>
      </c>
      <c r="F23" s="103">
        <f>ROUND((+'EO Cycle 3'!$F101/12+'EO Cycle 3'!$F90/12+'EO Cycle 3'!$F123/12),2)</f>
        <v>28466.27</v>
      </c>
      <c r="G23" s="103">
        <f>ROUND((+'EO Cycle 3'!$F101/12+'EO Cycle 3'!$F90/12+'EO Cycle 3'!$F123/12),2)</f>
        <v>28466.27</v>
      </c>
      <c r="H23" s="370">
        <f>ROUND((+'EO Cycle 3'!$F101/12+'EO Cycle 3'!$F112/12+'EO Cycle 3'!$F134/12),2)</f>
        <v>35039.15</v>
      </c>
      <c r="I23" s="54">
        <f>ROUND((+'EO Cycle 3'!$F101/12+'EO Cycle 3'!$F112/12+'EO Cycle 3'!$F134/12),2)</f>
        <v>35039.15</v>
      </c>
      <c r="J23" s="150">
        <f>ROUND((+'EO Cycle 3'!$F101/12+'EO Cycle 3'!$F112/12+'EO Cycle 3'!$F134/12),2)</f>
        <v>35039.15</v>
      </c>
      <c r="K23" s="129">
        <f>ROUND((+'EO Cycle 3'!$F101/12+'EO Cycle 3'!$F112/12+'EO Cycle 3'!$F134/12),2)</f>
        <v>35039.15</v>
      </c>
      <c r="L23" s="129">
        <f>ROUND((+'EO Cycle 3'!$F101/12+'EO Cycle 3'!$F112/12+'EO Cycle 3'!$F134/12),2)</f>
        <v>35039.15</v>
      </c>
      <c r="M23" s="76"/>
      <c r="P23" s="166">
        <f t="shared" si="9"/>
        <v>-70078.3</v>
      </c>
    </row>
    <row r="24" spans="1:16" x14ac:dyDescent="0.25">
      <c r="A24" s="45" t="s">
        <v>121</v>
      </c>
      <c r="C24" s="94">
        <v>-42957.279999999999</v>
      </c>
      <c r="D24" s="235"/>
      <c r="E24" s="431">
        <f>ROUND((+'EO Cycle 3'!$F102/12+'EO Cycle 3'!$F91/12+'EO Cycle 3'!$F124/12),2)</f>
        <v>21478.639999999999</v>
      </c>
      <c r="F24" s="103">
        <f>ROUND((+'EO Cycle 3'!$F102/12+'EO Cycle 3'!$F91/12+'EO Cycle 3'!$F124/12),2)</f>
        <v>21478.639999999999</v>
      </c>
      <c r="G24" s="103">
        <f>ROUND((+'EO Cycle 3'!$F102/12+'EO Cycle 3'!$F91/12+'EO Cycle 3'!$F124/12),2)</f>
        <v>21478.639999999999</v>
      </c>
      <c r="H24" s="370">
        <f>ROUND((+'EO Cycle 3'!$F102/12+'EO Cycle 3'!$F113/12+'EO Cycle 3'!$F135/12),2)</f>
        <v>23555.95</v>
      </c>
      <c r="I24" s="54">
        <f>ROUND((+'EO Cycle 3'!$F102/12+'EO Cycle 3'!$F113/12+'EO Cycle 3'!$F135/12),2)</f>
        <v>23555.95</v>
      </c>
      <c r="J24" s="150">
        <f>ROUND((+'EO Cycle 3'!$F102/12+'EO Cycle 3'!$F113/12+'EO Cycle 3'!$F135/12),2)</f>
        <v>23555.95</v>
      </c>
      <c r="K24" s="129">
        <f>ROUND((+'EO Cycle 3'!$F102/12+'EO Cycle 3'!$F113/12+'EO Cycle 3'!$F135/12),2)</f>
        <v>23555.95</v>
      </c>
      <c r="L24" s="129">
        <f>ROUND((+'EO Cycle 3'!$F102/12+'EO Cycle 3'!$F113/12+'EO Cycle 3'!$F135/12),2)</f>
        <v>23555.95</v>
      </c>
      <c r="M24" s="76"/>
      <c r="O24" s="46"/>
      <c r="P24" s="166">
        <f t="shared" si="9"/>
        <v>-47111.9</v>
      </c>
    </row>
    <row r="25" spans="1:16" x14ac:dyDescent="0.25">
      <c r="C25" s="96"/>
      <c r="D25" s="137"/>
      <c r="E25" s="17"/>
      <c r="F25" s="17"/>
      <c r="G25" s="17"/>
      <c r="H25" s="88"/>
      <c r="I25" s="17"/>
      <c r="J25" s="151"/>
      <c r="K25" s="55"/>
      <c r="L25" s="55"/>
      <c r="M25" s="12"/>
    </row>
    <row r="26" spans="1:16" ht="15.75" thickBot="1" x14ac:dyDescent="0.3">
      <c r="A26" s="3" t="s">
        <v>12</v>
      </c>
      <c r="B26" s="3"/>
      <c r="C26" s="98">
        <v>-13064.21</v>
      </c>
      <c r="D26" s="328"/>
      <c r="E26" s="439">
        <f>6652-0.06</f>
        <v>6651.94</v>
      </c>
      <c r="F26" s="439">
        <f>6701.81-0.04</f>
        <v>6701.77</v>
      </c>
      <c r="G26" s="440">
        <f>6558.29-0.03</f>
        <v>6558.26</v>
      </c>
      <c r="H26" s="377">
        <f>5960.36-0.03</f>
        <v>5960.33</v>
      </c>
      <c r="I26" s="437">
        <f>5061.94-0.04</f>
        <v>5061.8999999999996</v>
      </c>
      <c r="J26" s="461">
        <f>4384.08-0.05</f>
        <v>4384.03</v>
      </c>
      <c r="K26" s="146">
        <f>ROUND((SUM(J35:J38)+SUM(J42:J45)+SUM(K29:K32)/2)*K$40,2)-0.01</f>
        <v>4020.2299999999996</v>
      </c>
      <c r="L26" s="131">
        <f>ROUND((SUM(K35:K38)+SUM(K42:K45)+SUM(L29:L32)/2)*L$40,2)-0.01</f>
        <v>3668.8599999999997</v>
      </c>
      <c r="M26" s="79"/>
      <c r="P26" s="166">
        <f t="shared" si="9"/>
        <v>-7689.0899999999992</v>
      </c>
    </row>
    <row r="27" spans="1:16" x14ac:dyDescent="0.25">
      <c r="C27" s="63"/>
      <c r="D27" s="32"/>
      <c r="E27" s="135"/>
      <c r="F27" s="135"/>
      <c r="G27" s="136"/>
      <c r="H27" s="63"/>
      <c r="I27" s="32"/>
      <c r="J27" s="156"/>
      <c r="K27" s="33"/>
      <c r="L27" s="33"/>
      <c r="M27" s="59"/>
    </row>
    <row r="28" spans="1:16" x14ac:dyDescent="0.25">
      <c r="A28" s="45" t="s">
        <v>46</v>
      </c>
      <c r="C28" s="64"/>
      <c r="D28" s="34"/>
      <c r="E28" s="136"/>
      <c r="F28" s="136"/>
      <c r="G28" s="136"/>
      <c r="H28" s="64"/>
      <c r="I28" s="34"/>
      <c r="J28" s="157"/>
      <c r="K28" s="33"/>
      <c r="L28" s="33"/>
      <c r="M28" s="59"/>
    </row>
    <row r="29" spans="1:16" x14ac:dyDescent="0.25">
      <c r="A29" s="45" t="s">
        <v>22</v>
      </c>
      <c r="C29" s="97">
        <f t="shared" ref="C29:M32" si="10">C21-C15</f>
        <v>122202.69000000003</v>
      </c>
      <c r="D29" s="323">
        <f t="shared" ref="D29" si="11">D21-D15</f>
        <v>0</v>
      </c>
      <c r="E29" s="40">
        <f t="shared" si="10"/>
        <v>31922.789999999994</v>
      </c>
      <c r="F29" s="40">
        <f t="shared" si="10"/>
        <v>11948.059999999998</v>
      </c>
      <c r="G29" s="102">
        <f t="shared" si="10"/>
        <v>-42008.08</v>
      </c>
      <c r="H29" s="39">
        <f t="shared" si="10"/>
        <v>-105107.76999999999</v>
      </c>
      <c r="I29" s="40">
        <f t="shared" si="10"/>
        <v>-68501.5</v>
      </c>
      <c r="J29" s="60">
        <f t="shared" si="10"/>
        <v>-53601.10000000085</v>
      </c>
      <c r="K29" s="113">
        <f t="shared" si="10"/>
        <v>-30200.47</v>
      </c>
      <c r="L29" s="40">
        <f t="shared" si="10"/>
        <v>-73481.97</v>
      </c>
      <c r="M29" s="60">
        <f t="shared" si="10"/>
        <v>-205881.55</v>
      </c>
    </row>
    <row r="30" spans="1:16" x14ac:dyDescent="0.25">
      <c r="A30" s="45" t="s">
        <v>119</v>
      </c>
      <c r="C30" s="97">
        <f t="shared" si="10"/>
        <v>18507.229999999996</v>
      </c>
      <c r="D30" s="323">
        <f t="shared" ref="D30" si="12">D22-D16</f>
        <v>0</v>
      </c>
      <c r="E30" s="40">
        <f t="shared" si="10"/>
        <v>5211.59</v>
      </c>
      <c r="F30" s="40">
        <f t="shared" si="10"/>
        <v>2104.7000000000007</v>
      </c>
      <c r="G30" s="102">
        <f t="shared" si="10"/>
        <v>-4819.6500000000015</v>
      </c>
      <c r="H30" s="39">
        <f t="shared" si="10"/>
        <v>-26311.059999999998</v>
      </c>
      <c r="I30" s="40">
        <f t="shared" si="10"/>
        <v>-21972.439999999995</v>
      </c>
      <c r="J30" s="60">
        <f t="shared" si="10"/>
        <v>-12176.739999999998</v>
      </c>
      <c r="K30" s="113">
        <f t="shared" si="10"/>
        <v>-6960.57</v>
      </c>
      <c r="L30" s="40">
        <f t="shared" si="10"/>
        <v>-8210.0599999999977</v>
      </c>
      <c r="M30" s="60">
        <f t="shared" si="10"/>
        <v>-52126.48</v>
      </c>
    </row>
    <row r="31" spans="1:16" x14ac:dyDescent="0.25">
      <c r="A31" s="45" t="s">
        <v>120</v>
      </c>
      <c r="C31" s="97">
        <f t="shared" si="10"/>
        <v>58390.07</v>
      </c>
      <c r="D31" s="323">
        <f t="shared" ref="D31" si="13">D23-D17</f>
        <v>0</v>
      </c>
      <c r="E31" s="40">
        <f t="shared" si="10"/>
        <v>-6741.6400000000031</v>
      </c>
      <c r="F31" s="40">
        <f t="shared" si="10"/>
        <v>-10625.469999999998</v>
      </c>
      <c r="G31" s="102">
        <f t="shared" si="10"/>
        <v>-17326.3</v>
      </c>
      <c r="H31" s="39">
        <f t="shared" si="10"/>
        <v>-29820.1</v>
      </c>
      <c r="I31" s="40">
        <f t="shared" si="10"/>
        <v>-28844.939999999995</v>
      </c>
      <c r="J31" s="60">
        <f t="shared" si="10"/>
        <v>-18204.119999999995</v>
      </c>
      <c r="K31" s="113">
        <f t="shared" si="10"/>
        <v>-13570.279999999999</v>
      </c>
      <c r="L31" s="40">
        <f t="shared" si="10"/>
        <v>-15066.61</v>
      </c>
      <c r="M31" s="60">
        <f t="shared" si="10"/>
        <v>-62424.07</v>
      </c>
    </row>
    <row r="32" spans="1:16" x14ac:dyDescent="0.25">
      <c r="A32" s="45" t="s">
        <v>121</v>
      </c>
      <c r="C32" s="97">
        <f t="shared" si="10"/>
        <v>38977.949999999997</v>
      </c>
      <c r="D32" s="323">
        <f t="shared" ref="D32" si="14">D24-D18</f>
        <v>0</v>
      </c>
      <c r="E32" s="40">
        <f t="shared" si="10"/>
        <v>-9233.3300000000017</v>
      </c>
      <c r="F32" s="40">
        <f t="shared" si="10"/>
        <v>-11831.020000000004</v>
      </c>
      <c r="G32" s="102">
        <f t="shared" si="10"/>
        <v>-14534.599999999999</v>
      </c>
      <c r="H32" s="39">
        <f t="shared" si="10"/>
        <v>-21749.889999999996</v>
      </c>
      <c r="I32" s="40">
        <f t="shared" si="10"/>
        <v>-25214.819999999996</v>
      </c>
      <c r="J32" s="60">
        <f t="shared" si="10"/>
        <v>-28085.850000000002</v>
      </c>
      <c r="K32" s="113">
        <f t="shared" si="10"/>
        <v>-8068.8999999999978</v>
      </c>
      <c r="L32" s="40">
        <f t="shared" si="10"/>
        <v>-9042.3999999999978</v>
      </c>
      <c r="M32" s="60">
        <f t="shared" si="10"/>
        <v>-40612.53</v>
      </c>
    </row>
    <row r="33" spans="1:16" x14ac:dyDescent="0.25">
      <c r="C33" s="96"/>
      <c r="D33" s="137"/>
      <c r="E33" s="16"/>
      <c r="F33" s="16"/>
      <c r="G33" s="16"/>
      <c r="H33" s="9"/>
      <c r="I33" s="16"/>
      <c r="J33" s="10"/>
      <c r="K33" s="16"/>
      <c r="L33" s="16"/>
      <c r="M33" s="10"/>
    </row>
    <row r="34" spans="1:16" ht="15.75" thickBot="1" x14ac:dyDescent="0.3">
      <c r="A34" s="45" t="s">
        <v>47</v>
      </c>
      <c r="C34" s="96"/>
      <c r="D34" s="137"/>
      <c r="E34" s="16"/>
      <c r="F34" s="16"/>
      <c r="G34" s="16"/>
      <c r="H34" s="9"/>
      <c r="I34" s="16"/>
      <c r="J34" s="10"/>
      <c r="K34" s="16"/>
      <c r="L34" s="16"/>
      <c r="M34" s="10"/>
    </row>
    <row r="35" spans="1:16" x14ac:dyDescent="0.25">
      <c r="A35" s="45" t="s">
        <v>22</v>
      </c>
      <c r="B35" s="306">
        <v>737460.51000000036</v>
      </c>
      <c r="C35" s="97">
        <f t="shared" ref="C35:M38" si="15">B35+C29+B42</f>
        <v>859663.20000000042</v>
      </c>
      <c r="D35" s="323"/>
      <c r="E35" s="40">
        <f>C35+E29+C42+D29+D42</f>
        <v>883515.89000000048</v>
      </c>
      <c r="F35" s="40">
        <f t="shared" si="15"/>
        <v>899568.92000000039</v>
      </c>
      <c r="G35" s="102">
        <f t="shared" si="15"/>
        <v>861781.57000000041</v>
      </c>
      <c r="H35" s="39">
        <f t="shared" si="15"/>
        <v>760862.97000000044</v>
      </c>
      <c r="I35" s="40">
        <f t="shared" si="15"/>
        <v>696216.1800000004</v>
      </c>
      <c r="J35" s="60">
        <f t="shared" si="15"/>
        <v>645976.66999999958</v>
      </c>
      <c r="K35" s="113">
        <f t="shared" si="15"/>
        <v>618796.02999999956</v>
      </c>
      <c r="L35" s="40">
        <f t="shared" si="15"/>
        <v>548159.36999999965</v>
      </c>
      <c r="M35" s="60">
        <f t="shared" si="15"/>
        <v>344903.20999999967</v>
      </c>
    </row>
    <row r="36" spans="1:16" x14ac:dyDescent="0.25">
      <c r="A36" s="45" t="s">
        <v>119</v>
      </c>
      <c r="B36" s="307">
        <v>104844.30999999998</v>
      </c>
      <c r="C36" s="97">
        <f t="shared" si="15"/>
        <v>123351.53999999998</v>
      </c>
      <c r="D36" s="323"/>
      <c r="E36" s="40">
        <f t="shared" ref="E36:E38" si="16">C36+E30+C43+D36+D43</f>
        <v>127382.84999999998</v>
      </c>
      <c r="F36" s="40">
        <f t="shared" si="15"/>
        <v>130077.94999999997</v>
      </c>
      <c r="G36" s="102">
        <f t="shared" si="15"/>
        <v>125867.72999999995</v>
      </c>
      <c r="H36" s="39">
        <f t="shared" si="15"/>
        <v>100165.39999999995</v>
      </c>
      <c r="I36" s="40">
        <f t="shared" si="15"/>
        <v>78729.979999999967</v>
      </c>
      <c r="J36" s="60">
        <f t="shared" si="15"/>
        <v>66966.109999999957</v>
      </c>
      <c r="K36" s="113">
        <f t="shared" si="15"/>
        <v>60333.449999999961</v>
      </c>
      <c r="L36" s="40">
        <f t="shared" si="15"/>
        <v>52409.819999999963</v>
      </c>
      <c r="M36" s="60">
        <f t="shared" si="15"/>
        <v>537.00999999996009</v>
      </c>
    </row>
    <row r="37" spans="1:16" x14ac:dyDescent="0.25">
      <c r="A37" s="45" t="s">
        <v>120</v>
      </c>
      <c r="B37" s="307">
        <v>209735.67000000004</v>
      </c>
      <c r="C37" s="97">
        <f t="shared" si="15"/>
        <v>268125.74000000005</v>
      </c>
      <c r="D37" s="323"/>
      <c r="E37" s="40">
        <f t="shared" si="16"/>
        <v>258982.12000000002</v>
      </c>
      <c r="F37" s="40">
        <f t="shared" si="15"/>
        <v>249598.01</v>
      </c>
      <c r="G37" s="102">
        <f t="shared" si="15"/>
        <v>233475.74000000002</v>
      </c>
      <c r="H37" s="39">
        <f t="shared" si="15"/>
        <v>204804.69</v>
      </c>
      <c r="I37" s="40">
        <f t="shared" si="15"/>
        <v>177000.95999999999</v>
      </c>
      <c r="J37" s="60">
        <f t="shared" si="15"/>
        <v>159677.76000000001</v>
      </c>
      <c r="K37" s="113">
        <f t="shared" si="15"/>
        <v>146865.07</v>
      </c>
      <c r="L37" s="40">
        <f t="shared" si="15"/>
        <v>132488.14000000001</v>
      </c>
      <c r="M37" s="60">
        <f t="shared" si="15"/>
        <v>70692.570000000007</v>
      </c>
    </row>
    <row r="38" spans="1:16" ht="15.75" thickBot="1" x14ac:dyDescent="0.3">
      <c r="A38" s="45" t="s">
        <v>121</v>
      </c>
      <c r="B38" s="308">
        <v>118203.87000000001</v>
      </c>
      <c r="C38" s="97">
        <f t="shared" si="15"/>
        <v>157181.82</v>
      </c>
      <c r="D38" s="323"/>
      <c r="E38" s="40">
        <f t="shared" si="16"/>
        <v>146536.63999999998</v>
      </c>
      <c r="F38" s="40">
        <f t="shared" si="15"/>
        <v>135420.82999999999</v>
      </c>
      <c r="G38" s="102">
        <f t="shared" si="15"/>
        <v>121553.80999999998</v>
      </c>
      <c r="H38" s="39">
        <f t="shared" si="15"/>
        <v>100415.22999999998</v>
      </c>
      <c r="I38" s="40">
        <f t="shared" si="15"/>
        <v>75727.799999999988</v>
      </c>
      <c r="J38" s="60">
        <f t="shared" si="15"/>
        <v>48048.469999999979</v>
      </c>
      <c r="K38" s="113">
        <f t="shared" si="15"/>
        <v>40258.269999999975</v>
      </c>
      <c r="L38" s="40">
        <f t="shared" si="15"/>
        <v>31414.679999999978</v>
      </c>
      <c r="M38" s="60">
        <f t="shared" si="15"/>
        <v>-9036.5500000000211</v>
      </c>
    </row>
    <row r="39" spans="1:16" x14ac:dyDescent="0.25">
      <c r="C39" s="96"/>
      <c r="D39" s="137"/>
      <c r="E39" s="16"/>
      <c r="F39" s="16"/>
      <c r="G39" s="16"/>
      <c r="H39" s="9"/>
      <c r="I39" s="16"/>
      <c r="J39" s="10"/>
      <c r="K39" s="16"/>
      <c r="L39" s="16"/>
      <c r="M39" s="10"/>
    </row>
    <row r="40" spans="1:16" x14ac:dyDescent="0.25">
      <c r="A40" s="38" t="s">
        <v>77</v>
      </c>
      <c r="B40" s="38"/>
      <c r="C40" s="99"/>
      <c r="D40" s="239"/>
      <c r="E40" s="289">
        <f>'PCR Cycle 3'!E45</f>
        <v>4.7316600000000004E-3</v>
      </c>
      <c r="F40" s="289">
        <f>'PCR Cycle 3'!F45</f>
        <v>4.7233199999999996E-3</v>
      </c>
      <c r="G40" s="289">
        <f>'PCR Cycle 3'!G45</f>
        <v>4.7454000000000003E-3</v>
      </c>
      <c r="H40" s="290">
        <f>'PCR Cycle 3'!H45</f>
        <v>4.7389099999999998E-3</v>
      </c>
      <c r="I40" s="289">
        <f>'PCR Cycle 3'!I45</f>
        <v>4.6019700000000004E-3</v>
      </c>
      <c r="J40" s="291">
        <f>'PCR Cycle 3'!J45</f>
        <v>4.4886099999999996E-3</v>
      </c>
      <c r="K40" s="80">
        <f>J40</f>
        <v>4.4886099999999996E-3</v>
      </c>
      <c r="L40" s="80">
        <f>J40</f>
        <v>4.4886099999999996E-3</v>
      </c>
      <c r="M40" s="82"/>
    </row>
    <row r="41" spans="1:16" x14ac:dyDescent="0.25">
      <c r="A41" s="38" t="s">
        <v>31</v>
      </c>
      <c r="B41" s="38"/>
      <c r="C41" s="100"/>
      <c r="D41" s="324"/>
      <c r="E41" s="80"/>
      <c r="F41" s="80"/>
      <c r="G41" s="80"/>
      <c r="H41" s="81"/>
      <c r="I41" s="80"/>
      <c r="J41" s="82"/>
      <c r="K41" s="80"/>
      <c r="L41" s="80"/>
      <c r="M41" s="82"/>
    </row>
    <row r="42" spans="1:16" x14ac:dyDescent="0.25">
      <c r="A42" s="45" t="s">
        <v>22</v>
      </c>
      <c r="C42" s="309">
        <v>-8070.1</v>
      </c>
      <c r="D42" s="329"/>
      <c r="E42" s="40">
        <f>ROUND((C35+C42+E29/2)*E$40,2)</f>
        <v>4104.97</v>
      </c>
      <c r="F42" s="40">
        <f t="shared" ref="F42:M45" si="17">ROUND((E35+E42+F29/2)*F$40,2)</f>
        <v>4220.7299999999996</v>
      </c>
      <c r="G42" s="102">
        <f t="shared" si="17"/>
        <v>4189.17</v>
      </c>
      <c r="H42" s="39">
        <f t="shared" si="17"/>
        <v>3854.71</v>
      </c>
      <c r="I42" s="113">
        <f t="shared" si="17"/>
        <v>3361.59</v>
      </c>
      <c r="J42" s="48">
        <f t="shared" si="17"/>
        <v>3019.83</v>
      </c>
      <c r="K42" s="147">
        <f t="shared" si="17"/>
        <v>2845.31</v>
      </c>
      <c r="L42" s="102">
        <f t="shared" si="17"/>
        <v>2625.39</v>
      </c>
      <c r="M42" s="60">
        <f t="shared" si="17"/>
        <v>0</v>
      </c>
      <c r="P42" s="166">
        <f t="shared" ref="P42:P45" si="18">-SUM(K42:M42)</f>
        <v>-5470.7</v>
      </c>
    </row>
    <row r="43" spans="1:16" x14ac:dyDescent="0.25">
      <c r="A43" s="45" t="s">
        <v>119</v>
      </c>
      <c r="C43" s="309">
        <v>-1180.28</v>
      </c>
      <c r="D43" s="329"/>
      <c r="E43" s="40">
        <f>ROUND((C36+C43+E30/2)*E$40,2)</f>
        <v>590.4</v>
      </c>
      <c r="F43" s="40">
        <f t="shared" si="17"/>
        <v>609.42999999999995</v>
      </c>
      <c r="G43" s="102">
        <f t="shared" si="17"/>
        <v>608.73</v>
      </c>
      <c r="H43" s="39">
        <f t="shared" si="17"/>
        <v>537.02</v>
      </c>
      <c r="I43" s="113">
        <f t="shared" si="17"/>
        <v>412.87</v>
      </c>
      <c r="J43" s="48">
        <f t="shared" si="17"/>
        <v>327.91</v>
      </c>
      <c r="K43" s="147">
        <f t="shared" si="17"/>
        <v>286.43</v>
      </c>
      <c r="L43" s="102">
        <f t="shared" si="17"/>
        <v>253.67</v>
      </c>
      <c r="M43" s="60">
        <f t="shared" si="17"/>
        <v>0</v>
      </c>
      <c r="P43" s="166">
        <f t="shared" si="18"/>
        <v>-540.1</v>
      </c>
    </row>
    <row r="44" spans="1:16" x14ac:dyDescent="0.25">
      <c r="A44" s="45" t="s">
        <v>120</v>
      </c>
      <c r="C44" s="309">
        <v>-2401.98</v>
      </c>
      <c r="D44" s="329"/>
      <c r="E44" s="40">
        <f>ROUND((C37+C44+E31/2)*E$40,2)</f>
        <v>1241.3599999999999</v>
      </c>
      <c r="F44" s="40">
        <f t="shared" si="17"/>
        <v>1204.03</v>
      </c>
      <c r="G44" s="102">
        <f t="shared" si="17"/>
        <v>1149.05</v>
      </c>
      <c r="H44" s="39">
        <f t="shared" si="17"/>
        <v>1041.21</v>
      </c>
      <c r="I44" s="113">
        <f t="shared" si="17"/>
        <v>880.92</v>
      </c>
      <c r="J44" s="48">
        <f t="shared" si="17"/>
        <v>757.59</v>
      </c>
      <c r="K44" s="147">
        <f t="shared" si="17"/>
        <v>689.68</v>
      </c>
      <c r="L44" s="102">
        <f t="shared" si="17"/>
        <v>628.5</v>
      </c>
      <c r="M44" s="60">
        <f t="shared" si="17"/>
        <v>0</v>
      </c>
      <c r="P44" s="166">
        <f t="shared" si="18"/>
        <v>-1318.1799999999998</v>
      </c>
    </row>
    <row r="45" spans="1:16" ht="15.75" thickBot="1" x14ac:dyDescent="0.3">
      <c r="A45" s="45" t="s">
        <v>121</v>
      </c>
      <c r="C45" s="309">
        <v>-1411.85</v>
      </c>
      <c r="D45" s="329"/>
      <c r="E45" s="40">
        <f>ROUND((C38+C45+E32/2)*E$40,2)</f>
        <v>715.21</v>
      </c>
      <c r="F45" s="40">
        <f t="shared" si="17"/>
        <v>667.58</v>
      </c>
      <c r="G45" s="102">
        <f t="shared" si="17"/>
        <v>611.30999999999995</v>
      </c>
      <c r="H45" s="39">
        <f t="shared" si="17"/>
        <v>527.39</v>
      </c>
      <c r="I45" s="113">
        <f t="shared" si="17"/>
        <v>406.52</v>
      </c>
      <c r="J45" s="48">
        <f t="shared" si="17"/>
        <v>278.7</v>
      </c>
      <c r="K45" s="147">
        <f t="shared" si="17"/>
        <v>198.81</v>
      </c>
      <c r="L45" s="102">
        <f t="shared" si="17"/>
        <v>161.30000000000001</v>
      </c>
      <c r="M45" s="60">
        <f t="shared" si="17"/>
        <v>0</v>
      </c>
      <c r="P45" s="166">
        <f t="shared" si="18"/>
        <v>-360.11</v>
      </c>
    </row>
    <row r="46" spans="1:16" ht="16.5" thickTop="1" thickBot="1" x14ac:dyDescent="0.3">
      <c r="A46" s="53" t="s">
        <v>20</v>
      </c>
      <c r="B46" s="53"/>
      <c r="C46" s="101">
        <v>0</v>
      </c>
      <c r="D46" s="242"/>
      <c r="E46" s="41">
        <f t="shared" ref="E46:M46" si="19">SUM(E42:E45)+SUM(E35:E38)-E49</f>
        <v>0</v>
      </c>
      <c r="F46" s="41">
        <f t="shared" si="19"/>
        <v>0</v>
      </c>
      <c r="G46" s="49">
        <f t="shared" si="19"/>
        <v>0</v>
      </c>
      <c r="H46" s="133">
        <f t="shared" si="19"/>
        <v>0</v>
      </c>
      <c r="I46" s="49">
        <f t="shared" si="19"/>
        <v>0</v>
      </c>
      <c r="J46" s="61">
        <f t="shared" si="19"/>
        <v>0</v>
      </c>
      <c r="K46" s="148">
        <f t="shared" si="19"/>
        <v>0</v>
      </c>
      <c r="L46" s="49">
        <f t="shared" si="19"/>
        <v>0</v>
      </c>
      <c r="M46" s="61">
        <f t="shared" si="19"/>
        <v>0</v>
      </c>
    </row>
    <row r="47" spans="1:16" ht="16.5" thickTop="1" thickBot="1" x14ac:dyDescent="0.3">
      <c r="A47" s="53" t="s">
        <v>21</v>
      </c>
      <c r="B47" s="53"/>
      <c r="C47" s="101">
        <v>0</v>
      </c>
      <c r="D47" s="242"/>
      <c r="E47" s="41">
        <f t="shared" ref="E47:M47" si="20">SUM(E42:E45)-E26</f>
        <v>0</v>
      </c>
      <c r="F47" s="41">
        <f t="shared" si="20"/>
        <v>0</v>
      </c>
      <c r="G47" s="49">
        <f t="shared" si="20"/>
        <v>0</v>
      </c>
      <c r="H47" s="133">
        <f t="shared" si="20"/>
        <v>0</v>
      </c>
      <c r="I47" s="49">
        <f t="shared" si="20"/>
        <v>0</v>
      </c>
      <c r="J47" s="61">
        <f t="shared" si="20"/>
        <v>0</v>
      </c>
      <c r="K47" s="149">
        <f t="shared" si="20"/>
        <v>0</v>
      </c>
      <c r="L47" s="41">
        <f t="shared" si="20"/>
        <v>0</v>
      </c>
      <c r="M47" s="41">
        <f t="shared" si="20"/>
        <v>0</v>
      </c>
    </row>
    <row r="48" spans="1:16" ht="16.5" thickTop="1" thickBot="1" x14ac:dyDescent="0.3">
      <c r="C48" s="96"/>
      <c r="D48" s="137"/>
      <c r="E48" s="16"/>
      <c r="F48" s="16"/>
      <c r="G48" s="16"/>
      <c r="H48" s="9"/>
      <c r="I48" s="16"/>
      <c r="J48" s="10"/>
      <c r="K48" s="16"/>
      <c r="L48" s="16"/>
      <c r="M48" s="10"/>
    </row>
    <row r="49" spans="1:18" ht="15.75" thickBot="1" x14ac:dyDescent="0.3">
      <c r="A49" s="45" t="s">
        <v>30</v>
      </c>
      <c r="B49" s="110">
        <f>SUM(B35:B38)</f>
        <v>1170244.3600000003</v>
      </c>
      <c r="C49" s="97">
        <f t="shared" ref="C49:M49" si="21">(C12-SUM(C15:C18))+SUM(C42:C45)+B49</f>
        <v>1395258.0900000003</v>
      </c>
      <c r="D49" s="323"/>
      <c r="E49" s="40">
        <f>(E12-SUM(E15:E18))+SUM(D42:E45)+C49+SUM(D29:D32)</f>
        <v>1423069.4400000002</v>
      </c>
      <c r="F49" s="40">
        <f t="shared" si="21"/>
        <v>1421367.4800000002</v>
      </c>
      <c r="G49" s="102">
        <f t="shared" si="21"/>
        <v>1349237.11</v>
      </c>
      <c r="H49" s="39">
        <f t="shared" si="21"/>
        <v>1172208.6200000001</v>
      </c>
      <c r="I49" s="40">
        <f t="shared" si="21"/>
        <v>1032736.8200000001</v>
      </c>
      <c r="J49" s="60">
        <f t="shared" si="21"/>
        <v>925053.03999999922</v>
      </c>
      <c r="K49" s="147">
        <f t="shared" si="21"/>
        <v>870273.04999999923</v>
      </c>
      <c r="L49" s="102">
        <f t="shared" si="21"/>
        <v>768140.8699999993</v>
      </c>
      <c r="M49" s="60">
        <f t="shared" si="21"/>
        <v>407096.23999999929</v>
      </c>
      <c r="Q49" s="509"/>
      <c r="R49" s="509"/>
    </row>
    <row r="50" spans="1:18" x14ac:dyDescent="0.25">
      <c r="A50" s="45" t="s">
        <v>10</v>
      </c>
      <c r="C50" s="111"/>
      <c r="D50" s="16"/>
      <c r="E50" s="16"/>
      <c r="F50" s="16"/>
      <c r="G50" s="16"/>
      <c r="H50" s="9"/>
      <c r="I50" s="16"/>
      <c r="J50" s="10"/>
      <c r="K50" s="16"/>
      <c r="L50" s="16"/>
      <c r="M50" s="10"/>
      <c r="Q50" s="509"/>
      <c r="R50" s="509"/>
    </row>
    <row r="51" spans="1:18" ht="15.75" thickBot="1" x14ac:dyDescent="0.3">
      <c r="A51" s="36"/>
      <c r="B51" s="36"/>
      <c r="C51" s="134"/>
      <c r="D51" s="325"/>
      <c r="E51" s="43"/>
      <c r="F51" s="43"/>
      <c r="G51" s="43"/>
      <c r="H51" s="42"/>
      <c r="I51" s="43"/>
      <c r="J51" s="44"/>
      <c r="K51" s="43"/>
      <c r="L51" s="43"/>
      <c r="M51" s="44"/>
    </row>
    <row r="53" spans="1:18" x14ac:dyDescent="0.25">
      <c r="A53" s="68" t="s">
        <v>9</v>
      </c>
      <c r="B53" s="68"/>
      <c r="C53" s="68"/>
      <c r="D53" s="68"/>
    </row>
    <row r="54" spans="1:18" ht="31.5" customHeight="1" x14ac:dyDescent="0.25">
      <c r="A54" s="537" t="s">
        <v>140</v>
      </c>
      <c r="B54" s="537"/>
      <c r="C54" s="537"/>
      <c r="D54" s="537"/>
      <c r="E54" s="537"/>
      <c r="F54" s="537"/>
      <c r="G54" s="537"/>
      <c r="H54" s="537"/>
      <c r="I54" s="537"/>
      <c r="J54" s="537"/>
      <c r="K54" s="250"/>
      <c r="L54" s="250"/>
      <c r="M54" s="250"/>
    </row>
    <row r="55" spans="1:18" ht="62.1" customHeight="1" x14ac:dyDescent="0.25">
      <c r="A55" s="537" t="s">
        <v>268</v>
      </c>
      <c r="B55" s="537"/>
      <c r="C55" s="537"/>
      <c r="D55" s="537"/>
      <c r="E55" s="537"/>
      <c r="F55" s="537"/>
      <c r="G55" s="537"/>
      <c r="H55" s="537"/>
      <c r="I55" s="537"/>
      <c r="J55" s="537"/>
      <c r="K55" s="250"/>
      <c r="L55" s="250"/>
    </row>
    <row r="56" spans="1:18" ht="18.75" customHeight="1" x14ac:dyDescent="0.25">
      <c r="A56" s="537" t="s">
        <v>168</v>
      </c>
      <c r="B56" s="537"/>
      <c r="C56" s="537"/>
      <c r="D56" s="537"/>
      <c r="E56" s="537"/>
      <c r="F56" s="537"/>
      <c r="G56" s="537"/>
      <c r="H56" s="537"/>
      <c r="I56" s="537"/>
      <c r="J56" s="537"/>
      <c r="K56" s="250"/>
      <c r="L56" s="250"/>
      <c r="M56" s="250"/>
    </row>
    <row r="57" spans="1:18" x14ac:dyDescent="0.25">
      <c r="A57" s="537" t="s">
        <v>219</v>
      </c>
      <c r="B57" s="537"/>
      <c r="C57" s="537"/>
      <c r="D57" s="537"/>
      <c r="E57" s="537"/>
      <c r="F57" s="537"/>
      <c r="G57" s="537"/>
      <c r="H57" s="537"/>
      <c r="I57" s="537"/>
      <c r="J57" s="537"/>
    </row>
    <row r="58" spans="1:18" x14ac:dyDescent="0.25">
      <c r="A58" s="408" t="s">
        <v>270</v>
      </c>
      <c r="B58" s="408"/>
      <c r="C58" s="408"/>
      <c r="D58" s="408"/>
      <c r="E58" s="388"/>
      <c r="F58" s="388"/>
      <c r="G58" s="388"/>
      <c r="H58" s="388"/>
      <c r="I58" s="388"/>
      <c r="J58" s="388"/>
    </row>
    <row r="59" spans="1:18" x14ac:dyDescent="0.25">
      <c r="A59" s="408" t="s">
        <v>84</v>
      </c>
      <c r="B59" s="408"/>
      <c r="C59" s="408"/>
      <c r="D59" s="408"/>
      <c r="E59" s="388"/>
      <c r="F59" s="388"/>
      <c r="G59" s="388"/>
      <c r="H59" s="388"/>
      <c r="I59" s="388"/>
      <c r="J59" s="388"/>
    </row>
    <row r="60" spans="1:18" x14ac:dyDescent="0.25">
      <c r="A60" s="327"/>
      <c r="B60" s="3"/>
      <c r="C60" s="3"/>
      <c r="D60" s="3"/>
    </row>
  </sheetData>
  <mergeCells count="7">
    <mergeCell ref="A57:J57"/>
    <mergeCell ref="A56:J56"/>
    <mergeCell ref="E10:G10"/>
    <mergeCell ref="H10:J10"/>
    <mergeCell ref="K10:M10"/>
    <mergeCell ref="A54:J54"/>
    <mergeCell ref="A55:J55"/>
  </mergeCells>
  <pageMargins left="0.2" right="0.2" top="0.75" bottom="0.25" header="0.3" footer="0.3"/>
  <pageSetup scale="57" orientation="landscape" r:id="rId1"/>
  <headerFooter>
    <oddHeader>&amp;C&amp;F &amp;A&amp;R&amp;"Arial"&amp;10&amp;K000000CONFIDENTIAL</oddHeader>
    <oddFooter xml:space="preserve">&amp;R_x000D_&amp;1#&amp;"Calibri"&amp;10&amp;KA80000 Restricted – Sensitive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65FAA-E64F-44DA-8ADF-AFC1E38B881D}">
  <sheetPr>
    <pageSetUpPr fitToPage="1"/>
  </sheetPr>
  <dimension ref="A1:E35"/>
  <sheetViews>
    <sheetView workbookViewId="0"/>
  </sheetViews>
  <sheetFormatPr defaultColWidth="9.140625" defaultRowHeight="15" x14ac:dyDescent="0.25"/>
  <cols>
    <col min="1" max="1" width="43.140625" style="45" customWidth="1"/>
    <col min="2" max="2" width="14.28515625" style="45" bestFit="1" customWidth="1"/>
    <col min="3" max="3" width="14.28515625" style="45" customWidth="1"/>
    <col min="4" max="4" width="13.28515625" style="45" bestFit="1" customWidth="1"/>
    <col min="5" max="6" width="13.42578125" style="45" bestFit="1" customWidth="1"/>
    <col min="7" max="16384" width="9.140625" style="45"/>
  </cols>
  <sheetData>
    <row r="1" spans="1:5" x14ac:dyDescent="0.25">
      <c r="A1" s="62" t="str">
        <f>+'PTD Cycle 3'!A1</f>
        <v>Evergy Missouri West, Inc. - DSIM Rider Update Filed 12/01/2025</v>
      </c>
    </row>
    <row r="2" spans="1:5" x14ac:dyDescent="0.25">
      <c r="A2" s="8" t="str">
        <f>+'PTD Cycle 3'!A2</f>
        <v>Projections for Cycle 3 January 2026 - December 2026 DSIM</v>
      </c>
    </row>
    <row r="3" spans="1:5" ht="45.75" customHeight="1" x14ac:dyDescent="0.25">
      <c r="B3" s="526" t="s">
        <v>153</v>
      </c>
      <c r="C3" s="526"/>
      <c r="D3" s="526"/>
    </row>
    <row r="4" spans="1:5" x14ac:dyDescent="0.25">
      <c r="B4" s="47" t="s">
        <v>15</v>
      </c>
    </row>
    <row r="5" spans="1:5" x14ac:dyDescent="0.25">
      <c r="A5" s="19" t="s">
        <v>154</v>
      </c>
      <c r="B5" s="252">
        <f>+B11</f>
        <v>0</v>
      </c>
    </row>
    <row r="6" spans="1:5" x14ac:dyDescent="0.25">
      <c r="A6" s="19" t="s">
        <v>155</v>
      </c>
      <c r="B6" s="252">
        <f>+C11</f>
        <v>0</v>
      </c>
    </row>
    <row r="7" spans="1:5" x14ac:dyDescent="0.25">
      <c r="A7" s="19" t="s">
        <v>156</v>
      </c>
      <c r="B7" s="252">
        <f>+D11</f>
        <v>0</v>
      </c>
    </row>
    <row r="8" spans="1:5" ht="60" x14ac:dyDescent="0.25">
      <c r="A8" s="19"/>
      <c r="B8" s="232" t="s">
        <v>154</v>
      </c>
      <c r="C8" s="232" t="s">
        <v>155</v>
      </c>
      <c r="D8" s="233" t="s">
        <v>156</v>
      </c>
      <c r="E8" s="233" t="s">
        <v>3</v>
      </c>
    </row>
    <row r="9" spans="1:5" x14ac:dyDescent="0.25">
      <c r="A9" s="19" t="s">
        <v>22</v>
      </c>
      <c r="B9" s="188">
        <v>0</v>
      </c>
      <c r="C9" s="188">
        <v>0</v>
      </c>
      <c r="D9" s="188">
        <v>0</v>
      </c>
      <c r="E9" s="188">
        <f>SUM(B9:D9)</f>
        <v>0</v>
      </c>
    </row>
    <row r="10" spans="1:5" x14ac:dyDescent="0.25">
      <c r="A10" s="19" t="s">
        <v>23</v>
      </c>
      <c r="B10" s="188">
        <v>0</v>
      </c>
      <c r="C10" s="188">
        <v>0</v>
      </c>
      <c r="D10" s="188">
        <v>0</v>
      </c>
      <c r="E10" s="188">
        <f>SUM(B10:D10)</f>
        <v>0</v>
      </c>
    </row>
    <row r="11" spans="1:5" ht="15.75" thickBot="1" x14ac:dyDescent="0.3">
      <c r="A11" s="19" t="s">
        <v>3</v>
      </c>
      <c r="B11" s="189">
        <f>SUM(B9:B10)</f>
        <v>0</v>
      </c>
      <c r="C11" s="189">
        <f>SUM(C9:C10)</f>
        <v>0</v>
      </c>
      <c r="D11" s="189">
        <f>SUM(D9:D10)</f>
        <v>0</v>
      </c>
      <c r="E11" s="189">
        <f>SUM(E9:E10)</f>
        <v>0</v>
      </c>
    </row>
    <row r="12" spans="1:5" ht="16.5" thickTop="1" thickBot="1" x14ac:dyDescent="0.3">
      <c r="B12" s="190">
        <f>+B11-B5</f>
        <v>0</v>
      </c>
      <c r="C12" s="190">
        <f>+C11-B6</f>
        <v>0</v>
      </c>
      <c r="D12" s="190">
        <f>+D11-B7</f>
        <v>0</v>
      </c>
      <c r="E12" s="190">
        <f>ROUND(B5+B6+B7,2)-E11</f>
        <v>0</v>
      </c>
    </row>
    <row r="13" spans="1:5" ht="15.75" thickTop="1" x14ac:dyDescent="0.25">
      <c r="B13" s="198"/>
      <c r="C13" s="259" t="s">
        <v>159</v>
      </c>
    </row>
    <row r="14" spans="1:5" x14ac:dyDescent="0.25">
      <c r="A14" s="19" t="s">
        <v>94</v>
      </c>
      <c r="B14" s="188">
        <f>ROUND($E$10*C14,2)</f>
        <v>0</v>
      </c>
      <c r="C14" s="195"/>
    </row>
    <row r="15" spans="1:5" x14ac:dyDescent="0.25">
      <c r="A15" s="19" t="s">
        <v>95</v>
      </c>
      <c r="B15" s="188">
        <f>ROUND($E$10*C15,2)</f>
        <v>0</v>
      </c>
      <c r="C15" s="195"/>
    </row>
    <row r="16" spans="1:5" ht="15.75" thickBot="1" x14ac:dyDescent="0.3">
      <c r="A16" s="19" t="s">
        <v>96</v>
      </c>
      <c r="B16" s="188">
        <f>ROUND($E$10*C16,2)</f>
        <v>0</v>
      </c>
      <c r="C16" s="195"/>
    </row>
    <row r="17" spans="1:5" ht="16.5" thickTop="1" thickBot="1" x14ac:dyDescent="0.3">
      <c r="A17" s="19" t="s">
        <v>97</v>
      </c>
      <c r="B17" s="31">
        <f>SUM(B14:B16)</f>
        <v>0</v>
      </c>
      <c r="C17" s="196">
        <f>SUM(C14:C16)</f>
        <v>0</v>
      </c>
    </row>
    <row r="18" spans="1:5" ht="15.75" thickTop="1" x14ac:dyDescent="0.25"/>
    <row r="19" spans="1:5" x14ac:dyDescent="0.25">
      <c r="A19" s="52" t="s">
        <v>9</v>
      </c>
    </row>
    <row r="20" spans="1:5" s="38" customFormat="1" x14ac:dyDescent="0.25">
      <c r="A20" s="3" t="s">
        <v>192</v>
      </c>
      <c r="B20" s="45"/>
      <c r="C20" s="45"/>
      <c r="D20" s="45"/>
    </row>
    <row r="21" spans="1:5" s="38" customFormat="1" x14ac:dyDescent="0.25">
      <c r="A21" s="3" t="s">
        <v>193</v>
      </c>
      <c r="B21" s="45"/>
      <c r="C21" s="45"/>
      <c r="D21" s="45"/>
    </row>
    <row r="22" spans="1:5" s="38" customFormat="1" x14ac:dyDescent="0.25">
      <c r="A22" s="3" t="s">
        <v>194</v>
      </c>
      <c r="B22" s="45"/>
      <c r="C22" s="45"/>
      <c r="D22" s="45"/>
    </row>
    <row r="23" spans="1:5" s="38" customFormat="1" x14ac:dyDescent="0.25">
      <c r="A23" s="3"/>
      <c r="B23" s="45"/>
      <c r="C23" s="45"/>
      <c r="D23" s="45"/>
    </row>
    <row r="25" spans="1:5" x14ac:dyDescent="0.25">
      <c r="A25" s="3"/>
      <c r="D25" s="166"/>
    </row>
    <row r="26" spans="1:5" x14ac:dyDescent="0.25">
      <c r="D26" s="166"/>
    </row>
    <row r="27" spans="1:5" x14ac:dyDescent="0.25">
      <c r="B27" s="69"/>
      <c r="D27" s="166"/>
    </row>
    <row r="28" spans="1:5" x14ac:dyDescent="0.25">
      <c r="A28" s="185"/>
      <c r="B28" s="186"/>
      <c r="D28" s="166"/>
    </row>
    <row r="29" spans="1:5" x14ac:dyDescent="0.25">
      <c r="A29" s="185"/>
      <c r="B29" s="186"/>
      <c r="D29" s="166"/>
    </row>
    <row r="30" spans="1:5" x14ac:dyDescent="0.25">
      <c r="A30" s="185"/>
      <c r="B30" s="186"/>
      <c r="D30" s="166"/>
    </row>
    <row r="31" spans="1:5" x14ac:dyDescent="0.25">
      <c r="A31" s="185"/>
      <c r="B31" s="186"/>
      <c r="D31" s="166"/>
      <c r="E31" s="231"/>
    </row>
    <row r="32" spans="1:5" x14ac:dyDescent="0.25">
      <c r="A32" s="185"/>
      <c r="B32" s="167"/>
      <c r="D32" s="166"/>
    </row>
    <row r="33" spans="1:4" x14ac:dyDescent="0.25">
      <c r="A33" s="185"/>
      <c r="B33" s="167"/>
      <c r="D33" s="166"/>
    </row>
    <row r="34" spans="1:4" ht="17.25" x14ac:dyDescent="0.4">
      <c r="A34" s="185"/>
      <c r="B34" s="167"/>
      <c r="D34" s="187"/>
    </row>
    <row r="35" spans="1:4" x14ac:dyDescent="0.25">
      <c r="A35" s="185"/>
      <c r="D35" s="166"/>
    </row>
  </sheetData>
  <mergeCells count="1">
    <mergeCell ref="B3:D3"/>
  </mergeCells>
  <pageMargins left="0.2" right="0.2" top="0.75" bottom="0.25" header="0.3" footer="0.3"/>
  <pageSetup scale="99" orientation="landscape" r:id="rId1"/>
  <headerFooter>
    <oddHeader>&amp;C&amp;F &amp;A&amp;R&amp;"Arial"&amp;10&amp;K000000CONFIDENTIAL</oddHeader>
    <oddFooter xml:space="preserve">&amp;R_x000D_&amp;1#&amp;"Calibri"&amp;10&amp;KA80000 Restricted – Sensitive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55197-5D25-4B83-9D4C-E7AB3BA59864}">
  <sheetPr>
    <pageSetUpPr fitToPage="1"/>
  </sheetPr>
  <dimension ref="A1:AI65"/>
  <sheetViews>
    <sheetView zoomScale="85" zoomScaleNormal="85" workbookViewId="0">
      <selection activeCell="A2" sqref="A2"/>
    </sheetView>
  </sheetViews>
  <sheetFormatPr defaultColWidth="9.140625" defaultRowHeight="15" outlineLevelCol="1" x14ac:dyDescent="0.25"/>
  <cols>
    <col min="1" max="1" width="37.7109375" style="45" customWidth="1"/>
    <col min="2" max="3" width="20.7109375" style="45" customWidth="1"/>
    <col min="4" max="4" width="15.42578125" style="45" customWidth="1"/>
    <col min="5" max="5" width="15.85546875" style="45" bestFit="1" customWidth="1"/>
    <col min="6" max="6" width="12.28515625" style="45" bestFit="1" customWidth="1"/>
    <col min="7" max="8" width="13.28515625" style="45" bestFit="1" customWidth="1"/>
    <col min="9" max="9" width="14.42578125" style="45" bestFit="1" customWidth="1"/>
    <col min="10" max="10" width="12.42578125" style="45" customWidth="1"/>
    <col min="11" max="11" width="12.85546875" style="45" customWidth="1"/>
    <col min="12" max="12" width="16" style="45" customWidth="1"/>
    <col min="13" max="13" width="15" style="45" bestFit="1" customWidth="1"/>
    <col min="14" max="14" width="16" style="45" bestFit="1" customWidth="1"/>
    <col min="15" max="15" width="17.85546875" style="45" hidden="1" customWidth="1" outlineLevel="1"/>
    <col min="16" max="16" width="15.28515625" style="45" bestFit="1" customWidth="1" collapsed="1"/>
    <col min="17" max="17" width="17.42578125" style="45" bestFit="1" customWidth="1"/>
    <col min="18" max="18" width="16.28515625" style="45" bestFit="1" customWidth="1"/>
    <col min="19" max="19" width="15.28515625" style="45" bestFit="1" customWidth="1"/>
    <col min="20" max="20" width="12.42578125" style="45" customWidth="1"/>
    <col min="21" max="22" width="14.28515625" style="45" bestFit="1" customWidth="1"/>
    <col min="23" max="16384" width="9.140625" style="45"/>
  </cols>
  <sheetData>
    <row r="1" spans="1:35" x14ac:dyDescent="0.25">
      <c r="A1" s="3" t="str">
        <f>+'PTD Cycle 3'!A1</f>
        <v>Evergy Missouri West, Inc. - DSIM Rider Update Filed 12/01/2025</v>
      </c>
      <c r="B1" s="3"/>
      <c r="C1" s="3"/>
    </row>
    <row r="2" spans="1:35" x14ac:dyDescent="0.25">
      <c r="D2" s="3" t="s">
        <v>157</v>
      </c>
    </row>
    <row r="3" spans="1:35" ht="30" x14ac:dyDescent="0.25">
      <c r="D3" s="47" t="s">
        <v>40</v>
      </c>
      <c r="E3" s="69" t="s">
        <v>15</v>
      </c>
      <c r="F3" s="47" t="s">
        <v>1</v>
      </c>
      <c r="G3" s="69" t="s">
        <v>49</v>
      </c>
      <c r="H3" s="47" t="s">
        <v>8</v>
      </c>
      <c r="I3" s="47" t="s">
        <v>16</v>
      </c>
      <c r="S3" s="47"/>
    </row>
    <row r="4" spans="1:35" x14ac:dyDescent="0.25">
      <c r="A4" s="19" t="s">
        <v>22</v>
      </c>
      <c r="B4" s="19"/>
      <c r="C4" s="19"/>
      <c r="D4" s="21">
        <f>SUM(C20:L20)</f>
        <v>-114060.26</v>
      </c>
      <c r="E4" s="21">
        <f>SUM(C26:K26)</f>
        <v>0</v>
      </c>
      <c r="F4" s="21">
        <f>E4-D4</f>
        <v>114060.26</v>
      </c>
      <c r="G4" s="21">
        <f>+B40</f>
        <v>-233328.51999999984</v>
      </c>
      <c r="H4" s="21">
        <f>SUM(C47:K47)</f>
        <v>-5696.5999999999995</v>
      </c>
      <c r="I4" s="24">
        <f>SUM(F4:H4)</f>
        <v>-124964.85999999986</v>
      </c>
      <c r="J4" s="286">
        <f>+I4-L40</f>
        <v>0</v>
      </c>
      <c r="M4" s="46"/>
    </row>
    <row r="5" spans="1:35" x14ac:dyDescent="0.25">
      <c r="A5" s="19" t="s">
        <v>94</v>
      </c>
      <c r="B5" s="19"/>
      <c r="C5" s="19"/>
      <c r="D5" s="21">
        <f t="shared" ref="D5:D6" si="0">SUM(C21:L21)</f>
        <v>-37814.29</v>
      </c>
      <c r="E5" s="21">
        <f t="shared" ref="E5:E6" si="1">SUM(C27:K27)</f>
        <v>0</v>
      </c>
      <c r="F5" s="21">
        <f t="shared" ref="F5:F6" si="2">E5-D5</f>
        <v>37814.29</v>
      </c>
      <c r="G5" s="21">
        <f t="shared" ref="G5:G6" si="3">+B41</f>
        <v>-61559.209999999992</v>
      </c>
      <c r="H5" s="21">
        <f t="shared" ref="H5:H6" si="4">SUM(C48:K48)</f>
        <v>-1330.7</v>
      </c>
      <c r="I5" s="24">
        <f t="shared" ref="I5:I6" si="5">SUM(F5:H5)</f>
        <v>-25075.619999999992</v>
      </c>
      <c r="J5" s="286">
        <f>+I5-L41</f>
        <v>0</v>
      </c>
      <c r="M5" s="46"/>
    </row>
    <row r="6" spans="1:35" x14ac:dyDescent="0.25">
      <c r="A6" s="19" t="s">
        <v>95</v>
      </c>
      <c r="B6" s="19"/>
      <c r="C6" s="19"/>
      <c r="D6" s="21">
        <f t="shared" si="0"/>
        <v>-34437.58</v>
      </c>
      <c r="E6" s="21">
        <f t="shared" si="1"/>
        <v>0</v>
      </c>
      <c r="F6" s="21">
        <f t="shared" si="2"/>
        <v>34437.58</v>
      </c>
      <c r="G6" s="21">
        <f t="shared" si="3"/>
        <v>-61377.969999999987</v>
      </c>
      <c r="H6" s="21">
        <f t="shared" si="4"/>
        <v>-1391.83</v>
      </c>
      <c r="I6" s="24">
        <f t="shared" si="5"/>
        <v>-28332.219999999987</v>
      </c>
      <c r="J6" s="286">
        <f>+I6-L42</f>
        <v>0</v>
      </c>
      <c r="M6" s="46"/>
    </row>
    <row r="7" spans="1:35" ht="15.75" thickBot="1" x14ac:dyDescent="0.3">
      <c r="A7" s="19" t="s">
        <v>96</v>
      </c>
      <c r="B7" s="19"/>
      <c r="C7" s="19"/>
      <c r="D7" s="21">
        <f>SUM(C23:L23)</f>
        <v>-30961.250000000004</v>
      </c>
      <c r="E7" s="21">
        <f>SUM(C29:K29)</f>
        <v>0</v>
      </c>
      <c r="F7" s="21">
        <f>E7-D7</f>
        <v>30961.250000000004</v>
      </c>
      <c r="G7" s="21">
        <f>+B43</f>
        <v>-42240.680000000037</v>
      </c>
      <c r="H7" s="21">
        <f>SUM(C50:K50)</f>
        <v>-786.01</v>
      </c>
      <c r="I7" s="24">
        <f>SUM(F7:H7)</f>
        <v>-12065.440000000033</v>
      </c>
      <c r="J7" s="286">
        <f>+I7-L43</f>
        <v>0</v>
      </c>
      <c r="M7" s="46"/>
    </row>
    <row r="8" spans="1:35" ht="16.5" thickTop="1" thickBot="1" x14ac:dyDescent="0.3">
      <c r="D8" s="26">
        <f t="shared" ref="D8" si="6">SUM(D4:D7)</f>
        <v>-217273.38</v>
      </c>
      <c r="E8" s="26">
        <f>SUM(E4:E7)</f>
        <v>0</v>
      </c>
      <c r="F8" s="26">
        <f>SUM(F4:F7)</f>
        <v>217273.38</v>
      </c>
      <c r="G8" s="26">
        <f>SUM(G4:G7)</f>
        <v>-398506.37999999989</v>
      </c>
      <c r="H8" s="26">
        <f>SUM(H4:H7)</f>
        <v>-9205.14</v>
      </c>
      <c r="I8" s="26">
        <f>SUM(I4:I7)</f>
        <v>-190438.13999999987</v>
      </c>
      <c r="T8" s="5"/>
    </row>
    <row r="9" spans="1:35" ht="15.75" customHeight="1" thickTop="1" x14ac:dyDescent="0.25">
      <c r="Q9" s="359"/>
    </row>
    <row r="10" spans="1:35" x14ac:dyDescent="0.25">
      <c r="B10" s="45" t="str">
        <f>+'PCR Cycle 4'!B10</f>
        <v>Cumulative Over/Under Carryover From 06/01/2025 Filing</v>
      </c>
      <c r="K10" s="38"/>
      <c r="Q10" s="359"/>
    </row>
    <row r="11" spans="1:35" x14ac:dyDescent="0.25">
      <c r="K11" s="38"/>
      <c r="Q11" s="359"/>
    </row>
    <row r="12" spans="1:35" x14ac:dyDescent="0.25">
      <c r="K12" s="38"/>
      <c r="Q12" s="359"/>
    </row>
    <row r="13" spans="1:35" x14ac:dyDescent="0.25">
      <c r="Q13" s="359"/>
      <c r="V13" s="4"/>
    </row>
    <row r="14" spans="1:35" ht="15.75" thickBot="1" x14ac:dyDescent="0.3">
      <c r="V14" s="4"/>
      <c r="W14" s="5"/>
    </row>
    <row r="15" spans="1:35" ht="60.75" thickBot="1" x14ac:dyDescent="0.3">
      <c r="B15" s="109" t="str">
        <f>+'PCR Cycle 4'!B10</f>
        <v>Cumulative Over/Under Carryover From 06/01/2025 Filing</v>
      </c>
      <c r="C15" s="139" t="str">
        <f>+'PCR Cycle 4'!C10</f>
        <v>Reverse May 2025 - July 2025 Forecast From 06/01/2025 Filing</v>
      </c>
      <c r="D15" s="529" t="s">
        <v>28</v>
      </c>
      <c r="E15" s="529"/>
      <c r="F15" s="530"/>
      <c r="G15" s="538" t="s">
        <v>28</v>
      </c>
      <c r="H15" s="539"/>
      <c r="I15" s="540"/>
      <c r="J15" s="534" t="s">
        <v>6</v>
      </c>
      <c r="K15" s="535"/>
      <c r="L15" s="536"/>
      <c r="O15" s="261" t="s">
        <v>196</v>
      </c>
    </row>
    <row r="16" spans="1:35" x14ac:dyDescent="0.25">
      <c r="A16" s="45" t="s">
        <v>80</v>
      </c>
      <c r="C16" s="551"/>
      <c r="D16" s="322">
        <f>+'PCR Cycle 4'!E$11</f>
        <v>45808</v>
      </c>
      <c r="E16" s="322">
        <f>+'PCR Cycle 4'!F$11</f>
        <v>45838</v>
      </c>
      <c r="F16" s="322">
        <f>+'PCR Cycle 4'!G$11</f>
        <v>45869</v>
      </c>
      <c r="G16" s="551">
        <f>+'PCR Cycle 4'!H$11</f>
        <v>45900</v>
      </c>
      <c r="H16" s="322">
        <f>+'PCR Cycle 4'!I$11</f>
        <v>45930</v>
      </c>
      <c r="I16" s="552">
        <f>+'PCR Cycle 4'!J$11</f>
        <v>45961</v>
      </c>
      <c r="J16" s="322">
        <f>+'PCR Cycle 4'!K$11</f>
        <v>45991</v>
      </c>
      <c r="K16" s="322">
        <f>+'PCR Cycle 4'!L$11</f>
        <v>46022</v>
      </c>
      <c r="L16" s="553">
        <f>+'PCR Cycle 4'!M$11</f>
        <v>46053</v>
      </c>
      <c r="Z16" s="1"/>
      <c r="AA16" s="1"/>
      <c r="AB16" s="1"/>
      <c r="AC16" s="1"/>
      <c r="AD16" s="1"/>
      <c r="AE16" s="1"/>
      <c r="AF16" s="1"/>
      <c r="AG16" s="1"/>
      <c r="AH16" s="1"/>
      <c r="AI16" s="1"/>
    </row>
    <row r="17" spans="1:17" x14ac:dyDescent="0.25">
      <c r="A17" s="45" t="s">
        <v>3</v>
      </c>
      <c r="C17" s="94">
        <v>0</v>
      </c>
      <c r="D17" s="103">
        <f>SUM(D26:D29)</f>
        <v>0</v>
      </c>
      <c r="E17" s="103">
        <f t="shared" ref="E17:H17" si="7">SUM(E26:E29)</f>
        <v>0</v>
      </c>
      <c r="F17" s="104">
        <f t="shared" si="7"/>
        <v>0</v>
      </c>
      <c r="G17" s="15">
        <f t="shared" si="7"/>
        <v>0</v>
      </c>
      <c r="H17" s="54">
        <f t="shared" si="7"/>
        <v>0</v>
      </c>
      <c r="I17" s="150">
        <f>+I26+I29</f>
        <v>0</v>
      </c>
      <c r="J17" s="143">
        <f t="shared" ref="J17:K17" si="8">+J26+J29</f>
        <v>0</v>
      </c>
      <c r="K17" s="75">
        <f t="shared" si="8"/>
        <v>0</v>
      </c>
      <c r="L17" s="76"/>
      <c r="O17" s="46">
        <f>-SUM(J17:L17)</f>
        <v>0</v>
      </c>
    </row>
    <row r="18" spans="1:17" x14ac:dyDescent="0.25">
      <c r="C18" s="96"/>
      <c r="D18" s="16"/>
      <c r="E18" s="16"/>
      <c r="F18" s="16"/>
      <c r="G18" s="27"/>
      <c r="H18" s="16"/>
      <c r="I18" s="10"/>
      <c r="J18" s="30"/>
      <c r="K18" s="30"/>
      <c r="L18" s="28"/>
    </row>
    <row r="19" spans="1:17" x14ac:dyDescent="0.25">
      <c r="A19" s="45" t="s">
        <v>79</v>
      </c>
      <c r="C19" s="96"/>
      <c r="D19" s="17"/>
      <c r="E19" s="17"/>
      <c r="F19" s="17"/>
      <c r="G19" s="247"/>
      <c r="H19" s="17"/>
      <c r="I19" s="151"/>
      <c r="J19" s="30"/>
      <c r="K19" s="30"/>
      <c r="L19" s="28"/>
      <c r="M19" s="408" t="s">
        <v>44</v>
      </c>
      <c r="N19" s="38"/>
    </row>
    <row r="20" spans="1:17" x14ac:dyDescent="0.25">
      <c r="A20" s="45" t="s">
        <v>22</v>
      </c>
      <c r="C20" s="94">
        <v>98032.299999999988</v>
      </c>
      <c r="D20" s="123">
        <f>ROUND('[9]May 2025'!$G104,2)</f>
        <v>-22085.39</v>
      </c>
      <c r="E20" s="123">
        <f>ROUND('[9]June 2025'!$G104,2)</f>
        <v>-27870.95</v>
      </c>
      <c r="F20" s="123">
        <f>ROUND('[9]July 2025'!$G104,2)</f>
        <v>-43481.13</v>
      </c>
      <c r="G20" s="15">
        <f>ROUND('[9]August 2025'!$G104,2)</f>
        <v>-23749.77</v>
      </c>
      <c r="H20" s="54">
        <f>ROUND('[9]Sept 2025'!$G104,2)</f>
        <v>-19443.37</v>
      </c>
      <c r="I20" s="150">
        <f>ROUND('[9]EMW Oct25'!$G115,2)</f>
        <v>-16274.29</v>
      </c>
      <c r="J20" s="113">
        <f>ROUND('PCR Cycle 4'!K20*$M20,2)</f>
        <v>-14937.18</v>
      </c>
      <c r="K20" s="40">
        <f>ROUND('PCR Cycle 4'!L20*$M20,2)</f>
        <v>-20029.12</v>
      </c>
      <c r="L20" s="60">
        <f>ROUND('PCR Cycle 4'!M20*$M20,2)</f>
        <v>-24221.360000000001</v>
      </c>
      <c r="M20" s="71">
        <v>-6.0000000000000002E-5</v>
      </c>
      <c r="N20" s="4"/>
      <c r="O20" s="46">
        <f>-SUM(J20:L20)</f>
        <v>59187.66</v>
      </c>
    </row>
    <row r="21" spans="1:17" x14ac:dyDescent="0.25">
      <c r="A21" s="45" t="s">
        <v>94</v>
      </c>
      <c r="C21" s="94">
        <v>32065.66</v>
      </c>
      <c r="D21" s="439">
        <f>ROUND('[9]May 2025'!$G105,2)</f>
        <v>-9742.34</v>
      </c>
      <c r="E21" s="123">
        <f>ROUND('[9]June 2025'!$G105,2)</f>
        <v>-11095.72</v>
      </c>
      <c r="F21" s="123">
        <f>ROUND('[9]July 2025'!$G105,2)</f>
        <v>-14020.76</v>
      </c>
      <c r="G21" s="15">
        <f>ROUND('[9]August 2025'!$G105,2)</f>
        <v>-6962.49</v>
      </c>
      <c r="H21" s="54">
        <f>ROUND('[9]Sept 2025'!$G105,2)</f>
        <v>-6462.01</v>
      </c>
      <c r="I21" s="455">
        <f>ROUND('[9]EMW Oct25'!$G116,2)</f>
        <v>-5950.42</v>
      </c>
      <c r="J21" s="113">
        <f>ROUND('PCR Cycle 4'!K21*$M21,2)</f>
        <v>-4719.8500000000004</v>
      </c>
      <c r="K21" s="40">
        <f>ROUND('PCR Cycle 4'!L21*$M21,2)</f>
        <v>-4865.1400000000003</v>
      </c>
      <c r="L21" s="60">
        <f>ROUND('PCR Cycle 4'!M21*$M21,2)</f>
        <v>-6061.22</v>
      </c>
      <c r="M21" s="416">
        <v>-5.0000000000000002E-5</v>
      </c>
      <c r="N21" s="4"/>
      <c r="O21" s="46">
        <f t="shared" ref="O21:O23" si="9">-SUM(J21:L21)</f>
        <v>15646.210000000003</v>
      </c>
    </row>
    <row r="22" spans="1:17" x14ac:dyDescent="0.25">
      <c r="A22" s="45" t="s">
        <v>95</v>
      </c>
      <c r="C22" s="94">
        <v>31451.629999999997</v>
      </c>
      <c r="D22" s="439">
        <f>ROUND('[9]May 2025'!$G106,2)</f>
        <v>-9602.16</v>
      </c>
      <c r="E22" s="123">
        <f>ROUND('[9]June 2025'!$G106,2)</f>
        <v>-10661.38</v>
      </c>
      <c r="F22" s="123">
        <f>ROUND('[9]July 2025'!$G106,2)</f>
        <v>-12456.55</v>
      </c>
      <c r="G22" s="15">
        <f>ROUND('[9]August 2025'!$G106,2)</f>
        <v>-6177.07</v>
      </c>
      <c r="H22" s="54">
        <f>ROUND('[9]Sept 2025'!$G106,2)</f>
        <v>-6087.75</v>
      </c>
      <c r="I22" s="455">
        <f>ROUND('[9]EMW Oct25'!$G117,2)</f>
        <v>-5557.7</v>
      </c>
      <c r="J22" s="113">
        <f>ROUND('PCR Cycle 4'!K22*$M22,2)</f>
        <v>-4629.47</v>
      </c>
      <c r="K22" s="40">
        <f>ROUND('PCR Cycle 4'!L22*$M22,2)</f>
        <v>-4771.9799999999996</v>
      </c>
      <c r="L22" s="60">
        <f>ROUND('PCR Cycle 4'!M22*$M22,2)</f>
        <v>-5945.15</v>
      </c>
      <c r="M22" s="416">
        <v>-6.0000000000000002E-5</v>
      </c>
      <c r="N22" s="4"/>
      <c r="O22" s="46">
        <f t="shared" si="9"/>
        <v>15346.6</v>
      </c>
    </row>
    <row r="23" spans="1:17" x14ac:dyDescent="0.25">
      <c r="A23" s="45" t="s">
        <v>96</v>
      </c>
      <c r="C23" s="94">
        <v>23670.18</v>
      </c>
      <c r="D23" s="439">
        <f>ROUND('[9]May 2025'!$G107,2)</f>
        <v>-8872.35</v>
      </c>
      <c r="E23" s="123">
        <f>ROUND('[9]June 2025'!$G107,2)</f>
        <v>-9622.7900000000009</v>
      </c>
      <c r="F23" s="123">
        <f>ROUND('[9]July 2025'!$G107,2)</f>
        <v>-10403.82</v>
      </c>
      <c r="G23" s="15">
        <f>ROUND('[9]August 2025'!$G107,2)</f>
        <v>-4652.21</v>
      </c>
      <c r="H23" s="54">
        <f>ROUND('[9]Sept 2025'!$G107,2)</f>
        <v>-4959.74</v>
      </c>
      <c r="I23" s="455">
        <f>ROUND('[9]EMW Oct25'!$G118,2)</f>
        <v>-5459.25</v>
      </c>
      <c r="J23" s="113">
        <f>ROUND('PCR Cycle 4'!K23*$M23,2)</f>
        <v>-3216.09</v>
      </c>
      <c r="K23" s="40">
        <f>ROUND('PCR Cycle 4'!L23*$M23,2)</f>
        <v>-3315.09</v>
      </c>
      <c r="L23" s="60">
        <f>ROUND('PCR Cycle 4'!M23*$M23,2)</f>
        <v>-4130.09</v>
      </c>
      <c r="M23" s="416">
        <v>-6.0000000000000002E-5</v>
      </c>
      <c r="N23" s="4"/>
      <c r="O23" s="46">
        <f t="shared" si="9"/>
        <v>10661.27</v>
      </c>
    </row>
    <row r="24" spans="1:17" x14ac:dyDescent="0.25">
      <c r="C24" s="66"/>
      <c r="D24" s="67"/>
      <c r="E24" s="67"/>
      <c r="F24" s="67"/>
      <c r="G24" s="95"/>
      <c r="H24" s="67"/>
      <c r="I24" s="152"/>
      <c r="J24" s="55"/>
      <c r="K24" s="55"/>
      <c r="L24" s="12"/>
      <c r="N24" s="4"/>
    </row>
    <row r="25" spans="1:17" x14ac:dyDescent="0.25">
      <c r="A25" s="45" t="s">
        <v>81</v>
      </c>
      <c r="C25" s="35"/>
      <c r="D25" s="36"/>
      <c r="E25" s="36"/>
      <c r="F25" s="36"/>
      <c r="G25" s="35"/>
      <c r="H25" s="36"/>
      <c r="I25" s="154"/>
      <c r="J25" s="51"/>
      <c r="K25" s="51"/>
      <c r="L25" s="37"/>
    </row>
    <row r="26" spans="1:17" x14ac:dyDescent="0.25">
      <c r="A26" s="45" t="s">
        <v>22</v>
      </c>
      <c r="C26" s="94">
        <v>0</v>
      </c>
      <c r="D26" s="103">
        <v>0</v>
      </c>
      <c r="E26" s="103">
        <v>0</v>
      </c>
      <c r="F26" s="104">
        <v>0</v>
      </c>
      <c r="G26" s="15">
        <v>0</v>
      </c>
      <c r="H26" s="54">
        <v>0</v>
      </c>
      <c r="I26" s="150">
        <v>0</v>
      </c>
      <c r="J26" s="145">
        <v>0</v>
      </c>
      <c r="K26" s="129">
        <v>0</v>
      </c>
      <c r="L26" s="76"/>
      <c r="O26" s="46">
        <f>-SUM(J26:L26)</f>
        <v>0</v>
      </c>
    </row>
    <row r="27" spans="1:17" x14ac:dyDescent="0.25">
      <c r="A27" s="45" t="s">
        <v>94</v>
      </c>
      <c r="C27" s="94">
        <v>0</v>
      </c>
      <c r="D27" s="103">
        <v>0</v>
      </c>
      <c r="E27" s="103">
        <v>0</v>
      </c>
      <c r="F27" s="104">
        <v>0</v>
      </c>
      <c r="G27" s="15">
        <v>0</v>
      </c>
      <c r="H27" s="54">
        <v>0</v>
      </c>
      <c r="I27" s="150">
        <v>0</v>
      </c>
      <c r="J27" s="145">
        <v>0</v>
      </c>
      <c r="K27" s="129">
        <v>0</v>
      </c>
      <c r="L27" s="76"/>
      <c r="O27" s="46">
        <f t="shared" ref="O27:O31" si="10">-SUM(J27:L27)</f>
        <v>0</v>
      </c>
    </row>
    <row r="28" spans="1:17" x14ac:dyDescent="0.25">
      <c r="A28" s="45" t="s">
        <v>95</v>
      </c>
      <c r="C28" s="94">
        <v>0</v>
      </c>
      <c r="D28" s="103">
        <v>0</v>
      </c>
      <c r="E28" s="103">
        <v>0</v>
      </c>
      <c r="F28" s="104">
        <v>0</v>
      </c>
      <c r="G28" s="15">
        <v>0</v>
      </c>
      <c r="H28" s="54">
        <v>0</v>
      </c>
      <c r="I28" s="150">
        <v>0</v>
      </c>
      <c r="J28" s="145">
        <v>0</v>
      </c>
      <c r="K28" s="129">
        <v>0</v>
      </c>
      <c r="L28" s="76"/>
      <c r="O28" s="46">
        <f t="shared" si="10"/>
        <v>0</v>
      </c>
    </row>
    <row r="29" spans="1:17" x14ac:dyDescent="0.25">
      <c r="A29" s="45" t="s">
        <v>96</v>
      </c>
      <c r="C29" s="94">
        <v>0</v>
      </c>
      <c r="D29" s="103">
        <v>0</v>
      </c>
      <c r="E29" s="103">
        <v>0</v>
      </c>
      <c r="F29" s="104">
        <v>0</v>
      </c>
      <c r="G29" s="15">
        <v>0</v>
      </c>
      <c r="H29" s="54">
        <v>0</v>
      </c>
      <c r="I29" s="150">
        <v>0</v>
      </c>
      <c r="J29" s="145">
        <v>0</v>
      </c>
      <c r="K29" s="129">
        <v>0</v>
      </c>
      <c r="L29" s="76"/>
      <c r="N29" s="46"/>
      <c r="O29" s="46">
        <f t="shared" si="10"/>
        <v>0</v>
      </c>
    </row>
    <row r="30" spans="1:17" x14ac:dyDescent="0.25">
      <c r="C30" s="96"/>
      <c r="D30" s="17"/>
      <c r="E30" s="17"/>
      <c r="F30" s="17"/>
      <c r="G30" s="247"/>
      <c r="H30" s="17"/>
      <c r="I30" s="151"/>
      <c r="J30" s="55"/>
      <c r="K30" s="55"/>
      <c r="L30" s="12"/>
    </row>
    <row r="31" spans="1:17" ht="15.75" thickBot="1" x14ac:dyDescent="0.3">
      <c r="A31" s="3" t="s">
        <v>12</v>
      </c>
      <c r="B31" s="3"/>
      <c r="C31" s="98">
        <v>4881.63</v>
      </c>
      <c r="D31" s="123">
        <v>-2619.8999999999996</v>
      </c>
      <c r="E31" s="123">
        <v>-2368.92</v>
      </c>
      <c r="F31" s="124">
        <v>-2059.98</v>
      </c>
      <c r="G31" s="25">
        <v>-1778.08</v>
      </c>
      <c r="H31" s="112">
        <v>-1554.25</v>
      </c>
      <c r="I31" s="155">
        <v>-1365.4099999999999</v>
      </c>
      <c r="J31" s="146">
        <f>ROUND((SUM(I40:I43)+SUM(I47:I50)+SUM(J34:J37)/2)*J$45,2)</f>
        <v>-1235.21</v>
      </c>
      <c r="K31" s="131">
        <f>ROUND((SUM(J40:J43)+SUM(J47:J50)+SUM(K34:K37)/2)*K$45,2)-0.01</f>
        <v>-1105.02</v>
      </c>
      <c r="L31" s="79"/>
      <c r="O31" s="46">
        <f t="shared" si="10"/>
        <v>2340.23</v>
      </c>
      <c r="Q31" s="320"/>
    </row>
    <row r="32" spans="1:17" x14ac:dyDescent="0.25">
      <c r="C32" s="63"/>
      <c r="D32" s="135"/>
      <c r="E32" s="135"/>
      <c r="F32" s="136"/>
      <c r="G32" s="63"/>
      <c r="H32" s="32"/>
      <c r="I32" s="156"/>
      <c r="J32" s="33"/>
      <c r="K32" s="33"/>
      <c r="L32" s="59"/>
    </row>
    <row r="33" spans="1:15" x14ac:dyDescent="0.25">
      <c r="A33" s="45" t="s">
        <v>46</v>
      </c>
      <c r="C33" s="64"/>
      <c r="D33" s="136"/>
      <c r="E33" s="136"/>
      <c r="F33" s="136"/>
      <c r="G33" s="248"/>
      <c r="H33" s="34"/>
      <c r="I33" s="157"/>
      <c r="J33" s="33"/>
      <c r="K33" s="33"/>
      <c r="L33" s="59"/>
    </row>
    <row r="34" spans="1:15" x14ac:dyDescent="0.25">
      <c r="A34" s="45" t="s">
        <v>22</v>
      </c>
      <c r="C34" s="97">
        <f>C26-C20</f>
        <v>-98032.299999999988</v>
      </c>
      <c r="D34" s="40">
        <f t="shared" ref="D34:L34" si="11">D26-D20</f>
        <v>22085.39</v>
      </c>
      <c r="E34" s="40">
        <f t="shared" si="11"/>
        <v>27870.95</v>
      </c>
      <c r="F34" s="102">
        <f t="shared" si="11"/>
        <v>43481.13</v>
      </c>
      <c r="G34" s="39">
        <f t="shared" si="11"/>
        <v>23749.77</v>
      </c>
      <c r="H34" s="40">
        <f t="shared" si="11"/>
        <v>19443.37</v>
      </c>
      <c r="I34" s="60">
        <f t="shared" si="11"/>
        <v>16274.29</v>
      </c>
      <c r="J34" s="113">
        <f t="shared" si="11"/>
        <v>14937.18</v>
      </c>
      <c r="K34" s="40">
        <f t="shared" si="11"/>
        <v>20029.12</v>
      </c>
      <c r="L34" s="60">
        <f t="shared" si="11"/>
        <v>24221.360000000001</v>
      </c>
    </row>
    <row r="35" spans="1:15" x14ac:dyDescent="0.25">
      <c r="A35" s="45" t="s">
        <v>94</v>
      </c>
      <c r="C35" s="97">
        <f t="shared" ref="C35:L35" si="12">C27-C21</f>
        <v>-32065.66</v>
      </c>
      <c r="D35" s="40">
        <f t="shared" si="12"/>
        <v>9742.34</v>
      </c>
      <c r="E35" s="40">
        <f t="shared" si="12"/>
        <v>11095.72</v>
      </c>
      <c r="F35" s="102">
        <f t="shared" si="12"/>
        <v>14020.76</v>
      </c>
      <c r="G35" s="39">
        <f t="shared" si="12"/>
        <v>6962.49</v>
      </c>
      <c r="H35" s="40">
        <f t="shared" si="12"/>
        <v>6462.01</v>
      </c>
      <c r="I35" s="60">
        <f t="shared" si="12"/>
        <v>5950.42</v>
      </c>
      <c r="J35" s="113">
        <f t="shared" si="12"/>
        <v>4719.8500000000004</v>
      </c>
      <c r="K35" s="40">
        <f t="shared" si="12"/>
        <v>4865.1400000000003</v>
      </c>
      <c r="L35" s="60">
        <f t="shared" si="12"/>
        <v>6061.22</v>
      </c>
    </row>
    <row r="36" spans="1:15" x14ac:dyDescent="0.25">
      <c r="A36" s="45" t="s">
        <v>95</v>
      </c>
      <c r="C36" s="97">
        <f t="shared" ref="C36:L36" si="13">C28-C22</f>
        <v>-31451.629999999997</v>
      </c>
      <c r="D36" s="40">
        <f t="shared" si="13"/>
        <v>9602.16</v>
      </c>
      <c r="E36" s="40">
        <f t="shared" si="13"/>
        <v>10661.38</v>
      </c>
      <c r="F36" s="102">
        <f t="shared" si="13"/>
        <v>12456.55</v>
      </c>
      <c r="G36" s="39">
        <f t="shared" si="13"/>
        <v>6177.07</v>
      </c>
      <c r="H36" s="40">
        <f t="shared" si="13"/>
        <v>6087.75</v>
      </c>
      <c r="I36" s="60">
        <f t="shared" si="13"/>
        <v>5557.7</v>
      </c>
      <c r="J36" s="113">
        <f t="shared" si="13"/>
        <v>4629.47</v>
      </c>
      <c r="K36" s="40">
        <f t="shared" si="13"/>
        <v>4771.9799999999996</v>
      </c>
      <c r="L36" s="60">
        <f t="shared" si="13"/>
        <v>5945.15</v>
      </c>
    </row>
    <row r="37" spans="1:15" x14ac:dyDescent="0.25">
      <c r="A37" s="45" t="s">
        <v>96</v>
      </c>
      <c r="C37" s="97">
        <f t="shared" ref="C37:L37" si="14">C29-C23</f>
        <v>-23670.18</v>
      </c>
      <c r="D37" s="40">
        <f t="shared" si="14"/>
        <v>8872.35</v>
      </c>
      <c r="E37" s="40">
        <f t="shared" si="14"/>
        <v>9622.7900000000009</v>
      </c>
      <c r="F37" s="102">
        <f t="shared" si="14"/>
        <v>10403.82</v>
      </c>
      <c r="G37" s="39">
        <f t="shared" si="14"/>
        <v>4652.21</v>
      </c>
      <c r="H37" s="40">
        <f t="shared" si="14"/>
        <v>4959.74</v>
      </c>
      <c r="I37" s="60">
        <f t="shared" si="14"/>
        <v>5459.25</v>
      </c>
      <c r="J37" s="113">
        <f t="shared" si="14"/>
        <v>3216.09</v>
      </c>
      <c r="K37" s="40">
        <f t="shared" si="14"/>
        <v>3315.09</v>
      </c>
      <c r="L37" s="60">
        <f t="shared" si="14"/>
        <v>4130.09</v>
      </c>
    </row>
    <row r="38" spans="1:15" x14ac:dyDescent="0.25">
      <c r="C38" s="96"/>
      <c r="D38" s="16"/>
      <c r="E38" s="16"/>
      <c r="F38" s="16"/>
      <c r="G38" s="27"/>
      <c r="H38" s="16"/>
      <c r="I38" s="10"/>
      <c r="J38" s="16"/>
      <c r="K38" s="16"/>
      <c r="L38" s="10"/>
    </row>
    <row r="39" spans="1:15" ht="15.75" thickBot="1" x14ac:dyDescent="0.3">
      <c r="A39" s="45" t="s">
        <v>47</v>
      </c>
      <c r="C39" s="96"/>
      <c r="D39" s="16"/>
      <c r="E39" s="16"/>
      <c r="F39" s="16"/>
      <c r="G39" s="27"/>
      <c r="H39" s="16"/>
      <c r="I39" s="10"/>
      <c r="J39" s="16"/>
      <c r="K39" s="16"/>
      <c r="L39" s="10"/>
    </row>
    <row r="40" spans="1:15" x14ac:dyDescent="0.25">
      <c r="A40" s="45" t="s">
        <v>22</v>
      </c>
      <c r="B40" s="306">
        <v>-233328.51999999984</v>
      </c>
      <c r="C40" s="97">
        <f>B40+C34+B47</f>
        <v>-331360.81999999983</v>
      </c>
      <c r="D40" s="40">
        <f t="shared" ref="D40:L40" si="15">C40+D34+C47</f>
        <v>-306468.57999999984</v>
      </c>
      <c r="E40" s="40">
        <f t="shared" si="15"/>
        <v>-280099.98999999982</v>
      </c>
      <c r="F40" s="102">
        <f t="shared" si="15"/>
        <v>-238007.67999999982</v>
      </c>
      <c r="G40" s="39">
        <f t="shared" si="15"/>
        <v>-215490.51999999981</v>
      </c>
      <c r="H40" s="40">
        <f t="shared" si="15"/>
        <v>-197124.60999999981</v>
      </c>
      <c r="I40" s="60">
        <f t="shared" si="15"/>
        <v>-181802.2199999998</v>
      </c>
      <c r="J40" s="113">
        <f t="shared" si="15"/>
        <v>-167717.5999999998</v>
      </c>
      <c r="K40" s="40">
        <f t="shared" si="15"/>
        <v>-148474.8199999998</v>
      </c>
      <c r="L40" s="60">
        <f t="shared" si="15"/>
        <v>-124964.8599999998</v>
      </c>
    </row>
    <row r="41" spans="1:15" x14ac:dyDescent="0.25">
      <c r="A41" s="45" t="s">
        <v>94</v>
      </c>
      <c r="B41" s="307">
        <v>-61559.209999999992</v>
      </c>
      <c r="C41" s="97">
        <f t="shared" ref="C41:L41" si="16">B41+C35+B48</f>
        <v>-93624.87</v>
      </c>
      <c r="D41" s="40">
        <f t="shared" si="16"/>
        <v>-83112.02</v>
      </c>
      <c r="E41" s="40">
        <f t="shared" si="16"/>
        <v>-72432.61</v>
      </c>
      <c r="F41" s="102">
        <f t="shared" si="16"/>
        <v>-58780.18</v>
      </c>
      <c r="G41" s="39">
        <f t="shared" si="16"/>
        <v>-52129.89</v>
      </c>
      <c r="H41" s="40">
        <f t="shared" si="16"/>
        <v>-45931.42</v>
      </c>
      <c r="I41" s="60">
        <f t="shared" si="16"/>
        <v>-40207.24</v>
      </c>
      <c r="J41" s="113">
        <f t="shared" si="16"/>
        <v>-35681.22</v>
      </c>
      <c r="K41" s="40">
        <f t="shared" si="16"/>
        <v>-30986.83</v>
      </c>
      <c r="L41" s="60">
        <f t="shared" si="16"/>
        <v>-25075.62</v>
      </c>
    </row>
    <row r="42" spans="1:15" x14ac:dyDescent="0.25">
      <c r="A42" s="45" t="s">
        <v>95</v>
      </c>
      <c r="B42" s="307">
        <v>-61377.969999999987</v>
      </c>
      <c r="C42" s="97">
        <f t="shared" ref="C42:L42" si="17">B42+C36+B49</f>
        <v>-92829.599999999977</v>
      </c>
      <c r="D42" s="40">
        <f t="shared" si="17"/>
        <v>-82462.519999999975</v>
      </c>
      <c r="E42" s="40">
        <f t="shared" si="17"/>
        <v>-72214.039999999964</v>
      </c>
      <c r="F42" s="102">
        <f t="shared" si="17"/>
        <v>-60123.759999999958</v>
      </c>
      <c r="G42" s="39">
        <f t="shared" si="17"/>
        <v>-54261.559999999961</v>
      </c>
      <c r="H42" s="40">
        <f t="shared" si="17"/>
        <v>-48445.58999999996</v>
      </c>
      <c r="I42" s="60">
        <f t="shared" si="17"/>
        <v>-43124.83999999996</v>
      </c>
      <c r="J42" s="113">
        <f t="shared" si="17"/>
        <v>-38701.40999999996</v>
      </c>
      <c r="K42" s="40">
        <f t="shared" si="17"/>
        <v>-34113.539999999964</v>
      </c>
      <c r="L42" s="60">
        <f t="shared" si="17"/>
        <v>-28332.219999999965</v>
      </c>
    </row>
    <row r="43" spans="1:15" ht="15.75" thickBot="1" x14ac:dyDescent="0.3">
      <c r="A43" s="45" t="s">
        <v>96</v>
      </c>
      <c r="B43" s="308">
        <v>-42240.680000000037</v>
      </c>
      <c r="C43" s="97">
        <f t="shared" ref="C43:L43" si="18">B43+C37+B50</f>
        <v>-65910.860000000044</v>
      </c>
      <c r="D43" s="40">
        <f t="shared" si="18"/>
        <v>-56499.160000000047</v>
      </c>
      <c r="E43" s="40">
        <f t="shared" si="18"/>
        <v>-47164.700000000048</v>
      </c>
      <c r="F43" s="102">
        <f t="shared" si="18"/>
        <v>-37006.380000000048</v>
      </c>
      <c r="G43" s="39">
        <f t="shared" si="18"/>
        <v>-32554.470000000048</v>
      </c>
      <c r="H43" s="40">
        <f t="shared" si="18"/>
        <v>-27760.030000000046</v>
      </c>
      <c r="I43" s="60">
        <f t="shared" si="18"/>
        <v>-22439.940000000046</v>
      </c>
      <c r="J43" s="113">
        <f t="shared" si="18"/>
        <v>-19336.830000000045</v>
      </c>
      <c r="K43" s="40">
        <f t="shared" si="18"/>
        <v>-16115.750000000045</v>
      </c>
      <c r="L43" s="60">
        <f t="shared" si="18"/>
        <v>-12065.440000000046</v>
      </c>
    </row>
    <row r="44" spans="1:15" x14ac:dyDescent="0.25">
      <c r="C44" s="96"/>
      <c r="D44" s="16"/>
      <c r="E44" s="16"/>
      <c r="F44" s="16"/>
      <c r="G44" s="9"/>
      <c r="H44" s="16"/>
      <c r="I44" s="10"/>
      <c r="J44" s="16"/>
      <c r="K44" s="16"/>
      <c r="L44" s="10"/>
    </row>
    <row r="45" spans="1:15" x14ac:dyDescent="0.25">
      <c r="A45" s="38" t="s">
        <v>77</v>
      </c>
      <c r="B45" s="38"/>
      <c r="C45" s="99"/>
      <c r="D45" s="289">
        <f>'PCR Cycle 3'!E45</f>
        <v>4.7316600000000004E-3</v>
      </c>
      <c r="E45" s="289">
        <f>'PCR Cycle 3'!F45</f>
        <v>4.7233199999999996E-3</v>
      </c>
      <c r="F45" s="289">
        <f>'PCR Cycle 3'!G45</f>
        <v>4.7454000000000003E-3</v>
      </c>
      <c r="G45" s="290">
        <f>'PCR Cycle 3'!H45</f>
        <v>4.7389099999999998E-3</v>
      </c>
      <c r="H45" s="289">
        <f>'PCR Cycle 3'!I45</f>
        <v>4.6019700000000004E-3</v>
      </c>
      <c r="I45" s="291">
        <f>'PCR Cycle 3'!J45</f>
        <v>4.4886099999999996E-3</v>
      </c>
      <c r="J45" s="351">
        <f>I45</f>
        <v>4.4886099999999996E-3</v>
      </c>
      <c r="K45" s="351">
        <f>I45</f>
        <v>4.4886099999999996E-3</v>
      </c>
      <c r="L45" s="82"/>
    </row>
    <row r="46" spans="1:15" x14ac:dyDescent="0.25">
      <c r="A46" s="38" t="s">
        <v>31</v>
      </c>
      <c r="B46" s="38"/>
      <c r="C46" s="100"/>
      <c r="D46" s="80"/>
      <c r="E46" s="80"/>
      <c r="F46" s="80"/>
      <c r="G46" s="81"/>
      <c r="H46" s="80"/>
      <c r="I46" s="82"/>
      <c r="J46" s="80"/>
      <c r="K46" s="80"/>
      <c r="L46" s="82"/>
    </row>
    <row r="47" spans="1:15" x14ac:dyDescent="0.25">
      <c r="A47" s="45" t="s">
        <v>22</v>
      </c>
      <c r="C47" s="309">
        <v>2806.8500000000004</v>
      </c>
      <c r="D47" s="40">
        <f>ROUND((C40+C47+D34/2)*D$45,2)</f>
        <v>-1502.36</v>
      </c>
      <c r="E47" s="40">
        <f t="shared" ref="E47:L47" si="19">ROUND((D40+D47+E34/2)*E$45,2)</f>
        <v>-1388.82</v>
      </c>
      <c r="F47" s="102">
        <f t="shared" si="19"/>
        <v>-1232.6099999999999</v>
      </c>
      <c r="G47" s="39">
        <f t="shared" si="19"/>
        <v>-1077.46</v>
      </c>
      <c r="H47" s="113">
        <f t="shared" si="19"/>
        <v>-951.9</v>
      </c>
      <c r="I47" s="48">
        <f t="shared" si="19"/>
        <v>-852.56</v>
      </c>
      <c r="J47" s="147">
        <f t="shared" si="19"/>
        <v>-786.34</v>
      </c>
      <c r="K47" s="102">
        <f t="shared" si="19"/>
        <v>-711.4</v>
      </c>
      <c r="L47" s="60">
        <f t="shared" si="19"/>
        <v>0</v>
      </c>
      <c r="O47" s="46">
        <f>-SUM(J47:L47)</f>
        <v>1497.74</v>
      </c>
    </row>
    <row r="48" spans="1:15" x14ac:dyDescent="0.25">
      <c r="A48" s="45" t="s">
        <v>94</v>
      </c>
      <c r="C48" s="309">
        <v>770.51</v>
      </c>
      <c r="D48" s="40">
        <f t="shared" ref="D48:L48" si="20">ROUND((C41+C48+D35/2)*D$45,2)</f>
        <v>-416.31</v>
      </c>
      <c r="E48" s="40">
        <f t="shared" si="20"/>
        <v>-368.33</v>
      </c>
      <c r="F48" s="102">
        <f t="shared" si="20"/>
        <v>-312.2</v>
      </c>
      <c r="G48" s="39">
        <f t="shared" si="20"/>
        <v>-263.54000000000002</v>
      </c>
      <c r="H48" s="113">
        <f t="shared" si="20"/>
        <v>-226.24</v>
      </c>
      <c r="I48" s="48">
        <f t="shared" si="20"/>
        <v>-193.83</v>
      </c>
      <c r="J48" s="147">
        <f t="shared" si="20"/>
        <v>-170.75</v>
      </c>
      <c r="K48" s="102">
        <f t="shared" si="20"/>
        <v>-150.01</v>
      </c>
      <c r="L48" s="60">
        <f t="shared" si="20"/>
        <v>0</v>
      </c>
      <c r="O48" s="46">
        <f t="shared" ref="O48:O50" si="21">-SUM(J48:L48)</f>
        <v>320.76</v>
      </c>
    </row>
    <row r="49" spans="1:17" x14ac:dyDescent="0.25">
      <c r="A49" s="45" t="s">
        <v>95</v>
      </c>
      <c r="C49" s="309">
        <v>764.92000000000007</v>
      </c>
      <c r="D49" s="40">
        <f t="shared" ref="D49:L49" si="22">ROUND((C42+C49+D36/2)*D$45,2)</f>
        <v>-412.9</v>
      </c>
      <c r="E49" s="40">
        <f t="shared" si="22"/>
        <v>-366.27</v>
      </c>
      <c r="F49" s="102">
        <f t="shared" si="22"/>
        <v>-314.87</v>
      </c>
      <c r="G49" s="39">
        <f t="shared" si="22"/>
        <v>-271.77999999999997</v>
      </c>
      <c r="H49" s="113">
        <f t="shared" si="22"/>
        <v>-236.95</v>
      </c>
      <c r="I49" s="48">
        <f t="shared" si="22"/>
        <v>-206.04</v>
      </c>
      <c r="J49" s="147">
        <f t="shared" si="22"/>
        <v>-184.11</v>
      </c>
      <c r="K49" s="102">
        <f t="shared" si="22"/>
        <v>-163.83000000000001</v>
      </c>
      <c r="L49" s="60">
        <f t="shared" si="22"/>
        <v>0</v>
      </c>
      <c r="O49" s="46">
        <f t="shared" si="21"/>
        <v>347.94000000000005</v>
      </c>
    </row>
    <row r="50" spans="1:17" ht="15.75" thickBot="1" x14ac:dyDescent="0.3">
      <c r="A50" s="45" t="s">
        <v>96</v>
      </c>
      <c r="C50" s="309">
        <v>539.35</v>
      </c>
      <c r="D50" s="40">
        <f t="shared" ref="D50:L50" si="23">ROUND((C43+C50+D37/2)*D$45,2)</f>
        <v>-288.33</v>
      </c>
      <c r="E50" s="40">
        <f t="shared" si="23"/>
        <v>-245.5</v>
      </c>
      <c r="F50" s="102">
        <f t="shared" si="23"/>
        <v>-200.3</v>
      </c>
      <c r="G50" s="39">
        <f t="shared" si="23"/>
        <v>-165.3</v>
      </c>
      <c r="H50" s="113">
        <f t="shared" si="23"/>
        <v>-139.16</v>
      </c>
      <c r="I50" s="48">
        <f t="shared" si="23"/>
        <v>-112.98</v>
      </c>
      <c r="J50" s="147">
        <f t="shared" si="23"/>
        <v>-94.01</v>
      </c>
      <c r="K50" s="102">
        <f t="shared" si="23"/>
        <v>-79.78</v>
      </c>
      <c r="L50" s="60">
        <f t="shared" si="23"/>
        <v>0</v>
      </c>
      <c r="O50" s="46">
        <f t="shared" si="21"/>
        <v>173.79000000000002</v>
      </c>
    </row>
    <row r="51" spans="1:17" ht="16.5" thickTop="1" thickBot="1" x14ac:dyDescent="0.3">
      <c r="A51" s="53" t="s">
        <v>20</v>
      </c>
      <c r="B51" s="53"/>
      <c r="C51" s="101">
        <v>0</v>
      </c>
      <c r="D51" s="41">
        <f t="shared" ref="D51:I51" si="24">SUM(D47:D50)+SUM(D40:D43)-D54</f>
        <v>0</v>
      </c>
      <c r="E51" s="41">
        <f t="shared" si="24"/>
        <v>0</v>
      </c>
      <c r="F51" s="49">
        <f t="shared" ref="F51:H51" si="25">SUM(F47:F50)+SUM(F40:F43)-F54</f>
        <v>0</v>
      </c>
      <c r="G51" s="249">
        <f t="shared" si="25"/>
        <v>0</v>
      </c>
      <c r="H51" s="49">
        <f t="shared" si="25"/>
        <v>0</v>
      </c>
      <c r="I51" s="61">
        <f t="shared" si="24"/>
        <v>0</v>
      </c>
      <c r="J51" s="148">
        <f t="shared" ref="J51:L51" si="26">SUM(J47:J50)+SUM(J40:J43)-J54</f>
        <v>0</v>
      </c>
      <c r="K51" s="49">
        <f t="shared" si="26"/>
        <v>0</v>
      </c>
      <c r="L51" s="61">
        <f t="shared" si="26"/>
        <v>0</v>
      </c>
    </row>
    <row r="52" spans="1:17" ht="16.5" thickTop="1" thickBot="1" x14ac:dyDescent="0.3">
      <c r="A52" s="53" t="s">
        <v>21</v>
      </c>
      <c r="B52" s="53"/>
      <c r="C52" s="101">
        <v>0</v>
      </c>
      <c r="D52" s="41">
        <f t="shared" ref="D52:I52" si="27">SUM(D47:D50)-D31</f>
        <v>0</v>
      </c>
      <c r="E52" s="41">
        <f t="shared" si="27"/>
        <v>0</v>
      </c>
      <c r="F52" s="49">
        <f t="shared" ref="F52:H52" si="28">SUM(F47:F50)-F31</f>
        <v>0</v>
      </c>
      <c r="G52" s="249">
        <f t="shared" si="28"/>
        <v>0</v>
      </c>
      <c r="H52" s="49">
        <f t="shared" si="28"/>
        <v>0</v>
      </c>
      <c r="I52" s="61">
        <f t="shared" si="27"/>
        <v>0</v>
      </c>
      <c r="J52" s="149">
        <f t="shared" ref="J52:L52" si="29">SUM(J47:J50)-J31</f>
        <v>0</v>
      </c>
      <c r="K52" s="41">
        <f t="shared" si="29"/>
        <v>0</v>
      </c>
      <c r="L52" s="41">
        <f t="shared" si="29"/>
        <v>0</v>
      </c>
    </row>
    <row r="53" spans="1:17" ht="16.5" thickTop="1" thickBot="1" x14ac:dyDescent="0.3">
      <c r="C53" s="96"/>
      <c r="D53" s="16"/>
      <c r="E53" s="16"/>
      <c r="F53" s="16"/>
      <c r="G53" s="9"/>
      <c r="H53" s="16"/>
      <c r="I53" s="10"/>
      <c r="J53" s="16"/>
      <c r="K53" s="16"/>
      <c r="L53" s="10"/>
      <c r="P53" s="509"/>
      <c r="Q53" s="509"/>
    </row>
    <row r="54" spans="1:17" ht="15.75" thickBot="1" x14ac:dyDescent="0.3">
      <c r="A54" s="45" t="s">
        <v>30</v>
      </c>
      <c r="B54" s="110">
        <f>SUM(B40:B43)</f>
        <v>-398506.37999999989</v>
      </c>
      <c r="C54" s="97">
        <f t="shared" ref="C54:L54" si="30">(C17-SUM(C20:C23))+SUM(C47:C50)+B54</f>
        <v>-578844.5199999999</v>
      </c>
      <c r="D54" s="40">
        <f t="shared" si="30"/>
        <v>-531162.17999999993</v>
      </c>
      <c r="E54" s="40">
        <f t="shared" si="30"/>
        <v>-474280.25999999995</v>
      </c>
      <c r="F54" s="102">
        <f t="shared" si="30"/>
        <v>-395977.97999999992</v>
      </c>
      <c r="G54" s="39">
        <f t="shared" si="30"/>
        <v>-356214.5199999999</v>
      </c>
      <c r="H54" s="40">
        <f t="shared" si="30"/>
        <v>-320815.89999999991</v>
      </c>
      <c r="I54" s="60">
        <f t="shared" si="30"/>
        <v>-288939.64999999991</v>
      </c>
      <c r="J54" s="147">
        <f t="shared" si="30"/>
        <v>-262672.2699999999</v>
      </c>
      <c r="K54" s="102">
        <f t="shared" si="30"/>
        <v>-230795.9599999999</v>
      </c>
      <c r="L54" s="60">
        <f t="shared" si="30"/>
        <v>-190438.1399999999</v>
      </c>
      <c r="P54" s="509"/>
      <c r="Q54" s="509"/>
    </row>
    <row r="55" spans="1:17" x14ac:dyDescent="0.25">
      <c r="A55" s="45" t="s">
        <v>10</v>
      </c>
      <c r="C55" s="111"/>
      <c r="D55" s="16"/>
      <c r="E55" s="16"/>
      <c r="F55" s="16"/>
      <c r="G55" s="9"/>
      <c r="H55" s="16"/>
      <c r="I55" s="10"/>
      <c r="J55" s="16"/>
      <c r="K55" s="16"/>
      <c r="L55" s="10"/>
      <c r="P55" s="509"/>
      <c r="Q55" s="509"/>
    </row>
    <row r="56" spans="1:17" ht="15.75" thickBot="1" x14ac:dyDescent="0.3">
      <c r="A56" s="36"/>
      <c r="B56" s="36"/>
      <c r="C56" s="134"/>
      <c r="D56" s="43"/>
      <c r="E56" s="43"/>
      <c r="F56" s="43"/>
      <c r="G56" s="42"/>
      <c r="H56" s="43"/>
      <c r="I56" s="44"/>
      <c r="J56" s="43"/>
      <c r="K56" s="43"/>
      <c r="L56" s="44"/>
      <c r="P56" s="509"/>
      <c r="Q56" s="509"/>
    </row>
    <row r="58" spans="1:17" x14ac:dyDescent="0.25">
      <c r="A58" s="68" t="s">
        <v>9</v>
      </c>
      <c r="B58" s="68"/>
      <c r="C58" s="68"/>
    </row>
    <row r="59" spans="1:17" x14ac:dyDescent="0.25">
      <c r="A59" s="537" t="s">
        <v>151</v>
      </c>
      <c r="B59" s="537"/>
      <c r="C59" s="537"/>
      <c r="D59" s="537"/>
      <c r="E59" s="537"/>
      <c r="F59" s="537"/>
      <c r="G59" s="537"/>
      <c r="H59" s="537"/>
      <c r="I59" s="537"/>
      <c r="J59" s="256"/>
      <c r="K59" s="256"/>
      <c r="L59" s="256"/>
    </row>
    <row r="60" spans="1:17" ht="58.5" customHeight="1" x14ac:dyDescent="0.25">
      <c r="A60" s="537" t="s">
        <v>269</v>
      </c>
      <c r="B60" s="537"/>
      <c r="C60" s="537"/>
      <c r="D60" s="537"/>
      <c r="E60" s="537"/>
      <c r="F60" s="537"/>
      <c r="G60" s="537"/>
      <c r="H60" s="537"/>
      <c r="I60" s="537"/>
      <c r="J60" s="256"/>
      <c r="K60" s="256"/>
    </row>
    <row r="61" spans="1:17" x14ac:dyDescent="0.25">
      <c r="A61" s="537" t="s">
        <v>219</v>
      </c>
      <c r="B61" s="537"/>
      <c r="C61" s="537"/>
      <c r="D61" s="537"/>
      <c r="E61" s="537"/>
      <c r="F61" s="537"/>
      <c r="G61" s="537"/>
      <c r="H61" s="537"/>
      <c r="I61" s="537"/>
      <c r="J61" s="256"/>
      <c r="K61" s="256"/>
      <c r="L61" s="256"/>
    </row>
    <row r="62" spans="1:17" x14ac:dyDescent="0.25">
      <c r="A62" s="408" t="s">
        <v>270</v>
      </c>
      <c r="B62" s="408"/>
      <c r="C62" s="408"/>
      <c r="D62" s="388"/>
      <c r="E62" s="388"/>
      <c r="F62" s="388"/>
      <c r="G62" s="388"/>
      <c r="H62" s="388"/>
      <c r="I62" s="316"/>
    </row>
    <row r="63" spans="1:17" x14ac:dyDescent="0.25">
      <c r="A63" s="408" t="s">
        <v>110</v>
      </c>
      <c r="B63" s="408"/>
      <c r="C63" s="408"/>
      <c r="D63" s="388"/>
      <c r="E63" s="388"/>
      <c r="F63" s="388"/>
      <c r="G63" s="388"/>
      <c r="H63" s="388"/>
      <c r="I63" s="316"/>
    </row>
    <row r="64" spans="1:17" x14ac:dyDescent="0.25">
      <c r="A64" s="3"/>
      <c r="B64" s="62"/>
      <c r="C64" s="62"/>
      <c r="D64" s="38"/>
      <c r="E64" s="38"/>
      <c r="F64" s="38"/>
      <c r="G64" s="38"/>
      <c r="H64" s="38"/>
      <c r="I64" s="38"/>
    </row>
    <row r="65" spans="1:3" x14ac:dyDescent="0.25">
      <c r="A65" s="3"/>
      <c r="B65" s="3"/>
      <c r="C65" s="3"/>
    </row>
  </sheetData>
  <mergeCells count="6">
    <mergeCell ref="A61:I61"/>
    <mergeCell ref="D15:F15"/>
    <mergeCell ref="G15:I15"/>
    <mergeCell ref="J15:L15"/>
    <mergeCell ref="A59:I59"/>
    <mergeCell ref="A60:I60"/>
  </mergeCells>
  <pageMargins left="0.2" right="0.2" top="0.75" bottom="0.25" header="0.3" footer="0.3"/>
  <pageSetup scale="62" orientation="landscape" r:id="rId1"/>
  <headerFooter>
    <oddHeader>&amp;C&amp;F &amp;A&amp;R&amp;"Arial"&amp;10&amp;K000000CONFIDENTIAL</oddHeader>
    <oddFooter xml:space="preserve">&amp;R_x000D_&amp;1#&amp;"Calibri"&amp;10&amp;KA80000 Restricted – Sensitive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AG50"/>
  <sheetViews>
    <sheetView tabSelected="1" zoomScale="90" zoomScaleNormal="90" workbookViewId="0">
      <selection activeCell="D4" sqref="D4"/>
    </sheetView>
  </sheetViews>
  <sheetFormatPr defaultRowHeight="15" outlineLevelCol="1" x14ac:dyDescent="0.25"/>
  <cols>
    <col min="2" max="2" width="25.140625" customWidth="1"/>
    <col min="3" max="4" width="16.7109375" bestFit="1" customWidth="1"/>
    <col min="5" max="5" width="15.42578125" bestFit="1" customWidth="1"/>
    <col min="6" max="6" width="14.28515625" bestFit="1" customWidth="1"/>
    <col min="7" max="7" width="19.140625" bestFit="1" customWidth="1"/>
    <col min="8" max="8" width="14.28515625" bestFit="1" customWidth="1"/>
    <col min="9" max="9" width="3.5703125" customWidth="1"/>
    <col min="10" max="10" width="13.7109375" bestFit="1" customWidth="1"/>
    <col min="11" max="11" width="13" bestFit="1" customWidth="1"/>
    <col min="12" max="12" width="13.7109375" bestFit="1" customWidth="1"/>
    <col min="13" max="13" width="14.28515625" bestFit="1" customWidth="1"/>
    <col min="14" max="14" width="12.28515625" bestFit="1" customWidth="1"/>
    <col min="15" max="16" width="16" bestFit="1" customWidth="1" outlineLevel="1"/>
    <col min="17" max="17" width="16" style="45" customWidth="1" outlineLevel="1"/>
    <col min="18" max="18" width="9.140625" customWidth="1" outlineLevel="1"/>
    <col min="19" max="20" width="16.7109375" bestFit="1" customWidth="1" outlineLevel="1"/>
    <col min="21" max="21" width="16.7109375" style="45" bestFit="1" customWidth="1" outlineLevel="1"/>
    <col min="22" max="22" width="16.7109375" bestFit="1" customWidth="1" outlineLevel="1"/>
    <col min="23" max="23" width="9.140625" customWidth="1" outlineLevel="1"/>
    <col min="24" max="27" width="16.7109375" bestFit="1" customWidth="1" outlineLevel="1"/>
    <col min="28" max="28" width="12.85546875" bestFit="1" customWidth="1"/>
    <col min="29" max="32" width="16.7109375" customWidth="1"/>
    <col min="33" max="33" width="12.85546875" bestFit="1" customWidth="1"/>
  </cols>
  <sheetData>
    <row r="1" spans="1:33" x14ac:dyDescent="0.25">
      <c r="A1" s="3" t="str">
        <f>+'PTD Cycle 3'!A1</f>
        <v>Evergy Missouri West, Inc. - DSIM Rider Update Filed 12/01/2025</v>
      </c>
    </row>
    <row r="2" spans="1:33" ht="15.75" thickBot="1" x14ac:dyDescent="0.3">
      <c r="H2" s="45"/>
      <c r="I2" s="45"/>
      <c r="J2" s="47"/>
      <c r="K2" s="47"/>
    </row>
    <row r="3" spans="1:33" ht="27.75" thickBot="1" x14ac:dyDescent="0.3">
      <c r="B3" s="84" t="s">
        <v>5</v>
      </c>
      <c r="C3" s="120" t="s">
        <v>17</v>
      </c>
      <c r="D3" s="120" t="s">
        <v>18</v>
      </c>
      <c r="E3" s="120" t="s">
        <v>51</v>
      </c>
      <c r="F3" s="120" t="s">
        <v>19</v>
      </c>
      <c r="G3" s="86" t="s">
        <v>32</v>
      </c>
      <c r="H3" s="86" t="s">
        <v>25</v>
      </c>
      <c r="I3" s="38"/>
      <c r="J3" s="85" t="s">
        <v>11</v>
      </c>
      <c r="K3" s="86" t="s">
        <v>50</v>
      </c>
      <c r="L3" s="86" t="s">
        <v>63</v>
      </c>
      <c r="M3" s="86" t="s">
        <v>64</v>
      </c>
      <c r="N3" s="270" t="s">
        <v>195</v>
      </c>
      <c r="O3" s="16"/>
    </row>
    <row r="4" spans="1:33" ht="15.75" thickBot="1" x14ac:dyDescent="0.3">
      <c r="B4" s="87" t="s">
        <v>22</v>
      </c>
      <c r="C4" s="118">
        <f t="shared" ref="C4:F7" si="0">C12+C20</f>
        <v>4878310.1900000004</v>
      </c>
      <c r="D4" s="119">
        <f t="shared" si="0"/>
        <v>377298.91000000003</v>
      </c>
      <c r="E4" s="119">
        <f t="shared" si="0"/>
        <v>1053573.4978199992</v>
      </c>
      <c r="F4" s="119">
        <f t="shared" si="0"/>
        <v>-124964.85999999986</v>
      </c>
      <c r="G4" s="357">
        <f>SUM('[1]GMO Billed kWh Sales'!$E43:$F43)</f>
        <v>3773371154</v>
      </c>
      <c r="H4" s="244">
        <f>ROUND(SUM(C4:F4)/G4,5)</f>
        <v>1.64E-3</v>
      </c>
      <c r="I4" s="245"/>
      <c r="J4" s="514">
        <f>ROUND((C12+C20)/G4,5)</f>
        <v>1.2899999999999999E-3</v>
      </c>
      <c r="K4" s="251">
        <f>ROUND((D12+D20)/G4,5)</f>
        <v>1E-4</v>
      </c>
      <c r="L4" s="122">
        <f>ROUND((E12+E20)/G4,5)</f>
        <v>2.7999999999999998E-4</v>
      </c>
      <c r="M4" s="122">
        <f>ROUND((F12+F20)/G4,5)</f>
        <v>-3.0000000000000001E-5</v>
      </c>
      <c r="N4" s="269">
        <f>+H4-SUM(J4:M4)</f>
        <v>0</v>
      </c>
      <c r="O4" s="228"/>
      <c r="P4" s="228"/>
      <c r="Q4" s="228"/>
      <c r="R4" s="228"/>
      <c r="S4" s="228"/>
    </row>
    <row r="5" spans="1:33" ht="15.75" thickBot="1" x14ac:dyDescent="0.3">
      <c r="B5" s="87" t="s">
        <v>94</v>
      </c>
      <c r="C5" s="118">
        <f t="shared" si="0"/>
        <v>2516196.1999999997</v>
      </c>
      <c r="D5" s="119">
        <f t="shared" si="0"/>
        <v>538105.37</v>
      </c>
      <c r="E5" s="119">
        <f t="shared" si="0"/>
        <v>249831.83000000005</v>
      </c>
      <c r="F5" s="119">
        <f t="shared" si="0"/>
        <v>-25075.619999999992</v>
      </c>
      <c r="G5" s="357">
        <f>SUM('[1]GMO Billed kWh Sales'!$E44:$F44)</f>
        <v>1419314629</v>
      </c>
      <c r="H5" s="244">
        <f>ROUND(SUM(C5:F5)/G5,5)</f>
        <v>2.31E-3</v>
      </c>
      <c r="I5" s="245"/>
      <c r="J5" s="514">
        <f>ROUND((C13+C21)/G5,5)</f>
        <v>1.7700000000000001E-3</v>
      </c>
      <c r="K5" s="251">
        <f>ROUND((D13+D21)/G5,5)</f>
        <v>3.8000000000000002E-4</v>
      </c>
      <c r="L5" s="122">
        <f>ROUND((E13+E21)/G5,5)</f>
        <v>1.8000000000000001E-4</v>
      </c>
      <c r="M5" s="122">
        <f>ROUND((F13+F21)/G5,5)</f>
        <v>-2.0000000000000002E-5</v>
      </c>
      <c r="N5" s="269">
        <f t="shared" ref="N5:N7" si="1">+H5-SUM(J5:M5)</f>
        <v>0</v>
      </c>
      <c r="O5" s="228">
        <f>C5/SUM(C$5:C$7)</f>
        <v>0.40576770262242889</v>
      </c>
      <c r="P5" s="228">
        <f t="shared" ref="P5:Q5" si="2">D5/SUM(D$5:D$7)</f>
        <v>0.5870624829861586</v>
      </c>
      <c r="Q5" s="228">
        <f t="shared" si="2"/>
        <v>0.34385103595324856</v>
      </c>
      <c r="R5" s="228">
        <f>F5/SUM(F$5:F$7)</f>
        <v>0.38299012971398388</v>
      </c>
      <c r="S5" s="228">
        <f>G5/SUM(G$5:G$7)</f>
        <v>0.41925115438063226</v>
      </c>
    </row>
    <row r="6" spans="1:33" s="45" customFormat="1" ht="15.75" thickBot="1" x14ac:dyDescent="0.3">
      <c r="B6" s="87" t="s">
        <v>95</v>
      </c>
      <c r="C6" s="118">
        <f t="shared" si="0"/>
        <v>2532487.0899999994</v>
      </c>
      <c r="D6" s="119">
        <f t="shared" si="0"/>
        <v>323613.88000000006</v>
      </c>
      <c r="E6" s="119">
        <f t="shared" si="0"/>
        <v>320065.98000000004</v>
      </c>
      <c r="F6" s="119">
        <f t="shared" si="0"/>
        <v>-28332.219999999987</v>
      </c>
      <c r="G6" s="357">
        <f>SUM('[1]GMO Billed kWh Sales'!$E45:$F45)</f>
        <v>1160112975</v>
      </c>
      <c r="H6" s="244">
        <f>ROUND(SUM(C6:F6)/G6,5)</f>
        <v>2.7100000000000002E-3</v>
      </c>
      <c r="I6" s="245"/>
      <c r="J6" s="318">
        <f>ROUND((C14+C22)/G6,5)-0.00001</f>
        <v>2.1700000000000001E-3</v>
      </c>
      <c r="K6" s="251">
        <f>ROUND((D14+D22)/G6,5)</f>
        <v>2.7999999999999998E-4</v>
      </c>
      <c r="L6" s="122">
        <f>ROUND((E14+E22)/G6,5)</f>
        <v>2.7999999999999998E-4</v>
      </c>
      <c r="M6" s="122">
        <f>ROUND((F14+F22)/G6,5)</f>
        <v>-2.0000000000000002E-5</v>
      </c>
      <c r="N6" s="269">
        <f t="shared" si="1"/>
        <v>0</v>
      </c>
      <c r="O6" s="228">
        <f t="shared" ref="O6:O7" si="3">C6/SUM(C$5:C$7)</f>
        <v>0.40839480976493814</v>
      </c>
      <c r="P6" s="228">
        <f t="shared" ref="P6:P7" si="4">D6/SUM(D$5:D$7)</f>
        <v>0.35305644305609662</v>
      </c>
      <c r="Q6" s="228">
        <f t="shared" ref="Q6:Q7" si="5">E6/SUM(E$5:E$7)</f>
        <v>0.44051640175870199</v>
      </c>
      <c r="R6" s="228">
        <f>F6/SUM(F$5:F$7)</f>
        <v>0.43272950431076584</v>
      </c>
      <c r="S6" s="228">
        <f t="shared" ref="S6:S7" si="6">G6/SUM(G$5:G$7)</f>
        <v>0.34268561321275548</v>
      </c>
    </row>
    <row r="7" spans="1:33" s="45" customFormat="1" ht="15.75" thickBot="1" x14ac:dyDescent="0.3">
      <c r="B7" s="87" t="s">
        <v>96</v>
      </c>
      <c r="C7" s="118">
        <f t="shared" si="0"/>
        <v>1152392.310000001</v>
      </c>
      <c r="D7" s="119">
        <f t="shared" si="0"/>
        <v>54887.390000000058</v>
      </c>
      <c r="E7" s="119">
        <f t="shared" si="0"/>
        <v>156672.13999999998</v>
      </c>
      <c r="F7" s="119">
        <f t="shared" si="0"/>
        <v>-12065.440000000033</v>
      </c>
      <c r="G7" s="357">
        <f>SUM('[1]GMO Billed kWh Sales'!$E46:$F46)</f>
        <v>805928916</v>
      </c>
      <c r="H7" s="244">
        <f>ROUND(SUM(C7:F7)/G7,5)</f>
        <v>1.6800000000000001E-3</v>
      </c>
      <c r="I7" s="245"/>
      <c r="J7" s="514">
        <f>ROUND((C15+C23)/G7,5)</f>
        <v>1.4300000000000001E-3</v>
      </c>
      <c r="K7" s="251">
        <f>ROUND((D15+D23)/G7,5)</f>
        <v>6.9999999999999994E-5</v>
      </c>
      <c r="L7" s="122">
        <f>ROUND((E15+E23)/G7,5)</f>
        <v>1.9000000000000001E-4</v>
      </c>
      <c r="M7" s="122">
        <f>ROUND((F15+F23)/G7,5)</f>
        <v>-1.0000000000000001E-5</v>
      </c>
      <c r="N7" s="269">
        <f t="shared" si="1"/>
        <v>0</v>
      </c>
      <c r="O7" s="228">
        <f t="shared" si="3"/>
        <v>0.18583748761263305</v>
      </c>
      <c r="P7" s="228">
        <f t="shared" si="4"/>
        <v>5.9881073957744904E-2</v>
      </c>
      <c r="Q7" s="228">
        <f t="shared" si="5"/>
        <v>0.21563256228804945</v>
      </c>
      <c r="R7" s="228">
        <f>F7/SUM(F$5:F$7)</f>
        <v>0.18428036597525022</v>
      </c>
      <c r="S7" s="228">
        <f t="shared" si="6"/>
        <v>0.23806323240661223</v>
      </c>
    </row>
    <row r="8" spans="1:33" x14ac:dyDescent="0.25">
      <c r="C8" s="117"/>
      <c r="D8" s="117"/>
      <c r="E8" s="117"/>
      <c r="F8" s="117"/>
      <c r="G8" s="116"/>
      <c r="H8" s="246"/>
      <c r="I8" s="246"/>
      <c r="J8" s="246"/>
    </row>
    <row r="9" spans="1:33" x14ac:dyDescent="0.25">
      <c r="C9" s="117"/>
      <c r="D9" s="117"/>
      <c r="E9" s="117"/>
      <c r="F9" s="117"/>
      <c r="G9" s="116"/>
      <c r="H9" s="45"/>
      <c r="I9" s="45"/>
      <c r="J9" s="16"/>
      <c r="K9" s="16"/>
      <c r="L9" s="45"/>
      <c r="M9" s="45"/>
    </row>
    <row r="10" spans="1:33" ht="15.75" thickBot="1" x14ac:dyDescent="0.3">
      <c r="C10" s="117"/>
      <c r="D10" s="117"/>
      <c r="E10" s="117"/>
      <c r="F10" s="117"/>
      <c r="G10" s="116"/>
      <c r="H10" s="45"/>
      <c r="I10" s="45"/>
      <c r="J10" s="16"/>
      <c r="K10" s="16"/>
      <c r="L10" s="45"/>
      <c r="M10" s="45"/>
    </row>
    <row r="11" spans="1:33" ht="15.75" thickBot="1" x14ac:dyDescent="0.3">
      <c r="B11" s="84" t="s">
        <v>5</v>
      </c>
      <c r="C11" s="121" t="s">
        <v>4</v>
      </c>
      <c r="D11" s="121" t="s">
        <v>14</v>
      </c>
      <c r="E11" s="121" t="s">
        <v>52</v>
      </c>
      <c r="F11" s="121" t="s">
        <v>15</v>
      </c>
      <c r="G11" s="116"/>
      <c r="H11" s="45"/>
      <c r="I11" s="45"/>
      <c r="J11" s="16"/>
      <c r="K11" s="16"/>
      <c r="L11" s="45"/>
      <c r="M11" s="45"/>
      <c r="O11" s="121" t="s">
        <v>65</v>
      </c>
      <c r="P11" s="121" t="s">
        <v>66</v>
      </c>
      <c r="Q11" s="121" t="s">
        <v>73</v>
      </c>
      <c r="R11" s="45"/>
      <c r="S11" s="121" t="s">
        <v>67</v>
      </c>
      <c r="T11" s="121" t="s">
        <v>68</v>
      </c>
      <c r="U11" s="121" t="s">
        <v>90</v>
      </c>
      <c r="V11" s="121" t="s">
        <v>82</v>
      </c>
      <c r="X11" s="121" t="s">
        <v>99</v>
      </c>
      <c r="Y11" s="121" t="s">
        <v>100</v>
      </c>
      <c r="Z11" s="121" t="s">
        <v>101</v>
      </c>
      <c r="AA11" s="121" t="s">
        <v>102</v>
      </c>
      <c r="AC11" s="121" t="s">
        <v>206</v>
      </c>
      <c r="AD11" s="121" t="s">
        <v>207</v>
      </c>
      <c r="AE11" s="121" t="s">
        <v>208</v>
      </c>
      <c r="AF11" s="121" t="s">
        <v>209</v>
      </c>
      <c r="AG11" s="45"/>
    </row>
    <row r="12" spans="1:33" ht="15.75" thickBot="1" x14ac:dyDescent="0.3">
      <c r="B12" s="87" t="s">
        <v>22</v>
      </c>
      <c r="C12" s="268">
        <f>+'PPC Cycle 4'!C5</f>
        <v>5896699.0899999999</v>
      </c>
      <c r="D12" s="268">
        <f>+'PTD Cycle 3'!C6+'PTD Cycle 4'!C6</f>
        <v>409851.84</v>
      </c>
      <c r="E12" s="268">
        <f>+'EO Cycle 2'!G7+'EO Cycle 3'!G8+'EO Cycle 4'!G8</f>
        <v>708231.21</v>
      </c>
      <c r="F12" s="268">
        <f>+'OA Cycle 3'!F9</f>
        <v>0</v>
      </c>
      <c r="G12" s="116"/>
      <c r="H12" s="45"/>
      <c r="I12" s="45"/>
      <c r="J12" s="45"/>
      <c r="K12" s="45"/>
      <c r="L12" s="45"/>
      <c r="M12" s="45"/>
      <c r="O12" s="271">
        <v>0</v>
      </c>
      <c r="P12" s="271">
        <v>0</v>
      </c>
      <c r="Q12" s="272">
        <v>0</v>
      </c>
      <c r="R12" s="142"/>
      <c r="S12" s="273">
        <v>0</v>
      </c>
      <c r="T12" s="273">
        <v>0</v>
      </c>
      <c r="U12" s="274">
        <f>ROUND('EO Cycle 2'!G7/'Tariff Tables'!G4,5)</f>
        <v>0</v>
      </c>
      <c r="V12" s="273">
        <v>0</v>
      </c>
      <c r="X12" s="273">
        <v>0</v>
      </c>
      <c r="Y12" s="274">
        <f>ROUND('PTD Cycle 3'!C6/'Tariff Tables'!G4,5)</f>
        <v>6.9999999999999994E-5</v>
      </c>
      <c r="Z12" s="274">
        <f>ROUND('EO Cycle 3'!G8/'Tariff Tables'!G4,5)</f>
        <v>1.9000000000000001E-4</v>
      </c>
      <c r="AA12" s="274">
        <f>ROUND('OA Cycle 3'!F9/'Tariff Tables'!G4,5)</f>
        <v>0</v>
      </c>
      <c r="AB12" s="142"/>
      <c r="AC12" s="274">
        <f>ROUND('PPC Cycle 4'!C5/'Tariff Tables'!$G4,5)</f>
        <v>1.56E-3</v>
      </c>
      <c r="AD12" s="274">
        <f>ROUND('PTD Cycle 4'!C6/'Tariff Tables'!G4,5)</f>
        <v>4.0000000000000003E-5</v>
      </c>
      <c r="AE12" s="274">
        <f>ROUND('EO Cycle 4'!G8/'Tariff Tables'!G4,5)</f>
        <v>0</v>
      </c>
      <c r="AF12" s="274"/>
      <c r="AG12" s="142">
        <f ca="1">SUM($O12:OFFSET(AG12,0,-1),$O20:OFFSET(AG20,0,-1))</f>
        <v>1.6399999999999997E-3</v>
      </c>
    </row>
    <row r="13" spans="1:33" ht="15.75" thickBot="1" x14ac:dyDescent="0.3">
      <c r="B13" s="87" t="s">
        <v>94</v>
      </c>
      <c r="C13" s="268">
        <f>+'PPC Cycle 4'!C6</f>
        <v>2319131.77</v>
      </c>
      <c r="D13" s="268">
        <f>+'PTD Cycle 3'!C7+'PTD Cycle 4'!C7</f>
        <v>575530.44000000006</v>
      </c>
      <c r="E13" s="268">
        <f>+'EO Cycle 2'!G11+'EO Cycle 3'!G12+'EO Cycle 4'!G12</f>
        <v>249277.48</v>
      </c>
      <c r="F13" s="268">
        <f>+'OA Cycle 3'!F14</f>
        <v>0</v>
      </c>
      <c r="G13" s="116"/>
      <c r="H13" s="45"/>
      <c r="I13" s="45"/>
      <c r="J13" s="45"/>
      <c r="K13" s="45"/>
      <c r="L13" s="45"/>
      <c r="M13" s="45"/>
      <c r="O13" s="271">
        <v>0</v>
      </c>
      <c r="P13" s="271">
        <v>0</v>
      </c>
      <c r="Q13" s="272">
        <v>0</v>
      </c>
      <c r="R13" s="142"/>
      <c r="S13" s="273">
        <v>0</v>
      </c>
      <c r="T13" s="273">
        <v>0</v>
      </c>
      <c r="U13" s="276">
        <f>ROUND('EO Cycle 2'!G11/'Tariff Tables'!G5,5)</f>
        <v>0</v>
      </c>
      <c r="V13" s="273">
        <v>0</v>
      </c>
      <c r="X13" s="273">
        <v>0</v>
      </c>
      <c r="Y13" s="274">
        <f>ROUND('PTD Cycle 3'!C7/'Tariff Tables'!G5,5)</f>
        <v>2.9E-4</v>
      </c>
      <c r="Z13" s="274">
        <f>ROUND('EO Cycle 3'!G12/'Tariff Tables'!G5,5)</f>
        <v>1.8000000000000001E-4</v>
      </c>
      <c r="AA13" s="274">
        <f>ROUND(0/'Tariff Tables'!G5,5)</f>
        <v>0</v>
      </c>
      <c r="AB13" s="142"/>
      <c r="AC13" s="274">
        <f>ROUND('PPC Cycle 4'!C6/'Tariff Tables'!$G5,5)</f>
        <v>1.6299999999999999E-3</v>
      </c>
      <c r="AD13" s="274">
        <f>ROUND('PTD Cycle 4'!C7/'Tariff Tables'!G5,5)</f>
        <v>1.1E-4</v>
      </c>
      <c r="AE13" s="274">
        <f>ROUND('EO Cycle 4'!G12/'Tariff Tables'!G5,5)</f>
        <v>0</v>
      </c>
      <c r="AF13" s="274"/>
      <c r="AG13" s="142">
        <f ca="1">SUM($O13:OFFSET(AG13,0,-1),$O21:OFFSET(AG21,0,-1))</f>
        <v>2.3099999999999996E-3</v>
      </c>
    </row>
    <row r="14" spans="1:33" s="45" customFormat="1" ht="15.75" thickBot="1" x14ac:dyDescent="0.3">
      <c r="B14" s="87" t="s">
        <v>95</v>
      </c>
      <c r="C14" s="268">
        <f>+'PPC Cycle 4'!C7</f>
        <v>3504312.21</v>
      </c>
      <c r="D14" s="268">
        <f>+'PTD Cycle 3'!C8+'PTD Cycle 4'!C8</f>
        <v>328746.77</v>
      </c>
      <c r="E14" s="268">
        <f>+'EO Cycle 2'!G12+'EO Cycle 3'!G13+'EO Cycle 4'!G13</f>
        <v>249353.32</v>
      </c>
      <c r="F14" s="268">
        <f>+'OA Cycle 3'!F15</f>
        <v>0</v>
      </c>
      <c r="G14" s="116"/>
      <c r="O14" s="271">
        <v>0</v>
      </c>
      <c r="P14" s="271">
        <v>0</v>
      </c>
      <c r="Q14" s="272">
        <v>0</v>
      </c>
      <c r="R14" s="207"/>
      <c r="S14" s="273">
        <v>0</v>
      </c>
      <c r="T14" s="273">
        <v>0</v>
      </c>
      <c r="U14" s="276">
        <f>ROUND('EO Cycle 2'!G12/'Tariff Tables'!G6,5)</f>
        <v>0</v>
      </c>
      <c r="V14" s="273">
        <v>0</v>
      </c>
      <c r="X14" s="273">
        <v>0</v>
      </c>
      <c r="Y14" s="274">
        <f>ROUND('PTD Cycle 3'!C8/'Tariff Tables'!G6,5)</f>
        <v>2.2000000000000001E-4</v>
      </c>
      <c r="Z14" s="274">
        <f>ROUND('EO Cycle 3'!G13/'Tariff Tables'!G6,5)</f>
        <v>2.1000000000000001E-4</v>
      </c>
      <c r="AA14" s="274">
        <f>ROUND(0/'Tariff Tables'!G6,5)</f>
        <v>0</v>
      </c>
      <c r="AB14" s="142"/>
      <c r="AC14" s="274">
        <f>ROUND('PPC Cycle 4'!C7/'Tariff Tables'!$G6,5)</f>
        <v>3.0200000000000001E-3</v>
      </c>
      <c r="AD14" s="274">
        <f>ROUND('PTD Cycle 4'!C8/'Tariff Tables'!G6,5)</f>
        <v>6.9999999999999994E-5</v>
      </c>
      <c r="AE14" s="274">
        <f>ROUND('EO Cycle 4'!G13/'Tariff Tables'!G6,5)</f>
        <v>0</v>
      </c>
      <c r="AF14" s="274"/>
      <c r="AG14" s="142">
        <f ca="1">SUM($O14:OFFSET(AG14,0,-1),$O22:OFFSET(AG22,0,-1))</f>
        <v>2.7100000000000006E-3</v>
      </c>
    </row>
    <row r="15" spans="1:33" s="45" customFormat="1" ht="15.75" thickBot="1" x14ac:dyDescent="0.3">
      <c r="B15" s="87" t="s">
        <v>96</v>
      </c>
      <c r="C15" s="268">
        <f>+'PPC Cycle 4'!C8</f>
        <v>3670850.14</v>
      </c>
      <c r="D15" s="268">
        <f>+'PTD Cycle 3'!C9+'PTD Cycle 4'!C9</f>
        <v>60917.340000000004</v>
      </c>
      <c r="E15" s="268">
        <f>+'EO Cycle 2'!G13+'EO Cycle 3'!G14+'EO Cycle 4'!G14</f>
        <v>165701.90000000002</v>
      </c>
      <c r="F15" s="268">
        <f>+'OA Cycle 3'!F16</f>
        <v>0</v>
      </c>
      <c r="G15" s="116"/>
      <c r="O15" s="271">
        <v>0</v>
      </c>
      <c r="P15" s="271">
        <v>0</v>
      </c>
      <c r="Q15" s="272">
        <v>0</v>
      </c>
      <c r="R15" s="207"/>
      <c r="S15" s="273">
        <v>0</v>
      </c>
      <c r="T15" s="273">
        <v>0</v>
      </c>
      <c r="U15" s="276">
        <f>ROUND('EO Cycle 2'!G13/'Tariff Tables'!G7,5)</f>
        <v>0</v>
      </c>
      <c r="V15" s="273">
        <v>0</v>
      </c>
      <c r="X15" s="273">
        <v>0</v>
      </c>
      <c r="Y15" s="274">
        <f>ROUND('PTD Cycle 3'!C9/'Tariff Tables'!G7,5)</f>
        <v>8.0000000000000007E-5</v>
      </c>
      <c r="Z15" s="274">
        <f>ROUND('EO Cycle 3'!G14/'Tariff Tables'!G7,5)</f>
        <v>2.1000000000000001E-4</v>
      </c>
      <c r="AA15" s="274">
        <f>ROUND(0/'Tariff Tables'!G7,5)</f>
        <v>0</v>
      </c>
      <c r="AB15" s="142"/>
      <c r="AC15" s="274">
        <f>ROUND('PPC Cycle 4'!C8/'Tariff Tables'!$G7,5)</f>
        <v>4.5500000000000002E-3</v>
      </c>
      <c r="AD15" s="274">
        <f>ROUND('PTD Cycle 4'!C9/'Tariff Tables'!G7,5)</f>
        <v>0</v>
      </c>
      <c r="AE15" s="274">
        <f>ROUND('EO Cycle 4'!G14/'Tariff Tables'!G7,5)</f>
        <v>0</v>
      </c>
      <c r="AF15" s="274"/>
      <c r="AG15" s="142">
        <f ca="1">SUM($O15:OFFSET(AG15,0,-1),$O23:OFFSET(AG23,0,-1))</f>
        <v>1.6800000000000009E-3</v>
      </c>
    </row>
    <row r="16" spans="1:33" x14ac:dyDescent="0.25">
      <c r="C16" s="116"/>
      <c r="D16" s="116"/>
      <c r="E16" s="116"/>
      <c r="F16" s="116"/>
      <c r="G16" s="116"/>
      <c r="J16" s="16"/>
      <c r="K16" s="16"/>
      <c r="O16" s="162"/>
      <c r="P16" s="162"/>
      <c r="Q16" s="208"/>
      <c r="R16" s="207"/>
      <c r="S16" s="207"/>
      <c r="T16" s="207"/>
      <c r="U16" s="207"/>
      <c r="V16" s="142"/>
      <c r="X16" s="207"/>
      <c r="Y16" s="207"/>
      <c r="Z16" s="207"/>
      <c r="AA16" s="207"/>
      <c r="AC16" s="207"/>
      <c r="AD16" s="207"/>
      <c r="AE16" s="207"/>
      <c r="AF16" s="207"/>
      <c r="AG16" s="45"/>
    </row>
    <row r="17" spans="2:33" x14ac:dyDescent="0.25">
      <c r="C17" s="117"/>
      <c r="D17" s="117"/>
      <c r="E17" s="117"/>
      <c r="F17" s="117"/>
      <c r="G17" s="116"/>
      <c r="J17" s="16"/>
      <c r="K17" s="16"/>
      <c r="O17" s="162"/>
      <c r="P17" s="162"/>
      <c r="Q17" s="208"/>
      <c r="R17" s="207"/>
      <c r="S17" s="207"/>
      <c r="T17" s="207"/>
      <c r="U17" s="207"/>
      <c r="V17" s="142"/>
      <c r="X17" s="207"/>
      <c r="Y17" s="207"/>
      <c r="Z17" s="207"/>
      <c r="AA17" s="207"/>
      <c r="AC17" s="207"/>
      <c r="AD17" s="207"/>
      <c r="AE17" s="207"/>
      <c r="AF17" s="207"/>
      <c r="AG17" s="45"/>
    </row>
    <row r="18" spans="2:33" ht="15.75" thickBot="1" x14ac:dyDescent="0.3">
      <c r="C18" s="117"/>
      <c r="D18" s="117"/>
      <c r="E18" s="117"/>
      <c r="F18" s="117"/>
      <c r="G18" s="116"/>
      <c r="J18" s="16"/>
      <c r="K18" s="16"/>
      <c r="O18" s="162"/>
      <c r="P18" s="162"/>
      <c r="Q18" s="208"/>
      <c r="R18" s="207"/>
      <c r="S18" s="207"/>
      <c r="T18" s="207"/>
      <c r="U18" s="207"/>
      <c r="V18" s="207"/>
      <c r="W18" s="246"/>
      <c r="X18" s="207"/>
      <c r="Y18" s="207"/>
      <c r="Z18" s="207"/>
      <c r="AA18" s="207"/>
      <c r="AC18" s="207"/>
      <c r="AD18" s="207"/>
      <c r="AE18" s="207"/>
      <c r="AF18" s="207"/>
      <c r="AG18" s="45"/>
    </row>
    <row r="19" spans="2:33" ht="15.75" thickBot="1" x14ac:dyDescent="0.3">
      <c r="B19" s="84" t="s">
        <v>5</v>
      </c>
      <c r="C19" s="121" t="s">
        <v>2</v>
      </c>
      <c r="D19" s="121" t="s">
        <v>7</v>
      </c>
      <c r="E19" s="121" t="s">
        <v>53</v>
      </c>
      <c r="F19" s="121" t="s">
        <v>16</v>
      </c>
      <c r="G19" s="116"/>
      <c r="O19" s="163" t="s">
        <v>69</v>
      </c>
      <c r="P19" s="163" t="s">
        <v>70</v>
      </c>
      <c r="Q19" s="209" t="s">
        <v>74</v>
      </c>
      <c r="R19" s="207"/>
      <c r="S19" s="210" t="s">
        <v>71</v>
      </c>
      <c r="T19" s="210" t="s">
        <v>72</v>
      </c>
      <c r="U19" s="209" t="s">
        <v>93</v>
      </c>
      <c r="V19" s="210" t="s">
        <v>83</v>
      </c>
      <c r="W19" s="246"/>
      <c r="X19" s="210" t="s">
        <v>103</v>
      </c>
      <c r="Y19" s="210" t="s">
        <v>104</v>
      </c>
      <c r="Z19" s="209" t="s">
        <v>105</v>
      </c>
      <c r="AA19" s="210" t="s">
        <v>106</v>
      </c>
      <c r="AC19" s="210" t="s">
        <v>210</v>
      </c>
      <c r="AD19" s="210" t="s">
        <v>211</v>
      </c>
      <c r="AE19" s="209" t="s">
        <v>212</v>
      </c>
      <c r="AF19" s="210" t="s">
        <v>213</v>
      </c>
      <c r="AG19" s="45"/>
    </row>
    <row r="20" spans="2:33" ht="15.75" thickBot="1" x14ac:dyDescent="0.3">
      <c r="B20" s="87" t="s">
        <v>22</v>
      </c>
      <c r="C20" s="268">
        <f>+'PCR Cycle 4'!K4+'PCR Cycle 3'!K4</f>
        <v>-1018388.8999999998</v>
      </c>
      <c r="D20" s="268">
        <f>'TDR Cycle 4'!K4+'TDR Cycle 3'!K4+'TDR Cycle 2'!K4</f>
        <v>-32552.929999999975</v>
      </c>
      <c r="E20" s="268">
        <f>+'EOR Cycle 2'!I4+'EOR Cycle 3'!J4</f>
        <v>345342.28781999933</v>
      </c>
      <c r="F20" s="268">
        <f>+'OAR Cycle 3'!I4</f>
        <v>-124964.85999999986</v>
      </c>
      <c r="G20" s="116"/>
      <c r="O20" s="271">
        <v>0</v>
      </c>
      <c r="P20" s="271">
        <v>0</v>
      </c>
      <c r="Q20" s="271">
        <v>0</v>
      </c>
      <c r="R20" s="207"/>
      <c r="S20" s="273">
        <v>0</v>
      </c>
      <c r="T20" s="274">
        <f>ROUND(+'TDR Cycle 2'!K4/'Tariff Tables'!G4,5)</f>
        <v>0</v>
      </c>
      <c r="U20" s="274">
        <f>ROUND('EOR Cycle 2'!I4/'Tariff Tables'!G4,5)</f>
        <v>0</v>
      </c>
      <c r="V20" s="273">
        <v>0</v>
      </c>
      <c r="W20" s="246"/>
      <c r="X20" s="274">
        <f>ROUND('PCR Cycle 3'!K4/'Tariff Tables'!G4,5)</f>
        <v>1.7000000000000001E-4</v>
      </c>
      <c r="Y20" s="274">
        <f>ROUND('TDR Cycle 3'!$K4/'Tariff Tables'!$G4,5)</f>
        <v>2.0000000000000002E-5</v>
      </c>
      <c r="Z20" s="274">
        <f>ROUND('EOR Cycle 3'!J4/'Tariff Tables'!G4,5)</f>
        <v>9.0000000000000006E-5</v>
      </c>
      <c r="AA20" s="274">
        <f>ROUND('OAR Cycle 3'!I4/'Tariff Tables'!G4,5)</f>
        <v>-3.0000000000000001E-5</v>
      </c>
      <c r="AC20" s="275">
        <f>ROUND('PCR Cycle 4'!$K4/'Tariff Tables'!$G4,5)</f>
        <v>-4.4000000000000002E-4</v>
      </c>
      <c r="AD20" s="274">
        <f>ROUND('TDR Cycle 4'!$K4/'Tariff Tables'!$G4,5)</f>
        <v>-3.0000000000000001E-5</v>
      </c>
      <c r="AE20" s="274"/>
      <c r="AF20" s="277"/>
      <c r="AG20" s="45"/>
    </row>
    <row r="21" spans="2:33" ht="15.75" thickBot="1" x14ac:dyDescent="0.3">
      <c r="B21" s="87" t="s">
        <v>94</v>
      </c>
      <c r="C21" s="268">
        <f>+'PCR Cycle 4'!K5+'PCR Cycle 3'!K5</f>
        <v>197064.42999999961</v>
      </c>
      <c r="D21" s="513">
        <f>'TDR Cycle 4'!K5+'TDR Cycle 3'!K5+'TDR Cycle 2'!K8</f>
        <v>-37425.070000000043</v>
      </c>
      <c r="E21" s="513">
        <f>+'EOR Cycle 2'!I8+'EOR Cycle 3'!J5</f>
        <v>554.35000000003117</v>
      </c>
      <c r="F21" s="268">
        <f>+'OAR Cycle 3'!I5</f>
        <v>-25075.619999999992</v>
      </c>
      <c r="G21" s="116"/>
      <c r="O21" s="271">
        <v>0</v>
      </c>
      <c r="P21" s="271">
        <v>0</v>
      </c>
      <c r="Q21" s="271">
        <v>0</v>
      </c>
      <c r="R21" s="207"/>
      <c r="S21" s="273">
        <v>0</v>
      </c>
      <c r="T21" s="275">
        <f>ROUND(+'TDR Cycle 2'!K8/'Tariff Tables'!G5,5)</f>
        <v>0</v>
      </c>
      <c r="U21" s="274">
        <f>ROUND('EOR Cycle 2'!I5/'Tariff Tables'!G5,5)</f>
        <v>0</v>
      </c>
      <c r="V21" s="273">
        <v>0</v>
      </c>
      <c r="W21" s="246"/>
      <c r="X21" s="274">
        <f>ROUND('PCR Cycle 3'!K5/'Tariff Tables'!G5,5)</f>
        <v>1E-4</v>
      </c>
      <c r="Y21" s="317">
        <f>ROUND('TDR Cycle 3'!$K5/'Tariff Tables'!$G5,5)+0.00001</f>
        <v>0</v>
      </c>
      <c r="Z21" s="274">
        <f>ROUND('EOR Cycle 3'!J5/'Tariff Tables'!G5,5)</f>
        <v>0</v>
      </c>
      <c r="AA21" s="274">
        <f>ROUND('OAR Cycle 3'!I5/'Tariff Tables'!G5,5)</f>
        <v>-2.0000000000000002E-5</v>
      </c>
      <c r="AC21" s="275">
        <f>ROUND('PCR Cycle 4'!$K5/'Tariff Tables'!$G5,5)</f>
        <v>4.0000000000000003E-5</v>
      </c>
      <c r="AD21" s="274">
        <f>ROUND('TDR Cycle 4'!$K5/'Tariff Tables'!$G5,5)</f>
        <v>-2.0000000000000002E-5</v>
      </c>
      <c r="AE21" s="274"/>
      <c r="AF21" s="274"/>
      <c r="AG21" s="45"/>
    </row>
    <row r="22" spans="2:33" s="45" customFormat="1" ht="15.75" thickBot="1" x14ac:dyDescent="0.3">
      <c r="B22" s="87" t="s">
        <v>95</v>
      </c>
      <c r="C22" s="268">
        <f>+'PCR Cycle 4'!K6+'PCR Cycle 3'!K6</f>
        <v>-971825.12000000046</v>
      </c>
      <c r="D22" s="513">
        <f>'TDR Cycle 4'!K6+'TDR Cycle 3'!K6+'TDR Cycle 2'!K9</f>
        <v>-5132.8899999999749</v>
      </c>
      <c r="E22" s="513">
        <f>+'EOR Cycle 2'!I9+'EOR Cycle 3'!J6</f>
        <v>70712.660000000047</v>
      </c>
      <c r="F22" s="268">
        <f>+'OAR Cycle 3'!I6</f>
        <v>-28332.219999999987</v>
      </c>
      <c r="G22" s="116"/>
      <c r="O22" s="271">
        <v>0</v>
      </c>
      <c r="P22" s="271">
        <v>0</v>
      </c>
      <c r="Q22" s="271">
        <v>0</v>
      </c>
      <c r="R22" s="207"/>
      <c r="S22" s="273">
        <v>0</v>
      </c>
      <c r="T22" s="275">
        <f>ROUND(+'TDR Cycle 2'!K9/'Tariff Tables'!G6,5)</f>
        <v>0</v>
      </c>
      <c r="U22" s="275">
        <f>ROUND('EOR Cycle 2'!I9/'Tariff Tables'!G6,5)</f>
        <v>0</v>
      </c>
      <c r="V22" s="273">
        <v>0</v>
      </c>
      <c r="W22" s="246"/>
      <c r="X22" s="317">
        <f>ROUND('PCR Cycle 3'!K6/'Tariff Tables'!G6,5)-0.00001</f>
        <v>4.0000000000000003E-5</v>
      </c>
      <c r="Y22" s="317">
        <f>ROUND('TDR Cycle 3'!$K6/'Tariff Tables'!$G6,5)-0.00001</f>
        <v>1.0000000000000001E-5</v>
      </c>
      <c r="Z22" s="317">
        <f>ROUND('EOR Cycle 3'!J6/'Tariff Tables'!G6,5)+0.00001</f>
        <v>7.0000000000000007E-5</v>
      </c>
      <c r="AA22" s="274">
        <f>ROUND('OAR Cycle 3'!I6/'Tariff Tables'!G6,5)</f>
        <v>-2.0000000000000002E-5</v>
      </c>
      <c r="AC22" s="275">
        <f>ROUND('PCR Cycle 4'!$K6/'Tariff Tables'!$G6,5)</f>
        <v>-8.8999999999999995E-4</v>
      </c>
      <c r="AD22" s="274">
        <f>ROUND('TDR Cycle 4'!$K6/'Tariff Tables'!$G6,5)</f>
        <v>-2.0000000000000002E-5</v>
      </c>
      <c r="AE22" s="274"/>
      <c r="AF22" s="274"/>
    </row>
    <row r="23" spans="2:33" s="45" customFormat="1" ht="15.75" thickBot="1" x14ac:dyDescent="0.3">
      <c r="B23" s="87" t="s">
        <v>96</v>
      </c>
      <c r="C23" s="268">
        <f>+'PCR Cycle 4'!K7+'PCR Cycle 3'!K7</f>
        <v>-2518457.8299999991</v>
      </c>
      <c r="D23" s="513">
        <f>'TDR Cycle 4'!K7+'TDR Cycle 3'!K7+'TDR Cycle 2'!K10</f>
        <v>-6029.9499999999498</v>
      </c>
      <c r="E23" s="513">
        <f>+'EOR Cycle 2'!I10+'EOR Cycle 3'!J7</f>
        <v>-9029.7600000000311</v>
      </c>
      <c r="F23" s="268">
        <f>+'OAR Cycle 3'!I7</f>
        <v>-12065.440000000033</v>
      </c>
      <c r="G23" s="116"/>
      <c r="O23" s="271">
        <v>0</v>
      </c>
      <c r="P23" s="271">
        <v>0</v>
      </c>
      <c r="Q23" s="271">
        <v>0</v>
      </c>
      <c r="R23" s="207"/>
      <c r="S23" s="273">
        <v>0</v>
      </c>
      <c r="T23" s="275">
        <f>ROUND(+'TDR Cycle 2'!K10/'Tariff Tables'!G7,5)</f>
        <v>0</v>
      </c>
      <c r="U23" s="275">
        <f>ROUND('EOR Cycle 2'!I10/'Tariff Tables'!G7,5)</f>
        <v>0</v>
      </c>
      <c r="V23" s="273">
        <v>0</v>
      </c>
      <c r="W23" s="246"/>
      <c r="X23" s="274">
        <f>ROUND('PCR Cycle 3'!K7/'Tariff Tables'!G7,5)</f>
        <v>-1.4999999999999999E-4</v>
      </c>
      <c r="Y23" s="274">
        <f>ROUND('TDR Cycle 3'!$K7/'Tariff Tables'!$G7,5)</f>
        <v>0</v>
      </c>
      <c r="Z23" s="317">
        <f>ROUND('EOR Cycle 3'!J7/'Tariff Tables'!G7,5)-0.00001</f>
        <v>-2.0000000000000002E-5</v>
      </c>
      <c r="AA23" s="274">
        <f>ROUND('OAR Cycle 3'!I7/'Tariff Tables'!G7,5)</f>
        <v>-1.0000000000000001E-5</v>
      </c>
      <c r="AC23" s="275">
        <f>ROUND('PCR Cycle 4'!$K7/'Tariff Tables'!$G7,5)</f>
        <v>-2.97E-3</v>
      </c>
      <c r="AD23" s="274">
        <f>ROUND('TDR Cycle 4'!$K7/'Tariff Tables'!$G7,5)</f>
        <v>-1.0000000000000001E-5</v>
      </c>
      <c r="AE23" s="274"/>
      <c r="AF23" s="274"/>
    </row>
    <row r="24" spans="2:33" x14ac:dyDescent="0.25">
      <c r="C24" s="116"/>
      <c r="D24" s="116"/>
      <c r="E24" s="116"/>
      <c r="F24" s="116"/>
      <c r="O24" s="45"/>
      <c r="P24" s="45"/>
      <c r="R24" s="45"/>
      <c r="S24" s="246"/>
      <c r="T24" s="246"/>
      <c r="U24" s="246"/>
      <c r="V24" s="246"/>
      <c r="W24" s="246"/>
      <c r="X24" s="246"/>
      <c r="Y24" s="246"/>
      <c r="Z24" s="246"/>
    </row>
    <row r="25" spans="2:33" x14ac:dyDescent="0.25">
      <c r="B25" s="90" t="s">
        <v>33</v>
      </c>
      <c r="R25" t="s">
        <v>134</v>
      </c>
      <c r="S25" s="310">
        <f>+J4-O12-O20-S12-S20-X12-X20-AC12-AC20</f>
        <v>0</v>
      </c>
      <c r="T25" s="310">
        <f t="shared" ref="T25:V25" si="7">+K4-P12-P20-T12-T20-Y12-Y20-AD12-AD20</f>
        <v>0</v>
      </c>
      <c r="U25" s="310">
        <f t="shared" si="7"/>
        <v>-4.0657581468206416E-20</v>
      </c>
      <c r="V25" s="310">
        <f t="shared" si="7"/>
        <v>0</v>
      </c>
      <c r="W25" s="246"/>
      <c r="X25" s="246"/>
      <c r="Y25" s="246"/>
      <c r="Z25" s="246"/>
    </row>
    <row r="26" spans="2:33" x14ac:dyDescent="0.25">
      <c r="B26" s="91" t="s">
        <v>34</v>
      </c>
      <c r="R26" t="s">
        <v>135</v>
      </c>
      <c r="S26" s="310">
        <f t="shared" ref="S26:V26" si="8">+J5-O13-O21-S13-S21-X13-X21-AC13-AC21</f>
        <v>1.0164395367051604E-19</v>
      </c>
      <c r="T26" s="310">
        <f t="shared" si="8"/>
        <v>0</v>
      </c>
      <c r="U26" s="310">
        <f t="shared" si="8"/>
        <v>0</v>
      </c>
      <c r="V26" s="310">
        <f t="shared" si="8"/>
        <v>0</v>
      </c>
      <c r="W26" s="246"/>
      <c r="X26" s="246"/>
      <c r="Y26" s="246"/>
      <c r="Z26" s="246"/>
    </row>
    <row r="27" spans="2:33" x14ac:dyDescent="0.25">
      <c r="B27" s="91" t="s">
        <v>37</v>
      </c>
      <c r="R27" t="s">
        <v>136</v>
      </c>
      <c r="S27" s="311">
        <f t="shared" ref="S27:V27" si="9">+J6-O14-O22-S14-S22-X14-X22-AC14-AC22</f>
        <v>0</v>
      </c>
      <c r="T27" s="311">
        <f t="shared" si="9"/>
        <v>0</v>
      </c>
      <c r="U27" s="311">
        <f t="shared" si="9"/>
        <v>-4.0657581468206416E-20</v>
      </c>
      <c r="V27" s="310">
        <f t="shared" si="9"/>
        <v>0</v>
      </c>
    </row>
    <row r="28" spans="2:33" x14ac:dyDescent="0.25">
      <c r="B28" s="91" t="s">
        <v>127</v>
      </c>
      <c r="R28" t="s">
        <v>137</v>
      </c>
      <c r="S28" s="311">
        <f t="shared" ref="S28:V28" si="10">+J7-O15-O23-S15-S23-X15-X23-AC15-AC23</f>
        <v>0</v>
      </c>
      <c r="T28" s="311">
        <f t="shared" si="10"/>
        <v>0</v>
      </c>
      <c r="U28" s="311">
        <f t="shared" si="10"/>
        <v>3.3881317890172014E-21</v>
      </c>
      <c r="V28" s="310">
        <f t="shared" si="10"/>
        <v>0</v>
      </c>
    </row>
    <row r="29" spans="2:33" x14ac:dyDescent="0.25">
      <c r="B29" s="91" t="s">
        <v>35</v>
      </c>
      <c r="R29" s="45"/>
      <c r="S29" s="45"/>
      <c r="T29" s="45"/>
    </row>
    <row r="30" spans="2:33" x14ac:dyDescent="0.25">
      <c r="B30" s="91" t="s">
        <v>132</v>
      </c>
      <c r="O30" s="221"/>
      <c r="P30" s="221"/>
      <c r="Q30" s="221"/>
      <c r="R30" s="137"/>
      <c r="S30" s="137"/>
      <c r="T30" s="45"/>
    </row>
    <row r="31" spans="2:33" x14ac:dyDescent="0.25">
      <c r="B31" s="91" t="s">
        <v>126</v>
      </c>
      <c r="O31" s="137"/>
      <c r="P31" s="137"/>
      <c r="Q31" s="222"/>
      <c r="R31" s="137"/>
      <c r="S31" s="137"/>
      <c r="T31" s="45"/>
    </row>
    <row r="32" spans="2:33" x14ac:dyDescent="0.25">
      <c r="B32" s="91" t="s">
        <v>42</v>
      </c>
      <c r="O32" s="223"/>
      <c r="P32" s="137"/>
      <c r="Q32" s="222"/>
      <c r="R32" s="137"/>
      <c r="S32" s="137"/>
      <c r="T32" s="45"/>
    </row>
    <row r="33" spans="2:20" x14ac:dyDescent="0.25">
      <c r="B33" s="91" t="s">
        <v>131</v>
      </c>
      <c r="O33" s="224"/>
      <c r="P33" s="225"/>
      <c r="Q33" s="222"/>
      <c r="R33" s="222"/>
      <c r="S33" s="137"/>
      <c r="T33" s="45"/>
    </row>
    <row r="34" spans="2:20" x14ac:dyDescent="0.25">
      <c r="B34" s="91" t="s">
        <v>128</v>
      </c>
      <c r="O34" s="224"/>
      <c r="P34" s="225"/>
      <c r="Q34" s="222"/>
      <c r="R34" s="222"/>
      <c r="S34" s="137"/>
      <c r="T34" s="45"/>
    </row>
    <row r="35" spans="2:20" x14ac:dyDescent="0.25">
      <c r="B35" s="91" t="s">
        <v>129</v>
      </c>
      <c r="O35" s="224"/>
      <c r="P35" s="225"/>
      <c r="Q35" s="222"/>
      <c r="R35" s="222"/>
      <c r="S35" s="137"/>
      <c r="T35" s="45"/>
    </row>
    <row r="36" spans="2:20" x14ac:dyDescent="0.25">
      <c r="B36" s="91" t="s">
        <v>133</v>
      </c>
      <c r="O36" s="224"/>
      <c r="P36" s="225"/>
      <c r="Q36" s="222"/>
      <c r="R36" s="222"/>
      <c r="S36" s="137"/>
      <c r="T36" s="45"/>
    </row>
    <row r="37" spans="2:20" x14ac:dyDescent="0.25">
      <c r="B37" s="91" t="s">
        <v>36</v>
      </c>
      <c r="O37" s="224"/>
      <c r="P37" s="225"/>
      <c r="Q37" s="222"/>
      <c r="R37" s="222"/>
      <c r="S37" s="137"/>
      <c r="T37" s="45"/>
    </row>
    <row r="38" spans="2:20" x14ac:dyDescent="0.25">
      <c r="B38" s="91" t="s">
        <v>130</v>
      </c>
      <c r="O38" s="224"/>
      <c r="P38" s="225"/>
      <c r="Q38" s="222"/>
      <c r="R38" s="222"/>
      <c r="S38" s="137"/>
      <c r="T38" s="45"/>
    </row>
    <row r="39" spans="2:20" x14ac:dyDescent="0.25">
      <c r="B39" s="91" t="s">
        <v>165</v>
      </c>
      <c r="O39" s="226"/>
      <c r="P39" s="225"/>
      <c r="Q39" s="222"/>
      <c r="R39" s="222"/>
      <c r="S39" s="137"/>
      <c r="T39" s="45"/>
    </row>
    <row r="40" spans="2:20" x14ac:dyDescent="0.25">
      <c r="B40" s="91" t="s">
        <v>166</v>
      </c>
      <c r="O40" s="137"/>
      <c r="P40" s="227"/>
      <c r="Q40" s="222"/>
      <c r="R40" s="222"/>
      <c r="S40" s="137"/>
      <c r="T40" s="45"/>
    </row>
    <row r="41" spans="2:20" x14ac:dyDescent="0.25">
      <c r="O41" s="223"/>
      <c r="P41" s="137"/>
      <c r="Q41" s="222"/>
      <c r="R41" s="222"/>
      <c r="S41" s="137"/>
      <c r="T41" s="45"/>
    </row>
    <row r="42" spans="2:20" x14ac:dyDescent="0.25">
      <c r="O42" s="224"/>
      <c r="P42" s="225"/>
      <c r="Q42" s="222"/>
      <c r="R42" s="222"/>
      <c r="S42" s="137"/>
      <c r="T42" s="45"/>
    </row>
    <row r="43" spans="2:20" x14ac:dyDescent="0.25">
      <c r="B43" s="400" t="s">
        <v>9</v>
      </c>
      <c r="C43" s="359"/>
      <c r="D43" s="359"/>
      <c r="E43" s="359"/>
      <c r="F43" s="359"/>
      <c r="G43" s="359"/>
      <c r="O43" s="224"/>
      <c r="P43" s="225"/>
      <c r="Q43" s="222"/>
      <c r="R43" s="222"/>
      <c r="S43" s="137"/>
      <c r="T43" s="45"/>
    </row>
    <row r="44" spans="2:20" ht="32.25" customHeight="1" x14ac:dyDescent="0.25">
      <c r="B44" s="527" t="s">
        <v>262</v>
      </c>
      <c r="C44" s="527"/>
      <c r="D44" s="527"/>
      <c r="E44" s="527"/>
      <c r="F44" s="527"/>
      <c r="G44" s="527"/>
      <c r="O44" s="224"/>
      <c r="P44" s="225"/>
      <c r="Q44" s="222"/>
      <c r="R44" s="222"/>
      <c r="S44" s="137"/>
      <c r="T44" s="45"/>
    </row>
    <row r="45" spans="2:20" x14ac:dyDescent="0.25">
      <c r="O45" s="224"/>
      <c r="P45" s="225"/>
      <c r="Q45" s="222"/>
      <c r="R45" s="222"/>
      <c r="S45" s="137"/>
      <c r="T45" s="45"/>
    </row>
    <row r="46" spans="2:20" x14ac:dyDescent="0.25">
      <c r="O46" s="224"/>
      <c r="P46" s="225"/>
      <c r="Q46" s="222"/>
      <c r="R46" s="222"/>
      <c r="S46" s="137"/>
      <c r="T46" s="45"/>
    </row>
    <row r="47" spans="2:20" x14ac:dyDescent="0.25">
      <c r="O47" s="224"/>
      <c r="P47" s="225"/>
      <c r="Q47" s="222"/>
      <c r="R47" s="222"/>
      <c r="S47" s="137"/>
      <c r="T47" s="45"/>
    </row>
    <row r="48" spans="2:20" x14ac:dyDescent="0.25">
      <c r="O48" s="226"/>
      <c r="P48" s="225"/>
      <c r="Q48" s="222"/>
      <c r="R48" s="222"/>
      <c r="S48" s="137"/>
    </row>
    <row r="49" spans="15:19" x14ac:dyDescent="0.25">
      <c r="O49" s="137"/>
      <c r="P49" s="227"/>
      <c r="Q49" s="222"/>
      <c r="R49" s="222"/>
      <c r="S49" s="137"/>
    </row>
    <row r="50" spans="15:19" x14ac:dyDescent="0.25">
      <c r="O50" s="137"/>
      <c r="P50" s="137"/>
      <c r="Q50" s="222"/>
      <c r="R50" s="222"/>
      <c r="S50" s="137"/>
    </row>
  </sheetData>
  <mergeCells count="1">
    <mergeCell ref="B44:G44"/>
  </mergeCells>
  <pageMargins left="0.2" right="0.2" top="0.75" bottom="0.25" header="0.3" footer="0.3"/>
  <pageSetup scale="43" orientation="landscape" r:id="rId1"/>
  <headerFooter>
    <oddHeader>&amp;C&amp;F &amp;A&amp;R&amp;"Arial"&amp;10&amp;K000000CONFIDENTIAL</oddHeader>
    <oddFooter xml:space="preserve">&amp;R_x000D_&amp;1#&amp;"Calibri"&amp;10&amp;KA80000 Restricted – Sensitive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sheetPr>
    <tabColor theme="6"/>
  </sheetPr>
  <dimension ref="A2:G37"/>
  <sheetViews>
    <sheetView workbookViewId="0"/>
  </sheetViews>
  <sheetFormatPr defaultRowHeight="15" x14ac:dyDescent="0.25"/>
  <cols>
    <col min="1" max="1" width="27.7109375" customWidth="1"/>
    <col min="2" max="6" width="11.28515625" bestFit="1" customWidth="1"/>
  </cols>
  <sheetData>
    <row r="2" spans="1:6" x14ac:dyDescent="0.25">
      <c r="A2" s="3" t="str">
        <f>+'Tariff Tables'!A1</f>
        <v>Evergy Missouri West, Inc. - DSIM Rider Update Filed 12/01/2025</v>
      </c>
    </row>
    <row r="3" spans="1:6" ht="15.75" thickBot="1" x14ac:dyDescent="0.3">
      <c r="A3" s="3" t="s">
        <v>111</v>
      </c>
    </row>
    <row r="4" spans="1:6" ht="27.75" thickBot="1" x14ac:dyDescent="0.3">
      <c r="A4" s="84" t="s">
        <v>118</v>
      </c>
      <c r="B4" s="120" t="s">
        <v>117</v>
      </c>
      <c r="C4" s="120" t="s">
        <v>116</v>
      </c>
      <c r="D4" s="120" t="s">
        <v>115</v>
      </c>
      <c r="E4" s="120" t="s">
        <v>114</v>
      </c>
      <c r="F4" s="86" t="s">
        <v>25</v>
      </c>
    </row>
    <row r="5" spans="1:6" ht="15.75" thickBot="1" x14ac:dyDescent="0.3">
      <c r="A5" s="87" t="s">
        <v>22</v>
      </c>
      <c r="B5" s="278">
        <f>+'Tariff Tables'!S12+'Tariff Tables'!S20</f>
        <v>0</v>
      </c>
      <c r="C5" s="278">
        <f>+'Tariff Tables'!T12+'Tariff Tables'!T20</f>
        <v>0</v>
      </c>
      <c r="D5" s="278">
        <f>+'Tariff Tables'!U12+'Tariff Tables'!U20</f>
        <v>0</v>
      </c>
      <c r="E5" s="278">
        <f>+'Tariff Tables'!V12+'Tariff Tables'!V20</f>
        <v>0</v>
      </c>
      <c r="F5" s="203">
        <f>SUM(B5:E5)</f>
        <v>0</v>
      </c>
    </row>
    <row r="6" spans="1:6" ht="15.75" thickBot="1" x14ac:dyDescent="0.3">
      <c r="A6" s="87" t="s">
        <v>94</v>
      </c>
      <c r="B6" s="278">
        <f>+'Tariff Tables'!S13+'Tariff Tables'!S21</f>
        <v>0</v>
      </c>
      <c r="C6" s="278">
        <f>+'Tariff Tables'!T13+'Tariff Tables'!T21</f>
        <v>0</v>
      </c>
      <c r="D6" s="278">
        <f>+'Tariff Tables'!U13+'Tariff Tables'!U21</f>
        <v>0</v>
      </c>
      <c r="E6" s="278">
        <f>+'Tariff Tables'!V13+'Tariff Tables'!V21</f>
        <v>0</v>
      </c>
      <c r="F6" s="203">
        <f t="shared" ref="F6:F8" si="0">SUM(B6:E6)</f>
        <v>0</v>
      </c>
    </row>
    <row r="7" spans="1:6" ht="15.75" thickBot="1" x14ac:dyDescent="0.3">
      <c r="A7" s="87" t="s">
        <v>95</v>
      </c>
      <c r="B7" s="278">
        <f>+'Tariff Tables'!S14+'Tariff Tables'!S22</f>
        <v>0</v>
      </c>
      <c r="C7" s="278">
        <f>+'Tariff Tables'!T14+'Tariff Tables'!T22</f>
        <v>0</v>
      </c>
      <c r="D7" s="278">
        <f>+'Tariff Tables'!U14+'Tariff Tables'!U22</f>
        <v>0</v>
      </c>
      <c r="E7" s="278">
        <f>+'Tariff Tables'!V14+'Tariff Tables'!V22</f>
        <v>0</v>
      </c>
      <c r="F7" s="203">
        <f t="shared" si="0"/>
        <v>0</v>
      </c>
    </row>
    <row r="8" spans="1:6" ht="15.75" thickBot="1" x14ac:dyDescent="0.3">
      <c r="A8" s="87" t="s">
        <v>96</v>
      </c>
      <c r="B8" s="278">
        <f>+'Tariff Tables'!S15+'Tariff Tables'!S23</f>
        <v>0</v>
      </c>
      <c r="C8" s="278">
        <f>+'Tariff Tables'!T15+'Tariff Tables'!T23</f>
        <v>0</v>
      </c>
      <c r="D8" s="278">
        <f>+'Tariff Tables'!U15+'Tariff Tables'!U23</f>
        <v>0</v>
      </c>
      <c r="E8" s="278">
        <f>+'Tariff Tables'!V15+'Tariff Tables'!V23</f>
        <v>0</v>
      </c>
      <c r="F8" s="203">
        <f t="shared" si="0"/>
        <v>0</v>
      </c>
    </row>
    <row r="11" spans="1:6" ht="15.75" thickBot="1" x14ac:dyDescent="0.3">
      <c r="A11" s="3" t="s">
        <v>112</v>
      </c>
      <c r="B11" s="45"/>
      <c r="C11" s="45"/>
      <c r="D11" s="45"/>
      <c r="E11" s="45"/>
      <c r="F11" s="45"/>
    </row>
    <row r="12" spans="1:6" ht="27.75" thickBot="1" x14ac:dyDescent="0.3">
      <c r="A12" s="84" t="s">
        <v>118</v>
      </c>
      <c r="B12" s="120" t="s">
        <v>117</v>
      </c>
      <c r="C12" s="120" t="s">
        <v>116</v>
      </c>
      <c r="D12" s="120" t="s">
        <v>115</v>
      </c>
      <c r="E12" s="120" t="s">
        <v>114</v>
      </c>
      <c r="F12" s="86" t="s">
        <v>25</v>
      </c>
    </row>
    <row r="13" spans="1:6" ht="15.75" thickBot="1" x14ac:dyDescent="0.3">
      <c r="A13" s="87" t="s">
        <v>22</v>
      </c>
      <c r="B13" s="278">
        <f>+'Tariff Tables'!X12+'Tariff Tables'!X20</f>
        <v>1.7000000000000001E-4</v>
      </c>
      <c r="C13" s="278">
        <f>+'Tariff Tables'!Y12+'Tariff Tables'!Y20</f>
        <v>8.9999999999999992E-5</v>
      </c>
      <c r="D13" s="278">
        <f>+'Tariff Tables'!Z12+'Tariff Tables'!Z20</f>
        <v>2.8000000000000003E-4</v>
      </c>
      <c r="E13" s="278">
        <f>+'Tariff Tables'!AA12+'Tariff Tables'!AA20</f>
        <v>-3.0000000000000001E-5</v>
      </c>
      <c r="F13" s="203">
        <f>SUM(B13:E13)</f>
        <v>5.1000000000000015E-4</v>
      </c>
    </row>
    <row r="14" spans="1:6" ht="15.75" thickBot="1" x14ac:dyDescent="0.3">
      <c r="A14" s="87" t="s">
        <v>94</v>
      </c>
      <c r="B14" s="278">
        <f>+'Tariff Tables'!X13+'Tariff Tables'!X21</f>
        <v>1E-4</v>
      </c>
      <c r="C14" s="278">
        <f>+'Tariff Tables'!Y13+'Tariff Tables'!Y21</f>
        <v>2.9E-4</v>
      </c>
      <c r="D14" s="278">
        <f>+'Tariff Tables'!Z13+'Tariff Tables'!Z21</f>
        <v>1.8000000000000001E-4</v>
      </c>
      <c r="E14" s="278">
        <f>+'Tariff Tables'!AA13+'Tariff Tables'!AA21</f>
        <v>-2.0000000000000002E-5</v>
      </c>
      <c r="F14" s="203">
        <f t="shared" ref="F14:F16" si="1">SUM(B14:E14)</f>
        <v>5.4999999999999992E-4</v>
      </c>
    </row>
    <row r="15" spans="1:6" ht="15.75" thickBot="1" x14ac:dyDescent="0.3">
      <c r="A15" s="87" t="s">
        <v>95</v>
      </c>
      <c r="B15" s="278">
        <f>+'Tariff Tables'!X14+'Tariff Tables'!X22</f>
        <v>4.0000000000000003E-5</v>
      </c>
      <c r="C15" s="278">
        <f>+'Tariff Tables'!Y14+'Tariff Tables'!Y22</f>
        <v>2.3000000000000001E-4</v>
      </c>
      <c r="D15" s="278">
        <f>+'Tariff Tables'!Z14+'Tariff Tables'!Z22</f>
        <v>2.8000000000000003E-4</v>
      </c>
      <c r="E15" s="278">
        <f>+'Tariff Tables'!AA14+'Tariff Tables'!AA22</f>
        <v>-2.0000000000000002E-5</v>
      </c>
      <c r="F15" s="203">
        <f t="shared" si="1"/>
        <v>5.2999999999999998E-4</v>
      </c>
    </row>
    <row r="16" spans="1:6" ht="15.75" thickBot="1" x14ac:dyDescent="0.3">
      <c r="A16" s="87" t="s">
        <v>96</v>
      </c>
      <c r="B16" s="278">
        <f>+'Tariff Tables'!X15+'Tariff Tables'!X23</f>
        <v>-1.4999999999999999E-4</v>
      </c>
      <c r="C16" s="278">
        <f>+'Tariff Tables'!Y15+'Tariff Tables'!Y23</f>
        <v>8.0000000000000007E-5</v>
      </c>
      <c r="D16" s="278">
        <f>+'Tariff Tables'!Z15+'Tariff Tables'!Z23</f>
        <v>1.9000000000000001E-4</v>
      </c>
      <c r="E16" s="278">
        <f>+'Tariff Tables'!AA15+'Tariff Tables'!AA23</f>
        <v>-1.0000000000000001E-5</v>
      </c>
      <c r="F16" s="203">
        <f t="shared" si="1"/>
        <v>1.1000000000000003E-4</v>
      </c>
    </row>
    <row r="17" spans="1:7" s="45" customFormat="1" x14ac:dyDescent="0.25"/>
    <row r="18" spans="1:7" s="45" customFormat="1" x14ac:dyDescent="0.25"/>
    <row r="19" spans="1:7" s="45" customFormat="1" ht="15.75" thickBot="1" x14ac:dyDescent="0.3">
      <c r="A19" s="3" t="s">
        <v>214</v>
      </c>
    </row>
    <row r="20" spans="1:7" s="45" customFormat="1" ht="27.75" thickBot="1" x14ac:dyDescent="0.3">
      <c r="A20" s="84" t="s">
        <v>118</v>
      </c>
      <c r="B20" s="120" t="s">
        <v>117</v>
      </c>
      <c r="C20" s="120" t="s">
        <v>116</v>
      </c>
      <c r="D20" s="120" t="s">
        <v>115</v>
      </c>
      <c r="E20" s="120" t="s">
        <v>114</v>
      </c>
      <c r="F20" s="86" t="s">
        <v>25</v>
      </c>
    </row>
    <row r="21" spans="1:7" s="45" customFormat="1" ht="15.75" thickBot="1" x14ac:dyDescent="0.3">
      <c r="A21" s="87" t="s">
        <v>22</v>
      </c>
      <c r="B21" s="278">
        <f>+'Tariff Tables'!AC12+'Tariff Tables'!AC20</f>
        <v>1.1199999999999999E-3</v>
      </c>
      <c r="C21" s="278">
        <f>+'Tariff Tables'!AD12+'Tariff Tables'!AD20</f>
        <v>1.0000000000000003E-5</v>
      </c>
      <c r="D21" s="278">
        <f>+'Tariff Tables'!AE12+'Tariff Tables'!AE20</f>
        <v>0</v>
      </c>
      <c r="E21" s="278">
        <f>+'Tariff Tables'!AF12+'Tariff Tables'!AF20</f>
        <v>0</v>
      </c>
      <c r="F21" s="203">
        <f>SUM(B21:E21)</f>
        <v>1.1299999999999999E-3</v>
      </c>
    </row>
    <row r="22" spans="1:7" s="45" customFormat="1" ht="15.75" thickBot="1" x14ac:dyDescent="0.3">
      <c r="A22" s="87" t="s">
        <v>94</v>
      </c>
      <c r="B22" s="278">
        <f>+'Tariff Tables'!AC13+'Tariff Tables'!AC21</f>
        <v>1.67E-3</v>
      </c>
      <c r="C22" s="278">
        <f>+'Tariff Tables'!AD13+'Tariff Tables'!AD21</f>
        <v>9.0000000000000006E-5</v>
      </c>
      <c r="D22" s="278">
        <f>+'Tariff Tables'!AE13+'Tariff Tables'!AE21</f>
        <v>0</v>
      </c>
      <c r="E22" s="278">
        <f>+'Tariff Tables'!AF13+'Tariff Tables'!AF21</f>
        <v>0</v>
      </c>
      <c r="F22" s="203">
        <f t="shared" ref="F22:F24" si="2">SUM(B22:E22)</f>
        <v>1.7600000000000001E-3</v>
      </c>
    </row>
    <row r="23" spans="1:7" s="45" customFormat="1" ht="15.75" thickBot="1" x14ac:dyDescent="0.3">
      <c r="A23" s="87" t="s">
        <v>95</v>
      </c>
      <c r="B23" s="278">
        <f>+'Tariff Tables'!AC14+'Tariff Tables'!AC22</f>
        <v>2.1299999999999999E-3</v>
      </c>
      <c r="C23" s="278">
        <f>+'Tariff Tables'!AD14+'Tariff Tables'!AD22</f>
        <v>4.9999999999999996E-5</v>
      </c>
      <c r="D23" s="278">
        <f>+'Tariff Tables'!AE14+'Tariff Tables'!AE22</f>
        <v>0</v>
      </c>
      <c r="E23" s="278">
        <f>+'Tariff Tables'!AF14+'Tariff Tables'!AF22</f>
        <v>0</v>
      </c>
      <c r="F23" s="203">
        <f t="shared" si="2"/>
        <v>2.1800000000000001E-3</v>
      </c>
    </row>
    <row r="24" spans="1:7" s="45" customFormat="1" ht="15.75" thickBot="1" x14ac:dyDescent="0.3">
      <c r="A24" s="87" t="s">
        <v>96</v>
      </c>
      <c r="B24" s="278">
        <f>+'Tariff Tables'!AC15+'Tariff Tables'!AC23</f>
        <v>1.5800000000000002E-3</v>
      </c>
      <c r="C24" s="278">
        <f>+'Tariff Tables'!AD15+'Tariff Tables'!AD23</f>
        <v>-1.0000000000000001E-5</v>
      </c>
      <c r="D24" s="278">
        <f>+'Tariff Tables'!AE15+'Tariff Tables'!AE23</f>
        <v>0</v>
      </c>
      <c r="E24" s="278">
        <f>+'Tariff Tables'!AF15+'Tariff Tables'!AF23</f>
        <v>0</v>
      </c>
      <c r="F24" s="203">
        <f t="shared" si="2"/>
        <v>1.5700000000000002E-3</v>
      </c>
    </row>
    <row r="27" spans="1:7" ht="15.75" thickBot="1" x14ac:dyDescent="0.3">
      <c r="A27" s="3" t="s">
        <v>113</v>
      </c>
      <c r="B27" s="45"/>
      <c r="C27" s="45"/>
      <c r="D27" s="45"/>
      <c r="E27" s="45"/>
      <c r="F27" s="45"/>
    </row>
    <row r="28" spans="1:7" ht="27.75" thickBot="1" x14ac:dyDescent="0.3">
      <c r="A28" s="84" t="s">
        <v>118</v>
      </c>
      <c r="B28" s="120" t="s">
        <v>117</v>
      </c>
      <c r="C28" s="120" t="s">
        <v>116</v>
      </c>
      <c r="D28" s="120" t="s">
        <v>115</v>
      </c>
      <c r="E28" s="120" t="s">
        <v>114</v>
      </c>
      <c r="F28" s="86" t="s">
        <v>25</v>
      </c>
    </row>
    <row r="29" spans="1:7" ht="15.75" thickBot="1" x14ac:dyDescent="0.3">
      <c r="A29" s="87" t="s">
        <v>22</v>
      </c>
      <c r="B29" s="204">
        <f>SUMIFS(B$2:B$27,$A$2:$A$27,$A29)</f>
        <v>1.2899999999999999E-3</v>
      </c>
      <c r="C29" s="205">
        <f t="shared" ref="C29:E32" si="3">SUMIFS(C$2:C$27,$A$2:$A$27,$A29)</f>
        <v>9.9999999999999991E-5</v>
      </c>
      <c r="D29" s="205">
        <f t="shared" si="3"/>
        <v>2.8000000000000003E-4</v>
      </c>
      <c r="E29" s="205">
        <f t="shared" si="3"/>
        <v>-3.0000000000000001E-5</v>
      </c>
      <c r="F29" s="203">
        <f>SUM(B29:E29)</f>
        <v>1.64E-3</v>
      </c>
      <c r="G29" s="279">
        <f>+F29-'Tariff Tables'!H4</f>
        <v>0</v>
      </c>
    </row>
    <row r="30" spans="1:7" ht="15.75" thickBot="1" x14ac:dyDescent="0.3">
      <c r="A30" s="87" t="s">
        <v>94</v>
      </c>
      <c r="B30" s="204">
        <f t="shared" ref="B30:B32" si="4">SUMIFS(B$2:B$27,$A$2:$A$27,$A30)</f>
        <v>1.7700000000000001E-3</v>
      </c>
      <c r="C30" s="205">
        <f t="shared" si="3"/>
        <v>3.8000000000000002E-4</v>
      </c>
      <c r="D30" s="205">
        <f t="shared" si="3"/>
        <v>1.8000000000000001E-4</v>
      </c>
      <c r="E30" s="205">
        <f t="shared" si="3"/>
        <v>-2.0000000000000002E-5</v>
      </c>
      <c r="F30" s="203">
        <f t="shared" ref="F30:F32" si="5">SUM(B30:E30)</f>
        <v>2.31E-3</v>
      </c>
      <c r="G30" s="279">
        <f>+F30-'Tariff Tables'!H5</f>
        <v>0</v>
      </c>
    </row>
    <row r="31" spans="1:7" ht="15.75" thickBot="1" x14ac:dyDescent="0.3">
      <c r="A31" s="87" t="s">
        <v>95</v>
      </c>
      <c r="B31" s="204">
        <f t="shared" si="4"/>
        <v>2.1700000000000001E-3</v>
      </c>
      <c r="C31" s="205">
        <f t="shared" si="3"/>
        <v>2.7999999999999998E-4</v>
      </c>
      <c r="D31" s="205">
        <f t="shared" si="3"/>
        <v>2.8000000000000003E-4</v>
      </c>
      <c r="E31" s="205">
        <f t="shared" si="3"/>
        <v>-2.0000000000000002E-5</v>
      </c>
      <c r="F31" s="203">
        <f t="shared" si="5"/>
        <v>2.7099999999999997E-3</v>
      </c>
      <c r="G31" s="279">
        <f>+F31-'Tariff Tables'!H6</f>
        <v>0</v>
      </c>
    </row>
    <row r="32" spans="1:7" ht="15.75" thickBot="1" x14ac:dyDescent="0.3">
      <c r="A32" s="87" t="s">
        <v>96</v>
      </c>
      <c r="B32" s="204">
        <f t="shared" si="4"/>
        <v>1.4300000000000003E-3</v>
      </c>
      <c r="C32" s="205">
        <f t="shared" si="3"/>
        <v>7.0000000000000007E-5</v>
      </c>
      <c r="D32" s="205">
        <f t="shared" si="3"/>
        <v>1.9000000000000001E-4</v>
      </c>
      <c r="E32" s="205">
        <f t="shared" si="3"/>
        <v>-1.0000000000000001E-5</v>
      </c>
      <c r="F32" s="203">
        <f t="shared" si="5"/>
        <v>1.6800000000000003E-3</v>
      </c>
      <c r="G32" s="279">
        <f>+F32-'Tariff Tables'!H7</f>
        <v>0</v>
      </c>
    </row>
    <row r="34" spans="1:6" x14ac:dyDescent="0.25">
      <c r="A34" s="280" t="s">
        <v>195</v>
      </c>
      <c r="B34" s="279">
        <f>+B29-'Tariff Tables'!J4</f>
        <v>0</v>
      </c>
      <c r="C34" s="279">
        <f>+C29-'Tariff Tables'!K4</f>
        <v>0</v>
      </c>
      <c r="D34" s="279">
        <f>+D29-'Tariff Tables'!L4</f>
        <v>0</v>
      </c>
      <c r="E34" s="279">
        <f>+E29-'Tariff Tables'!M4</f>
        <v>0</v>
      </c>
      <c r="F34" s="206"/>
    </row>
    <row r="35" spans="1:6" x14ac:dyDescent="0.25">
      <c r="B35" s="279">
        <f>+B30-'Tariff Tables'!J5</f>
        <v>0</v>
      </c>
      <c r="C35" s="279">
        <f>+C30-'Tariff Tables'!K5</f>
        <v>0</v>
      </c>
      <c r="D35" s="279">
        <f>+D30-'Tariff Tables'!L5</f>
        <v>0</v>
      </c>
      <c r="E35" s="279">
        <f>+E30-'Tariff Tables'!M5</f>
        <v>0</v>
      </c>
      <c r="F35" s="206"/>
    </row>
    <row r="36" spans="1:6" x14ac:dyDescent="0.25">
      <c r="B36" s="279">
        <f>+B31-'Tariff Tables'!J6</f>
        <v>0</v>
      </c>
      <c r="C36" s="279">
        <f>+C31-'Tariff Tables'!K6</f>
        <v>0</v>
      </c>
      <c r="D36" s="279">
        <f>+D31-'Tariff Tables'!L6</f>
        <v>0</v>
      </c>
      <c r="E36" s="279">
        <f>+E31-'Tariff Tables'!M6</f>
        <v>0</v>
      </c>
      <c r="F36" s="206"/>
    </row>
    <row r="37" spans="1:6" x14ac:dyDescent="0.25">
      <c r="B37" s="279">
        <f>+B32-'Tariff Tables'!J7</f>
        <v>0</v>
      </c>
      <c r="C37" s="279">
        <f>+C32-'Tariff Tables'!K7</f>
        <v>0</v>
      </c>
      <c r="D37" s="279">
        <f>+D32-'Tariff Tables'!L7</f>
        <v>0</v>
      </c>
      <c r="E37" s="279">
        <f>+E32-'Tariff Tables'!M7</f>
        <v>0</v>
      </c>
      <c r="F37" s="206"/>
    </row>
  </sheetData>
  <pageMargins left="0.7" right="0.7" top="0.75" bottom="0.75" header="0.3" footer="0.3"/>
  <pageSetup orientation="portrait" r:id="rId1"/>
  <headerFooter>
    <oddFooter xml:space="preserve">&amp;R_x000D_&amp;1#&amp;"Calibri"&amp;10&amp;KA80000 Restricted – Sensitive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8CC6D-CEF5-4D7F-9B4F-45C78C8935E8}">
  <sheetPr>
    <pageSetUpPr fitToPage="1"/>
  </sheetPr>
  <dimension ref="A1:X48"/>
  <sheetViews>
    <sheetView workbookViewId="0"/>
  </sheetViews>
  <sheetFormatPr defaultColWidth="9.140625" defaultRowHeight="15" x14ac:dyDescent="0.25"/>
  <cols>
    <col min="1" max="1" width="20.85546875" style="45" customWidth="1"/>
    <col min="2" max="2" width="22" style="45" customWidth="1"/>
    <col min="3" max="3" width="17.28515625" style="45" customWidth="1"/>
    <col min="4" max="4" width="12.5703125" style="45" bestFit="1" customWidth="1"/>
    <col min="5" max="5" width="15.28515625" style="45" customWidth="1"/>
    <col min="6" max="6" width="12.5703125" style="45" customWidth="1"/>
    <col min="7" max="7" width="12.7109375" style="45" bestFit="1" customWidth="1"/>
    <col min="8" max="16384" width="9.140625" style="45"/>
  </cols>
  <sheetData>
    <row r="1" spans="1:24" x14ac:dyDescent="0.25">
      <c r="A1" s="361" t="str">
        <f>+'PTD Cycle 3'!A1</f>
        <v>Evergy Missouri West, Inc. - DSIM Rider Update Filed 12/01/2025</v>
      </c>
    </row>
    <row r="2" spans="1:24" x14ac:dyDescent="0.25">
      <c r="A2" s="343" t="str">
        <f>SUBSTITUTE(+'PTD Cycle 3'!A2,"Cycle 3","Cycle 4")</f>
        <v>Projections for Cycle 4 January 2026 - December 2026 DSIM</v>
      </c>
    </row>
    <row r="3" spans="1:24" ht="35.25" customHeight="1" x14ac:dyDescent="0.25">
      <c r="B3" s="526" t="s">
        <v>233</v>
      </c>
      <c r="C3" s="526"/>
    </row>
    <row r="4" spans="1:24" ht="60" x14ac:dyDescent="0.25">
      <c r="B4" s="229" t="s">
        <v>38</v>
      </c>
      <c r="C4" s="201" t="s">
        <v>24</v>
      </c>
      <c r="D4" s="547" t="s">
        <v>263</v>
      </c>
      <c r="E4" s="388"/>
    </row>
    <row r="5" spans="1:24" x14ac:dyDescent="0.25">
      <c r="A5" s="19" t="s">
        <v>22</v>
      </c>
      <c r="B5" s="512">
        <f>+'Tariff Tables'!G4</f>
        <v>3773371154</v>
      </c>
      <c r="C5" s="199">
        <f>SUM(D5:F5)</f>
        <v>5896699.0899999999</v>
      </c>
      <c r="D5" s="199">
        <f>SUM('[2]GMO CONTRACT_DETAIL IMPORT'!$BA211)</f>
        <v>5896699.0899999999</v>
      </c>
      <c r="E5" s="388"/>
      <c r="F5" s="228"/>
      <c r="G5" s="524"/>
    </row>
    <row r="6" spans="1:24" x14ac:dyDescent="0.25">
      <c r="A6" s="19" t="s">
        <v>94</v>
      </c>
      <c r="B6" s="512">
        <f>+'Tariff Tables'!G5</f>
        <v>1419314629</v>
      </c>
      <c r="C6" s="199">
        <f t="shared" ref="C6:C8" si="0">SUM(D6:F6)</f>
        <v>2319131.77</v>
      </c>
      <c r="D6" s="199">
        <f>SUM('[2]GMO CONTRACT_DETAIL IMPORT'!$BA212)</f>
        <v>2319131.77</v>
      </c>
      <c r="E6" s="388"/>
      <c r="F6" s="228"/>
      <c r="G6" s="524"/>
      <c r="H6" s="228"/>
    </row>
    <row r="7" spans="1:24" x14ac:dyDescent="0.25">
      <c r="A7" s="19" t="s">
        <v>95</v>
      </c>
      <c r="B7" s="512">
        <f>+'Tariff Tables'!G6</f>
        <v>1160112975</v>
      </c>
      <c r="C7" s="199">
        <f t="shared" si="0"/>
        <v>3504312.21</v>
      </c>
      <c r="D7" s="199">
        <f>SUM('[2]GMO CONTRACT_DETAIL IMPORT'!$BA214)</f>
        <v>3504312.21</v>
      </c>
      <c r="E7" s="388"/>
      <c r="F7" s="228"/>
      <c r="G7" s="524"/>
      <c r="H7" s="228"/>
    </row>
    <row r="8" spans="1:24" x14ac:dyDescent="0.25">
      <c r="A8" s="19" t="s">
        <v>96</v>
      </c>
      <c r="B8" s="512">
        <f>+'Tariff Tables'!G7</f>
        <v>805928916</v>
      </c>
      <c r="C8" s="199">
        <f t="shared" si="0"/>
        <v>3670850.14</v>
      </c>
      <c r="D8" s="199">
        <f>SUM('[2]GMO CONTRACT_DETAIL IMPORT'!$BA215)</f>
        <v>3670850.14</v>
      </c>
      <c r="E8" s="388"/>
      <c r="F8" s="228"/>
      <c r="G8" s="524"/>
      <c r="H8" s="228"/>
      <c r="O8" s="1"/>
      <c r="P8" s="1"/>
      <c r="Q8" s="1"/>
      <c r="R8" s="1"/>
      <c r="S8" s="1"/>
      <c r="T8" s="1"/>
      <c r="U8" s="1"/>
      <c r="V8" s="1"/>
      <c r="W8" s="1"/>
      <c r="X8" s="1"/>
    </row>
    <row r="9" spans="1:24" x14ac:dyDescent="0.25">
      <c r="A9" s="29" t="s">
        <v>97</v>
      </c>
      <c r="B9" s="230">
        <f>SUM(B5:B8)</f>
        <v>7158727674</v>
      </c>
      <c r="C9" s="200">
        <f>SUM(C5:C8)</f>
        <v>15390993.210000001</v>
      </c>
      <c r="D9" s="200">
        <f t="shared" ref="D9" si="1">SUM(D5:D8)</f>
        <v>15390993.210000001</v>
      </c>
      <c r="E9" s="388"/>
      <c r="G9" s="503"/>
      <c r="O9" s="1"/>
      <c r="P9" s="1"/>
      <c r="Q9" s="1"/>
      <c r="R9" s="1"/>
      <c r="S9" s="1"/>
      <c r="T9" s="1"/>
      <c r="U9" s="1"/>
      <c r="V9" s="1"/>
      <c r="W9" s="1"/>
      <c r="X9" s="1"/>
    </row>
    <row r="11" spans="1:24" x14ac:dyDescent="0.25">
      <c r="A11" s="52" t="s">
        <v>9</v>
      </c>
    </row>
    <row r="12" spans="1:24" ht="29.45" customHeight="1" x14ac:dyDescent="0.25">
      <c r="A12" s="527" t="str">
        <f>'Tariff Tables'!B44</f>
        <v>1. Forecasted kWh by  Residential, Small General Service, Large General Service and Large Power Service (Reduced for Opt-Out) - Source: Billed kWh Budget 2024+- EMW 20251117.xlsx</v>
      </c>
      <c r="B12" s="527"/>
      <c r="C12" s="527"/>
      <c r="D12" s="527"/>
      <c r="E12" s="527"/>
      <c r="F12" s="253"/>
      <c r="G12" s="255"/>
      <c r="H12" s="255"/>
      <c r="I12" s="255"/>
    </row>
    <row r="13" spans="1:24" ht="18.75" customHeight="1" x14ac:dyDescent="0.25">
      <c r="A13" s="527" t="s">
        <v>232</v>
      </c>
      <c r="B13" s="527"/>
      <c r="C13" s="527"/>
      <c r="D13" s="527"/>
      <c r="E13" s="527"/>
    </row>
    <row r="14" spans="1:24" ht="30" customHeight="1" x14ac:dyDescent="0.25">
      <c r="A14" s="527" t="s">
        <v>297</v>
      </c>
      <c r="B14" s="527"/>
      <c r="C14" s="527"/>
      <c r="D14" s="527"/>
      <c r="E14" s="527"/>
    </row>
    <row r="15" spans="1:24" ht="32.450000000000003" customHeight="1" x14ac:dyDescent="0.25"/>
    <row r="22" spans="3:3" x14ac:dyDescent="0.25">
      <c r="C22" s="2"/>
    </row>
    <row r="44" spans="2:3" x14ac:dyDescent="0.25">
      <c r="B44" s="7"/>
      <c r="C44" s="7"/>
    </row>
    <row r="48" spans="2:3" x14ac:dyDescent="0.25">
      <c r="B48" s="7"/>
      <c r="C48" s="7"/>
    </row>
  </sheetData>
  <mergeCells count="4">
    <mergeCell ref="B3:C3"/>
    <mergeCell ref="A12:E12"/>
    <mergeCell ref="A13:E13"/>
    <mergeCell ref="A14:E14"/>
  </mergeCells>
  <pageMargins left="0.2" right="0.2" top="0.75" bottom="0.25" header="0.3" footer="0.3"/>
  <pageSetup scale="80" orientation="landscape" r:id="rId1"/>
  <headerFooter>
    <oddHeader>&amp;C&amp;F &amp;A&amp;R&amp;"Arial"&amp;10&amp;K000000CONFIDENTIAL</oddHeader>
    <oddFooter xml:space="preserve">&amp;R_x000D_&amp;1#&amp;"Calibri"&amp;10&amp;KA80000 Restricted – Sensitive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pageSetUpPr fitToPage="1"/>
  </sheetPr>
  <dimension ref="A1:AJ74"/>
  <sheetViews>
    <sheetView zoomScale="85" zoomScaleNormal="85" workbookViewId="0">
      <pane xSplit="2" ySplit="11" topLeftCell="C12" activePane="bottomRight" state="frozen"/>
      <selection pane="topRight"/>
      <selection pane="bottomLeft"/>
      <selection pane="bottomRight" activeCell="E13" sqref="E13"/>
    </sheetView>
  </sheetViews>
  <sheetFormatPr defaultColWidth="9.140625" defaultRowHeight="15" outlineLevelRow="1" outlineLevelCol="1" x14ac:dyDescent="0.25"/>
  <cols>
    <col min="1" max="1" width="54.5703125" style="45" customWidth="1"/>
    <col min="2" max="3" width="20.7109375" style="45" customWidth="1"/>
    <col min="4" max="4" width="15" style="45" hidden="1" customWidth="1" outlineLevel="1"/>
    <col min="5" max="5" width="15.28515625" style="45" customWidth="1" collapsed="1"/>
    <col min="6" max="6" width="15.85546875" style="45" customWidth="1"/>
    <col min="7" max="7" width="17.5703125" style="45" customWidth="1"/>
    <col min="8" max="9" width="13.28515625" style="45" customWidth="1"/>
    <col min="10" max="10" width="15.7109375" style="45" customWidth="1"/>
    <col min="11" max="12" width="12.5703125" style="45" bestFit="1" customWidth="1"/>
    <col min="13" max="13" width="14.42578125" style="45" customWidth="1"/>
    <col min="14" max="14" width="15" style="45" bestFit="1" customWidth="1"/>
    <col min="15" max="15" width="16.28515625" style="45" bestFit="1" customWidth="1"/>
    <col min="16" max="16" width="16.28515625" style="45" hidden="1" customWidth="1" outlineLevel="1"/>
    <col min="17" max="17" width="16.140625" style="45" customWidth="1" collapsed="1"/>
    <col min="18" max="18" width="17.28515625" style="45" bestFit="1" customWidth="1"/>
    <col min="19" max="19" width="17.42578125" style="45" customWidth="1"/>
    <col min="20" max="20" width="15.5703125" style="45" customWidth="1"/>
    <col min="21" max="21" width="13" style="45" customWidth="1"/>
    <col min="22" max="22" width="9.140625" style="45"/>
    <col min="23" max="23" width="14.28515625" style="45" bestFit="1" customWidth="1"/>
    <col min="24" max="24" width="11.28515625" style="45" bestFit="1" customWidth="1"/>
    <col min="25" max="16384" width="9.140625" style="45"/>
  </cols>
  <sheetData>
    <row r="1" spans="1:36" x14ac:dyDescent="0.25">
      <c r="A1" s="3" t="str">
        <f>+'PTD Cycle 3'!A1</f>
        <v>Evergy Missouri West, Inc. - DSIM Rider Update Filed 12/01/2025</v>
      </c>
      <c r="B1" s="3"/>
      <c r="C1" s="3"/>
      <c r="D1" s="3"/>
    </row>
    <row r="2" spans="1:36" x14ac:dyDescent="0.25">
      <c r="E2" s="3" t="s">
        <v>122</v>
      </c>
    </row>
    <row r="3" spans="1:36" ht="30" x14ac:dyDescent="0.25">
      <c r="E3" s="47" t="s">
        <v>40</v>
      </c>
      <c r="F3" s="47" t="s">
        <v>39</v>
      </c>
      <c r="G3" s="69" t="s">
        <v>0</v>
      </c>
      <c r="H3" s="47" t="s">
        <v>1</v>
      </c>
      <c r="I3" s="69" t="s">
        <v>49</v>
      </c>
      <c r="J3" s="47" t="s">
        <v>8</v>
      </c>
      <c r="K3" s="47" t="s">
        <v>2</v>
      </c>
    </row>
    <row r="4" spans="1:36" x14ac:dyDescent="0.25">
      <c r="A4" s="19" t="s">
        <v>22</v>
      </c>
      <c r="E4" s="21">
        <f>SUM(C26:M26)</f>
        <v>723148.68000000017</v>
      </c>
      <c r="F4" s="125">
        <f>SUM(C20:M20)</f>
        <v>1935833749.8756838</v>
      </c>
      <c r="G4" s="21">
        <f>SUM(C14:L14)</f>
        <v>-103167.82</v>
      </c>
      <c r="H4" s="21">
        <f>G4-E4</f>
        <v>-826316.50000000023</v>
      </c>
      <c r="I4" s="21">
        <f>+B40</f>
        <v>1438982.57</v>
      </c>
      <c r="J4" s="21">
        <f>SUM(C47:L47)</f>
        <v>32053.879999999997</v>
      </c>
      <c r="K4" s="24">
        <f>SUM(H4:J4)</f>
        <v>644719.94999999984</v>
      </c>
      <c r="L4" s="286">
        <f>+K4-M40</f>
        <v>0</v>
      </c>
    </row>
    <row r="5" spans="1:36" x14ac:dyDescent="0.25">
      <c r="A5" s="19" t="s">
        <v>94</v>
      </c>
      <c r="E5" s="21">
        <f>SUM(C27:M27)</f>
        <v>291874.87000000005</v>
      </c>
      <c r="F5" s="125">
        <f>SUM(C21:M21)</f>
        <v>728650011.72989988</v>
      </c>
      <c r="G5" s="21">
        <f>SUM(C15:L15)</f>
        <v>-30828.720000000001</v>
      </c>
      <c r="H5" s="21">
        <f>G5-E5</f>
        <v>-322703.59000000008</v>
      </c>
      <c r="I5" s="21">
        <f>+B41</f>
        <v>453150.99999999953</v>
      </c>
      <c r="J5" s="21">
        <f>SUM(C48:L48)</f>
        <v>8507.0400000000009</v>
      </c>
      <c r="K5" s="24">
        <f>SUM(H5:J5)</f>
        <v>138954.44999999946</v>
      </c>
      <c r="L5" s="286">
        <f t="shared" ref="L5:L6" si="0">+K5-M41</f>
        <v>0</v>
      </c>
    </row>
    <row r="6" spans="1:36" x14ac:dyDescent="0.25">
      <c r="A6" s="19" t="s">
        <v>95</v>
      </c>
      <c r="E6" s="21">
        <f>SUM(C28:M28)</f>
        <v>105713.88000000002</v>
      </c>
      <c r="F6" s="125">
        <f>SUM(C22:M22)</f>
        <v>563488301.41229987</v>
      </c>
      <c r="G6" s="21">
        <f>SUM(C16:L16)</f>
        <v>-18343.080000000002</v>
      </c>
      <c r="H6" s="21">
        <f>G6-E6</f>
        <v>-124056.96000000002</v>
      </c>
      <c r="I6" s="21">
        <f>+B42</f>
        <v>177592.36999999947</v>
      </c>
      <c r="J6" s="21">
        <f>SUM(C49:L49)</f>
        <v>3335.54</v>
      </c>
      <c r="K6" s="24">
        <f>SUM(H6:J6)</f>
        <v>56870.949999999451</v>
      </c>
      <c r="L6" s="286">
        <f t="shared" si="0"/>
        <v>-8.7311491370201111E-11</v>
      </c>
    </row>
    <row r="7" spans="1:36" ht="15.75" thickBot="1" x14ac:dyDescent="0.3">
      <c r="A7" s="19" t="s">
        <v>96</v>
      </c>
      <c r="E7" s="21">
        <f>SUM(C29:M29)</f>
        <v>-182165.75999999998</v>
      </c>
      <c r="F7" s="125">
        <f>SUM(C23:M23)</f>
        <v>468474663.51159996</v>
      </c>
      <c r="G7" s="21">
        <f>SUM(C17:L17)</f>
        <v>-9336.7900000000009</v>
      </c>
      <c r="H7" s="21">
        <f>G7-E7</f>
        <v>172828.96999999997</v>
      </c>
      <c r="I7" s="21">
        <f>+B43</f>
        <v>-288533.06999999908</v>
      </c>
      <c r="J7" s="21">
        <f>SUM(C50:L50)</f>
        <v>-6584.9299999999994</v>
      </c>
      <c r="K7" s="24">
        <f>SUM(H7:J7)</f>
        <v>-122289.0299999991</v>
      </c>
      <c r="L7" s="286">
        <f>+K7-M43</f>
        <v>0</v>
      </c>
    </row>
    <row r="8" spans="1:36" ht="16.5" thickTop="1" thickBot="1" x14ac:dyDescent="0.3">
      <c r="E8" s="26">
        <f t="shared" ref="E8:K8" si="1">SUM(E4:E7)</f>
        <v>938571.67000000039</v>
      </c>
      <c r="F8" s="26">
        <f t="shared" si="1"/>
        <v>3696446726.5294833</v>
      </c>
      <c r="G8" s="26">
        <f t="shared" si="1"/>
        <v>-161676.41</v>
      </c>
      <c r="H8" s="26">
        <f t="shared" si="1"/>
        <v>-1100248.0800000003</v>
      </c>
      <c r="I8" s="26">
        <f t="shared" si="1"/>
        <v>1781192.8699999999</v>
      </c>
      <c r="J8" s="26">
        <f t="shared" si="1"/>
        <v>37311.53</v>
      </c>
      <c r="K8" s="26">
        <f t="shared" si="1"/>
        <v>718256.31999999972</v>
      </c>
    </row>
    <row r="9" spans="1:36" ht="16.5" thickTop="1" thickBot="1" x14ac:dyDescent="0.3"/>
    <row r="10" spans="1:36" ht="60.75" thickBot="1" x14ac:dyDescent="0.3">
      <c r="B10" s="109" t="str">
        <f>+'PCR Cycle 4'!B10</f>
        <v>Cumulative Over/Under Carryover From 06/01/2025 Filing</v>
      </c>
      <c r="C10" s="139" t="str">
        <f>+'PCR Cycle 4'!C10</f>
        <v>Reverse May 2025 - July 2025 Forecast From 06/01/2025 Filing</v>
      </c>
      <c r="D10" s="243"/>
      <c r="E10" s="529" t="s">
        <v>28</v>
      </c>
      <c r="F10" s="529"/>
      <c r="G10" s="530"/>
      <c r="H10" s="531" t="s">
        <v>28</v>
      </c>
      <c r="I10" s="532"/>
      <c r="J10" s="533"/>
      <c r="K10" s="534" t="s">
        <v>6</v>
      </c>
      <c r="L10" s="535"/>
      <c r="M10" s="536"/>
      <c r="P10" s="261" t="s">
        <v>196</v>
      </c>
    </row>
    <row r="11" spans="1:36" x14ac:dyDescent="0.25">
      <c r="C11" s="13"/>
      <c r="D11" s="18"/>
      <c r="E11" s="18">
        <f>+'PCR Cycle 4'!E$11</f>
        <v>45808</v>
      </c>
      <c r="F11" s="18">
        <f>+'PCR Cycle 4'!F$11</f>
        <v>45838</v>
      </c>
      <c r="G11" s="18">
        <f>+'PCR Cycle 4'!G$11</f>
        <v>45869</v>
      </c>
      <c r="H11" s="13">
        <f>+'PCR Cycle 4'!H$11</f>
        <v>45900</v>
      </c>
      <c r="I11" s="18">
        <f>+'PCR Cycle 4'!I$11</f>
        <v>45930</v>
      </c>
      <c r="J11" s="14">
        <f>+'PCR Cycle 4'!J$11</f>
        <v>45961</v>
      </c>
      <c r="K11" s="18">
        <f>+'PCR Cycle 4'!K$11</f>
        <v>45991</v>
      </c>
      <c r="L11" s="18">
        <f>+'PCR Cycle 4'!L$11</f>
        <v>46022</v>
      </c>
      <c r="M11" s="92">
        <f>+'PCR Cycle 4'!M$11</f>
        <v>46053</v>
      </c>
      <c r="AA11" s="1"/>
      <c r="AB11" s="1"/>
      <c r="AC11" s="1"/>
      <c r="AD11" s="1"/>
      <c r="AE11" s="1"/>
      <c r="AF11" s="1"/>
      <c r="AG11" s="1"/>
      <c r="AH11" s="1"/>
      <c r="AI11" s="1"/>
      <c r="AJ11" s="1"/>
    </row>
    <row r="12" spans="1:36" x14ac:dyDescent="0.25">
      <c r="C12" s="95"/>
      <c r="D12" s="234"/>
      <c r="E12" s="30"/>
      <c r="F12" s="30"/>
      <c r="G12" s="30"/>
      <c r="H12" s="27"/>
      <c r="I12" s="30"/>
      <c r="J12" s="10"/>
      <c r="K12" s="30"/>
      <c r="L12" s="30"/>
      <c r="M12" s="28"/>
      <c r="P12" s="46"/>
    </row>
    <row r="13" spans="1:36" x14ac:dyDescent="0.25">
      <c r="A13" s="45" t="s">
        <v>123</v>
      </c>
      <c r="C13" s="427"/>
      <c r="D13" s="137"/>
      <c r="E13" s="234"/>
      <c r="F13" s="234"/>
      <c r="G13" s="234"/>
      <c r="H13" s="95"/>
      <c r="I13" s="234"/>
      <c r="J13" s="296"/>
      <c r="K13" s="137"/>
      <c r="L13" s="137"/>
      <c r="M13" s="295"/>
      <c r="P13" s="46"/>
    </row>
    <row r="14" spans="1:36" x14ac:dyDescent="0.25">
      <c r="A14" s="45" t="s">
        <v>22</v>
      </c>
      <c r="C14" s="344">
        <v>-82804.02</v>
      </c>
      <c r="D14" s="235"/>
      <c r="E14" s="103">
        <f>ROUND('[3]Pivot - SI Project'!$N$34,2)</f>
        <v>7535.56</v>
      </c>
      <c r="F14" s="103">
        <f>ROUND('[4]Pivot - SI Project'!$N$34,2)</f>
        <v>10279.75</v>
      </c>
      <c r="G14" s="104">
        <f>ROUND('[5]Pivot - SI Project'!$N$34,2)</f>
        <v>2934.13</v>
      </c>
      <c r="H14" s="15">
        <f>ROUND('[6]Pivot - SI Project'!$N$34,2)</f>
        <v>5111.16</v>
      </c>
      <c r="I14" s="54">
        <f>ROUND('[7]Pivot - SI Project'!$N$34,2)</f>
        <v>-46224.4</v>
      </c>
      <c r="J14" s="150">
        <f>ROUND('[8]Pivot - SI Project'!$N$34,2)</f>
        <v>0</v>
      </c>
      <c r="K14" s="354"/>
      <c r="L14" s="355"/>
      <c r="M14" s="353"/>
      <c r="P14" s="46">
        <f>-SUM(K14:M14)</f>
        <v>0</v>
      </c>
    </row>
    <row r="15" spans="1:36" x14ac:dyDescent="0.25">
      <c r="A15" s="45" t="s">
        <v>94</v>
      </c>
      <c r="C15" s="344">
        <v>-35075.18</v>
      </c>
      <c r="D15" s="235"/>
      <c r="E15" s="511">
        <f>ROUND('[3]Pivot - SI Project'!$O$34,2)</f>
        <v>1705.2</v>
      </c>
      <c r="F15" s="103">
        <f>ROUND('[4]Pivot - SI Project'!$O$34,2)</f>
        <v>2422.0100000000002</v>
      </c>
      <c r="G15" s="104">
        <f>ROUND('[5]Pivot - SI Project'!$O$34,2)</f>
        <v>979.79</v>
      </c>
      <c r="H15" s="15">
        <f>ROUND('[6]Pivot - SI Project'!$O$34,2)</f>
        <v>708.54</v>
      </c>
      <c r="I15" s="54">
        <f>ROUND('[7]Pivot - SI Project'!$O$34,2)</f>
        <v>-1569.08</v>
      </c>
      <c r="J15" s="150">
        <f>ROUND('[8]Pivot - SI Project'!$O$34,2)</f>
        <v>0</v>
      </c>
      <c r="K15" s="354"/>
      <c r="L15" s="355"/>
      <c r="M15" s="353"/>
      <c r="P15" s="46">
        <f t="shared" ref="P15:P17" si="2">-SUM(K15:M15)</f>
        <v>0</v>
      </c>
    </row>
    <row r="16" spans="1:36" x14ac:dyDescent="0.25">
      <c r="A16" s="45" t="s">
        <v>95</v>
      </c>
      <c r="C16" s="344">
        <v>-21524.06</v>
      </c>
      <c r="D16" s="235"/>
      <c r="E16" s="511">
        <f>ROUND('[3]Pivot - SI Project'!$Q$34,2)</f>
        <v>1274.71</v>
      </c>
      <c r="F16" s="103">
        <f>ROUND('[4]Pivot - SI Project'!$Q$34,2)</f>
        <v>1791.82</v>
      </c>
      <c r="G16" s="104">
        <f>ROUND('[5]Pivot - SI Project'!$Q$34,2)</f>
        <v>680.08</v>
      </c>
      <c r="H16" s="15">
        <f>ROUND('[6]Pivot - SI Project'!$Q$34,2)</f>
        <v>874.12</v>
      </c>
      <c r="I16" s="54">
        <f>ROUND('[7]Pivot - SI Project'!$Q$34,2)</f>
        <v>-1439.75</v>
      </c>
      <c r="J16" s="150">
        <f>ROUND('[8]Pivot - SI Project'!$Q$34,2)</f>
        <v>0</v>
      </c>
      <c r="K16" s="354"/>
      <c r="L16" s="355"/>
      <c r="M16" s="353"/>
      <c r="P16" s="46">
        <f t="shared" si="2"/>
        <v>0</v>
      </c>
    </row>
    <row r="17" spans="1:24" x14ac:dyDescent="0.25">
      <c r="A17" s="45" t="s">
        <v>96</v>
      </c>
      <c r="C17" s="344">
        <v>-11353.9</v>
      </c>
      <c r="D17" s="235"/>
      <c r="E17" s="511">
        <f>ROUND('[3]Pivot - SI Project'!$R$34,2)</f>
        <v>786.52</v>
      </c>
      <c r="F17" s="103">
        <f>ROUND('[4]Pivot - SI Project'!$R$34,2)</f>
        <v>1146.3800000000001</v>
      </c>
      <c r="G17" s="104">
        <f>ROUND('[5]Pivot - SI Project'!$R$34,2)</f>
        <v>405.96</v>
      </c>
      <c r="H17" s="15">
        <f>ROUND('[6]Pivot - SI Project'!$R$34,2)</f>
        <v>702.31</v>
      </c>
      <c r="I17" s="54">
        <f>ROUND('[7]Pivot - SI Project'!$R$34,2)</f>
        <v>-1024.06</v>
      </c>
      <c r="J17" s="150">
        <f>ROUND('[8]Pivot - SI Project'!$R$34,2)</f>
        <v>0</v>
      </c>
      <c r="K17" s="354"/>
      <c r="L17" s="355"/>
      <c r="M17" s="353"/>
      <c r="P17" s="46">
        <f t="shared" si="2"/>
        <v>0</v>
      </c>
    </row>
    <row r="18" spans="1:24" x14ac:dyDescent="0.25">
      <c r="C18" s="281"/>
      <c r="D18" s="137"/>
      <c r="E18" s="30"/>
      <c r="F18" s="30"/>
      <c r="G18" s="30"/>
      <c r="H18" s="27"/>
      <c r="I18" s="30"/>
      <c r="J18" s="10"/>
      <c r="K18" s="16"/>
      <c r="L18" s="16"/>
      <c r="M18" s="10"/>
      <c r="P18" s="46"/>
    </row>
    <row r="19" spans="1:24" x14ac:dyDescent="0.25">
      <c r="A19" s="38" t="s">
        <v>41</v>
      </c>
      <c r="B19" s="38"/>
      <c r="C19" s="282"/>
      <c r="D19" s="236"/>
      <c r="E19" s="30"/>
      <c r="F19" s="30"/>
      <c r="G19" s="30"/>
      <c r="H19" s="95"/>
      <c r="I19" s="234"/>
      <c r="J19" s="295"/>
      <c r="K19" s="16"/>
      <c r="L19" s="16"/>
      <c r="M19" s="10"/>
      <c r="P19" s="46"/>
    </row>
    <row r="20" spans="1:24" x14ac:dyDescent="0.25">
      <c r="A20" s="45" t="s">
        <v>22</v>
      </c>
      <c r="C20" s="345">
        <v>-891202702.13022184</v>
      </c>
      <c r="D20" s="237"/>
      <c r="E20" s="105">
        <f>'PCR Cycle 4'!E20</f>
        <v>200787058</v>
      </c>
      <c r="F20" s="105">
        <f>'PCR Cycle 4'!F20</f>
        <v>253369044.64400005</v>
      </c>
      <c r="G20" s="105">
        <f>'PCR Cycle 4'!G20</f>
        <v>395315344.39619982</v>
      </c>
      <c r="H20" s="164">
        <f>'PCR Cycle 4'!H20</f>
        <v>395820865.71230018</v>
      </c>
      <c r="I20" s="165">
        <f>'PCR Cycle 4'!I20</f>
        <v>324045734.58690017</v>
      </c>
      <c r="J20" s="161">
        <f>'PCR Cycle 4'!J20</f>
        <v>271237401.47860003</v>
      </c>
      <c r="K20" s="158">
        <f>'PCR Cycle 4'!K20</f>
        <v>248952991.38368243</v>
      </c>
      <c r="L20" s="127">
        <f>'PCR Cycle 4'!L20</f>
        <v>333818688.80422282</v>
      </c>
      <c r="M20" s="74">
        <f>'PCR Cycle 4'!M20</f>
        <v>403689323</v>
      </c>
      <c r="P20" s="46">
        <f>-SUM(K20:M20)</f>
        <v>-986461003.18790531</v>
      </c>
      <c r="X20" s="315"/>
    </row>
    <row r="21" spans="1:24" x14ac:dyDescent="0.25">
      <c r="A21" s="45" t="s">
        <v>94</v>
      </c>
      <c r="C21" s="345">
        <v>-320656572</v>
      </c>
      <c r="D21" s="237"/>
      <c r="E21" s="105">
        <f>'PCR Cycle 4'!E21</f>
        <v>97473954</v>
      </c>
      <c r="F21" s="105">
        <f>'PCR Cycle 4'!F21</f>
        <v>110977216.84269996</v>
      </c>
      <c r="G21" s="105">
        <f>'PCR Cycle 4'!G21</f>
        <v>140571534.19329989</v>
      </c>
      <c r="H21" s="164">
        <f>'PCR Cycle 4'!H21</f>
        <v>139390028.35640004</v>
      </c>
      <c r="I21" s="165">
        <f>'PCR Cycle 4'!I21</f>
        <v>129297404.4403</v>
      </c>
      <c r="J21" s="161">
        <f>'PCR Cycle 4'!J21</f>
        <v>118672194.89719999</v>
      </c>
      <c r="K21" s="158">
        <f>'PCR Cycle 4'!K21</f>
        <v>94397039</v>
      </c>
      <c r="L21" s="127">
        <f>'PCR Cycle 4'!L21</f>
        <v>97302839</v>
      </c>
      <c r="M21" s="74">
        <f>'PCR Cycle 4'!M21</f>
        <v>121224373</v>
      </c>
      <c r="P21" s="46">
        <f t="shared" ref="P21:P23" si="3">-SUM(K21:M21)</f>
        <v>-312924251</v>
      </c>
    </row>
    <row r="22" spans="1:24" x14ac:dyDescent="0.25">
      <c r="A22" s="45" t="s">
        <v>95</v>
      </c>
      <c r="C22" s="345">
        <v>-262096819</v>
      </c>
      <c r="D22" s="237"/>
      <c r="E22" s="105">
        <f>'PCR Cycle 4'!E22</f>
        <v>80017971</v>
      </c>
      <c r="F22" s="105">
        <f>'PCR Cycle 4'!F22</f>
        <v>88844870.487599999</v>
      </c>
      <c r="G22" s="105">
        <f>'PCR Cycle 4'!G22</f>
        <v>103949154.2245</v>
      </c>
      <c r="H22" s="164">
        <f>'PCR Cycle 4'!H22</f>
        <v>102951191.41019996</v>
      </c>
      <c r="I22" s="165">
        <f>'PCR Cycle 4'!I22</f>
        <v>101417049.8167</v>
      </c>
      <c r="J22" s="161">
        <f>'PCR Cycle 4'!J22</f>
        <v>92628273.473299995</v>
      </c>
      <c r="K22" s="358">
        <f>'PCR Cycle 4'!K22</f>
        <v>77157825</v>
      </c>
      <c r="L22" s="127">
        <f>'PCR Cycle 4'!L22</f>
        <v>79532955</v>
      </c>
      <c r="M22" s="74">
        <f>'PCR Cycle 4'!M22</f>
        <v>99085830</v>
      </c>
      <c r="P22" s="46">
        <f t="shared" si="3"/>
        <v>-255776610</v>
      </c>
    </row>
    <row r="23" spans="1:24" x14ac:dyDescent="0.25">
      <c r="A23" s="45" t="s">
        <v>96</v>
      </c>
      <c r="C23" s="345">
        <v>-182078305</v>
      </c>
      <c r="D23" s="237"/>
      <c r="E23" s="105">
        <f>'PCR Cycle 4'!E23</f>
        <v>68248817</v>
      </c>
      <c r="F23" s="105">
        <f>'PCR Cycle 4'!F23</f>
        <v>74021469.646300003</v>
      </c>
      <c r="G23" s="105">
        <f>'PCR Cycle 4'!G23</f>
        <v>80029411.594000012</v>
      </c>
      <c r="H23" s="164">
        <f>'PCR Cycle 4'!H23</f>
        <v>76915868.770799994</v>
      </c>
      <c r="I23" s="165">
        <f>'PCR Cycle 4'!I23</f>
        <v>82662317.64199999</v>
      </c>
      <c r="J23" s="161">
        <f>'PCR Cycle 4'!J23</f>
        <v>90987418.858499959</v>
      </c>
      <c r="K23" s="356">
        <f>'PCR Cycle 4'!K23</f>
        <v>53601437</v>
      </c>
      <c r="L23" s="127">
        <f>'PCR Cycle 4'!L23</f>
        <v>55251436</v>
      </c>
      <c r="M23" s="74">
        <f>'PCR Cycle 4'!M23</f>
        <v>68834792</v>
      </c>
      <c r="P23" s="46">
        <f t="shared" si="3"/>
        <v>-177687665</v>
      </c>
    </row>
    <row r="24" spans="1:24" x14ac:dyDescent="0.25">
      <c r="C24" s="281"/>
      <c r="D24" s="137"/>
      <c r="E24" s="30"/>
      <c r="F24" s="30"/>
      <c r="G24" s="30"/>
      <c r="H24" s="27"/>
      <c r="I24" s="30"/>
      <c r="J24" s="10"/>
      <c r="K24" s="16"/>
      <c r="L24" s="16"/>
      <c r="M24" s="10"/>
      <c r="P24" s="46"/>
    </row>
    <row r="25" spans="1:24" x14ac:dyDescent="0.25">
      <c r="A25" s="45" t="s">
        <v>29</v>
      </c>
      <c r="C25" s="281"/>
      <c r="D25" s="137"/>
      <c r="E25" s="236"/>
      <c r="F25" s="236"/>
      <c r="G25" s="236"/>
      <c r="H25" s="294"/>
      <c r="I25" s="236"/>
      <c r="J25" s="295"/>
      <c r="K25" s="56"/>
      <c r="L25" s="56"/>
      <c r="M25" s="57"/>
      <c r="N25" s="408" t="s">
        <v>44</v>
      </c>
      <c r="O25" s="38"/>
      <c r="P25" s="46"/>
    </row>
    <row r="26" spans="1:24" x14ac:dyDescent="0.25">
      <c r="A26" s="45" t="s">
        <v>22</v>
      </c>
      <c r="C26" s="344">
        <v>-606017.82999999996</v>
      </c>
      <c r="D26" s="235"/>
      <c r="E26" s="103">
        <f>ROUND('[9]May 2025'!$G76+'[9]May 2025'!$G83,2)</f>
        <v>136549.93</v>
      </c>
      <c r="F26" s="103">
        <f>ROUND('[9]June 2025'!$G76+'[9]June 2025'!$G83,2)</f>
        <v>172290.33</v>
      </c>
      <c r="G26" s="103">
        <f>ROUND('[9]July 2025'!$G76+'[9]July 2025'!$G83,2)</f>
        <v>268830.8</v>
      </c>
      <c r="H26" s="164">
        <f>ROUND('[9]August 2025'!$G76+'[9]August 2025'!$G83,2)</f>
        <v>150464.32999999999</v>
      </c>
      <c r="I26" s="165">
        <f>ROUND('[9]Sept 2025'!$G76+'[9]Sept 2025'!$G83,2)</f>
        <v>123048.48</v>
      </c>
      <c r="J26" s="161">
        <f>ROUND('[9]EMW Oct25'!$G87+'[9]EMW Oct25'!$G94,2)</f>
        <v>103127.46</v>
      </c>
      <c r="K26" s="113">
        <f>ROUND(K20*$N26,2)</f>
        <v>94602.14</v>
      </c>
      <c r="L26" s="40">
        <f t="shared" ref="K26:M29" si="4">ROUND(L20*$N26,2)</f>
        <v>126851.1</v>
      </c>
      <c r="M26" s="60">
        <f t="shared" si="4"/>
        <v>153401.94</v>
      </c>
      <c r="N26" s="71">
        <v>3.8000000000000002E-4</v>
      </c>
      <c r="P26" s="46">
        <f>-SUM(K26:M26)</f>
        <v>-374855.18</v>
      </c>
    </row>
    <row r="27" spans="1:24" x14ac:dyDescent="0.25">
      <c r="A27" s="45" t="s">
        <v>94</v>
      </c>
      <c r="C27" s="344">
        <v>-381581.32</v>
      </c>
      <c r="D27" s="235"/>
      <c r="E27" s="511">
        <f>ROUND('[9]May 2025'!$G77+'[9]May 2025'!$G84,2)</f>
        <v>116034.02</v>
      </c>
      <c r="F27" s="103">
        <f>ROUND('[9]June 2025'!$G77+'[9]June 2025'!$G84,2)</f>
        <v>132079.6</v>
      </c>
      <c r="G27" s="103">
        <f>ROUND('[9]July 2025'!$G77+'[9]July 2025'!$G84,2)</f>
        <v>166844.49</v>
      </c>
      <c r="H27" s="164">
        <f>ROUND('[9]August 2025'!$G77+'[9]August 2025'!$G84,2)</f>
        <v>51524.93</v>
      </c>
      <c r="I27" s="165">
        <f>ROUND('[9]Sept 2025'!$G77+'[9]Sept 2025'!$G84,2)</f>
        <v>47810.79</v>
      </c>
      <c r="J27" s="161">
        <f>ROUND('[9]EMW Oct25'!$G88+'[9]EMW Oct25'!$G95,2)</f>
        <v>43380.39</v>
      </c>
      <c r="K27" s="113">
        <f t="shared" si="4"/>
        <v>34926.9</v>
      </c>
      <c r="L27" s="40">
        <f t="shared" si="4"/>
        <v>36002.050000000003</v>
      </c>
      <c r="M27" s="60">
        <f t="shared" si="4"/>
        <v>44853.02</v>
      </c>
      <c r="N27" s="416">
        <v>3.6999999999999999E-4</v>
      </c>
      <c r="P27" s="46">
        <f t="shared" ref="P27:P31" si="5">-SUM(K27:M27)</f>
        <v>-115781.97</v>
      </c>
    </row>
    <row r="28" spans="1:24" x14ac:dyDescent="0.25">
      <c r="A28" s="45" t="s">
        <v>95</v>
      </c>
      <c r="C28" s="344">
        <v>-149395.18</v>
      </c>
      <c r="D28" s="235"/>
      <c r="E28" s="511">
        <f>ROUND('[9]May 2025'!$G78+'[9]May 2025'!$G85,2)</f>
        <v>45646.29</v>
      </c>
      <c r="F28" s="103">
        <f>ROUND('[9]June 2025'!$G78+'[9]June 2025'!$G85,2)</f>
        <v>50677.74</v>
      </c>
      <c r="G28" s="103">
        <f>ROUND('[9]July 2025'!$G78+'[9]July 2025'!$G85,2)</f>
        <v>59173.06</v>
      </c>
      <c r="H28" s="164">
        <f>ROUND('[9]August 2025'!$G78+'[9]August 2025'!$G85,2)</f>
        <v>18606.11</v>
      </c>
      <c r="I28" s="165">
        <f>ROUND('[9]Sept 2025'!$G78+'[9]Sept 2025'!$G85,2)</f>
        <v>18292.98</v>
      </c>
      <c r="J28" s="161">
        <f>ROUND('[9]EMW Oct25'!$G89+'[9]EMW Oct25'!$G96,2)</f>
        <v>16673.09</v>
      </c>
      <c r="K28" s="113">
        <f t="shared" si="4"/>
        <v>13888.41</v>
      </c>
      <c r="L28" s="40">
        <f t="shared" si="4"/>
        <v>14315.93</v>
      </c>
      <c r="M28" s="60">
        <f t="shared" si="4"/>
        <v>17835.45</v>
      </c>
      <c r="N28" s="416">
        <v>1.8000000000000001E-4</v>
      </c>
      <c r="P28" s="46">
        <f t="shared" si="5"/>
        <v>-46039.79</v>
      </c>
    </row>
    <row r="29" spans="1:24" x14ac:dyDescent="0.25">
      <c r="A29" s="45" t="s">
        <v>96</v>
      </c>
      <c r="C29" s="344">
        <v>-7283.1399999999994</v>
      </c>
      <c r="D29" s="235"/>
      <c r="E29" s="511">
        <f>ROUND('[9]May 2025'!$G79+'[9]May 2025'!$G86,2)</f>
        <v>2760.71</v>
      </c>
      <c r="F29" s="103">
        <f>ROUND('[9]June 2025'!$G79+'[9]June 2025'!$G86,2)</f>
        <v>2991.03</v>
      </c>
      <c r="G29" s="103">
        <f>ROUND('[9]July 2025'!$G79+'[9]July 2025'!$G86,2)</f>
        <v>3227.98</v>
      </c>
      <c r="H29" s="164">
        <f>ROUND('[9]August 2025'!$G79+'[9]August 2025'!$G86,2)</f>
        <v>-32795.47</v>
      </c>
      <c r="I29" s="165">
        <f>ROUND('[9]Sept 2025'!$G79+'[9]Sept 2025'!$G86,2)</f>
        <v>-35536.58</v>
      </c>
      <c r="J29" s="161">
        <f>ROUND('[9]EMW Oct25'!$G90+'[9]EMW Oct25'!$G97,2)</f>
        <v>-39124.589999999997</v>
      </c>
      <c r="K29" s="113">
        <f t="shared" si="4"/>
        <v>-23048.62</v>
      </c>
      <c r="L29" s="40">
        <f t="shared" si="4"/>
        <v>-23758.12</v>
      </c>
      <c r="M29" s="60">
        <f t="shared" si="4"/>
        <v>-29598.959999999999</v>
      </c>
      <c r="N29" s="416">
        <v>-4.3000000000000004E-4</v>
      </c>
      <c r="P29" s="46">
        <f t="shared" si="5"/>
        <v>76405.7</v>
      </c>
    </row>
    <row r="30" spans="1:24" x14ac:dyDescent="0.25">
      <c r="C30" s="283"/>
      <c r="D30" s="67"/>
      <c r="E30" s="17"/>
      <c r="F30" s="17"/>
      <c r="G30" s="17"/>
      <c r="H30" s="88"/>
      <c r="I30" s="17"/>
      <c r="J30" s="10"/>
      <c r="K30" s="55"/>
      <c r="L30" s="55"/>
      <c r="M30" s="12"/>
      <c r="N30" s="4"/>
      <c r="P30" s="46"/>
    </row>
    <row r="31" spans="1:24" ht="15.75" thickBot="1" x14ac:dyDescent="0.3">
      <c r="A31" s="45" t="s">
        <v>12</v>
      </c>
      <c r="C31" s="346">
        <v>-23554.190000000002</v>
      </c>
      <c r="D31" s="238"/>
      <c r="E31" s="106">
        <v>12332.190000000002</v>
      </c>
      <c r="F31" s="106">
        <v>10875.93</v>
      </c>
      <c r="G31" s="107">
        <v>8996.0500000000011</v>
      </c>
      <c r="H31" s="25">
        <f>7430.6-0.01</f>
        <v>7430.59</v>
      </c>
      <c r="I31" s="112">
        <v>6365.85</v>
      </c>
      <c r="J31" s="160">
        <v>5501.6500000000005</v>
      </c>
      <c r="K31" s="159">
        <f>ROUND((SUM(J40:J43)+SUM(J47:J50)+SUM(K34:K37)/2)*K$45,2)</f>
        <v>4977.78</v>
      </c>
      <c r="L31" s="128">
        <f>ROUND((SUM(K40:K43)+SUM(K47:K50)+SUM(L34:L37)/2)*L$45,2)</f>
        <v>4385.68</v>
      </c>
      <c r="M31" s="78"/>
      <c r="P31" s="46">
        <f t="shared" si="5"/>
        <v>-9363.4599999999991</v>
      </c>
    </row>
    <row r="32" spans="1:24" x14ac:dyDescent="0.25">
      <c r="C32" s="96"/>
      <c r="D32" s="137"/>
      <c r="E32" s="30"/>
      <c r="F32" s="30"/>
      <c r="G32" s="30"/>
      <c r="H32" s="27"/>
      <c r="I32" s="30"/>
      <c r="J32" s="10"/>
      <c r="K32" s="16"/>
      <c r="L32" s="16"/>
      <c r="M32" s="10"/>
      <c r="P32" s="46"/>
    </row>
    <row r="33" spans="1:16" outlineLevel="1" x14ac:dyDescent="0.25">
      <c r="A33" s="45" t="s">
        <v>46</v>
      </c>
      <c r="C33" s="96"/>
      <c r="D33" s="137"/>
      <c r="E33" s="30"/>
      <c r="F33" s="30"/>
      <c r="G33" s="30"/>
      <c r="H33" s="27"/>
      <c r="I33" s="30"/>
      <c r="J33" s="10"/>
      <c r="K33" s="16"/>
      <c r="L33" s="16"/>
      <c r="M33" s="10"/>
      <c r="P33" s="46"/>
    </row>
    <row r="34" spans="1:16" outlineLevel="1" x14ac:dyDescent="0.25">
      <c r="A34" s="45" t="s">
        <v>22</v>
      </c>
      <c r="C34" s="39">
        <f t="shared" ref="C34:M34" si="6">C14-C26</f>
        <v>523213.80999999994</v>
      </c>
      <c r="D34" s="113">
        <f t="shared" ref="D34" si="7">D14-D26</f>
        <v>0</v>
      </c>
      <c r="E34" s="40">
        <f>E14-E26</f>
        <v>-129014.37</v>
      </c>
      <c r="F34" s="40">
        <f t="shared" si="6"/>
        <v>-162010.57999999999</v>
      </c>
      <c r="G34" s="102">
        <f t="shared" si="6"/>
        <v>-265896.67</v>
      </c>
      <c r="H34" s="39">
        <f t="shared" si="6"/>
        <v>-145353.16999999998</v>
      </c>
      <c r="I34" s="40">
        <f t="shared" si="6"/>
        <v>-169272.88</v>
      </c>
      <c r="J34" s="60">
        <f t="shared" si="6"/>
        <v>-103127.46</v>
      </c>
      <c r="K34" s="113">
        <f t="shared" si="6"/>
        <v>-94602.14</v>
      </c>
      <c r="L34" s="40">
        <f t="shared" si="6"/>
        <v>-126851.1</v>
      </c>
      <c r="M34" s="48">
        <f t="shared" si="6"/>
        <v>-153401.94</v>
      </c>
      <c r="P34" s="46"/>
    </row>
    <row r="35" spans="1:16" outlineLevel="1" x14ac:dyDescent="0.25">
      <c r="A35" s="45" t="s">
        <v>94</v>
      </c>
      <c r="C35" s="39">
        <f t="shared" ref="C35:M35" si="8">C15-C27</f>
        <v>346506.14</v>
      </c>
      <c r="D35" s="113">
        <f t="shared" ref="D35" si="9">D15-D27</f>
        <v>0</v>
      </c>
      <c r="E35" s="40">
        <f t="shared" si="8"/>
        <v>-114328.82</v>
      </c>
      <c r="F35" s="40">
        <f t="shared" si="8"/>
        <v>-129657.59000000001</v>
      </c>
      <c r="G35" s="102">
        <f t="shared" si="8"/>
        <v>-165864.69999999998</v>
      </c>
      <c r="H35" s="39">
        <f t="shared" si="8"/>
        <v>-50816.39</v>
      </c>
      <c r="I35" s="40">
        <f t="shared" si="8"/>
        <v>-49379.87</v>
      </c>
      <c r="J35" s="60">
        <f t="shared" si="8"/>
        <v>-43380.39</v>
      </c>
      <c r="K35" s="113">
        <f t="shared" si="8"/>
        <v>-34926.9</v>
      </c>
      <c r="L35" s="40">
        <f t="shared" si="8"/>
        <v>-36002.050000000003</v>
      </c>
      <c r="M35" s="48">
        <f t="shared" si="8"/>
        <v>-44853.02</v>
      </c>
      <c r="P35" s="46"/>
    </row>
    <row r="36" spans="1:16" outlineLevel="1" x14ac:dyDescent="0.25">
      <c r="A36" s="45" t="s">
        <v>95</v>
      </c>
      <c r="C36" s="39">
        <f t="shared" ref="C36:M36" si="10">C16-C28</f>
        <v>127871.12</v>
      </c>
      <c r="D36" s="113">
        <f t="shared" ref="D36" si="11">D16-D28</f>
        <v>0</v>
      </c>
      <c r="E36" s="40">
        <f t="shared" si="10"/>
        <v>-44371.58</v>
      </c>
      <c r="F36" s="40">
        <f t="shared" si="10"/>
        <v>-48885.919999999998</v>
      </c>
      <c r="G36" s="102">
        <f t="shared" si="10"/>
        <v>-58492.979999999996</v>
      </c>
      <c r="H36" s="39">
        <f t="shared" si="10"/>
        <v>-17731.990000000002</v>
      </c>
      <c r="I36" s="40">
        <f t="shared" si="10"/>
        <v>-19732.73</v>
      </c>
      <c r="J36" s="60">
        <f t="shared" si="10"/>
        <v>-16673.09</v>
      </c>
      <c r="K36" s="113">
        <f t="shared" si="10"/>
        <v>-13888.41</v>
      </c>
      <c r="L36" s="40">
        <f t="shared" si="10"/>
        <v>-14315.93</v>
      </c>
      <c r="M36" s="48">
        <f t="shared" si="10"/>
        <v>-17835.45</v>
      </c>
      <c r="P36" s="46"/>
    </row>
    <row r="37" spans="1:16" outlineLevel="1" x14ac:dyDescent="0.25">
      <c r="A37" s="45" t="s">
        <v>96</v>
      </c>
      <c r="C37" s="39">
        <f t="shared" ref="C37:M37" si="12">C17-C29</f>
        <v>-4070.76</v>
      </c>
      <c r="D37" s="113">
        <f t="shared" ref="D37" si="13">D17-D29</f>
        <v>0</v>
      </c>
      <c r="E37" s="40">
        <f t="shared" si="12"/>
        <v>-1974.19</v>
      </c>
      <c r="F37" s="40">
        <f t="shared" si="12"/>
        <v>-1844.65</v>
      </c>
      <c r="G37" s="102">
        <f t="shared" si="12"/>
        <v>-2822.02</v>
      </c>
      <c r="H37" s="39">
        <f t="shared" si="12"/>
        <v>33497.78</v>
      </c>
      <c r="I37" s="40">
        <f t="shared" si="12"/>
        <v>34512.520000000004</v>
      </c>
      <c r="J37" s="60">
        <f t="shared" si="12"/>
        <v>39124.589999999997</v>
      </c>
      <c r="K37" s="113">
        <f t="shared" si="12"/>
        <v>23048.62</v>
      </c>
      <c r="L37" s="40">
        <f t="shared" si="12"/>
        <v>23758.12</v>
      </c>
      <c r="M37" s="48">
        <f t="shared" si="12"/>
        <v>29598.959999999999</v>
      </c>
      <c r="P37" s="46"/>
    </row>
    <row r="38" spans="1:16" outlineLevel="1" x14ac:dyDescent="0.25">
      <c r="C38" s="96"/>
      <c r="D38" s="137"/>
      <c r="E38" s="30"/>
      <c r="F38" s="30"/>
      <c r="G38" s="30"/>
      <c r="H38" s="27"/>
      <c r="I38" s="30"/>
      <c r="J38" s="10"/>
      <c r="K38" s="16"/>
      <c r="L38" s="16"/>
      <c r="M38" s="10"/>
      <c r="P38" s="46"/>
    </row>
    <row r="39" spans="1:16" ht="15.75" outlineLevel="1" thickBot="1" x14ac:dyDescent="0.3">
      <c r="A39" s="45" t="s">
        <v>47</v>
      </c>
      <c r="C39" s="99"/>
      <c r="D39" s="239"/>
      <c r="E39" s="30"/>
      <c r="F39" s="30"/>
      <c r="G39" s="30"/>
      <c r="H39" s="27"/>
      <c r="I39" s="30"/>
      <c r="J39" s="10"/>
      <c r="K39" s="16"/>
      <c r="L39" s="16"/>
      <c r="M39" s="10"/>
      <c r="P39" s="46"/>
    </row>
    <row r="40" spans="1:16" outlineLevel="1" x14ac:dyDescent="0.25">
      <c r="A40" s="45" t="s">
        <v>22</v>
      </c>
      <c r="B40" s="284">
        <v>1438982.57</v>
      </c>
      <c r="C40" s="40">
        <f t="shared" ref="C40:M40" si="14">B40+C34+B47</f>
        <v>1962196.38</v>
      </c>
      <c r="D40" s="40">
        <f t="shared" ref="D40:D43" si="15">C40+D34+C47</f>
        <v>1945067</v>
      </c>
      <c r="E40" s="40">
        <f t="shared" ref="E40:E43" si="16">D40+E34+D47</f>
        <v>1816052.63</v>
      </c>
      <c r="F40" s="40">
        <f t="shared" si="14"/>
        <v>1662940.2199999997</v>
      </c>
      <c r="G40" s="102">
        <f t="shared" si="14"/>
        <v>1405280.7599999998</v>
      </c>
      <c r="H40" s="39">
        <f t="shared" si="14"/>
        <v>1267227.0999999999</v>
      </c>
      <c r="I40" s="40">
        <f t="shared" si="14"/>
        <v>1104303.8999999997</v>
      </c>
      <c r="J40" s="60">
        <f t="shared" si="14"/>
        <v>1006647.9099999997</v>
      </c>
      <c r="K40" s="113">
        <f t="shared" si="14"/>
        <v>916795.66999999969</v>
      </c>
      <c r="L40" s="40">
        <f t="shared" si="14"/>
        <v>794272.01999999967</v>
      </c>
      <c r="M40" s="48">
        <f t="shared" si="14"/>
        <v>644719.9499999996</v>
      </c>
      <c r="P40" s="46"/>
    </row>
    <row r="41" spans="1:16" outlineLevel="1" x14ac:dyDescent="0.25">
      <c r="A41" s="45" t="s">
        <v>94</v>
      </c>
      <c r="B41" s="287">
        <v>453150.99999999953</v>
      </c>
      <c r="C41" s="40">
        <f>B41+C35+B48</f>
        <v>799657.13999999955</v>
      </c>
      <c r="D41" s="40">
        <f t="shared" si="15"/>
        <v>793137.01999999955</v>
      </c>
      <c r="E41" s="40">
        <f t="shared" si="16"/>
        <v>678808.19999999949</v>
      </c>
      <c r="F41" s="40">
        <f t="shared" ref="F41:M41" si="17">E41+F35+E48</f>
        <v>552632.97999999952</v>
      </c>
      <c r="G41" s="102">
        <f t="shared" si="17"/>
        <v>389684.74999999953</v>
      </c>
      <c r="H41" s="39">
        <f t="shared" si="17"/>
        <v>341111.11999999953</v>
      </c>
      <c r="I41" s="40">
        <f t="shared" si="17"/>
        <v>293468.14999999956</v>
      </c>
      <c r="J41" s="60">
        <f t="shared" si="17"/>
        <v>251551.90999999954</v>
      </c>
      <c r="K41" s="113">
        <f t="shared" si="17"/>
        <v>217851.48999999955</v>
      </c>
      <c r="L41" s="40">
        <f t="shared" si="17"/>
        <v>182905.67999999953</v>
      </c>
      <c r="M41" s="48">
        <f t="shared" si="17"/>
        <v>138954.44999999955</v>
      </c>
      <c r="P41" s="46"/>
    </row>
    <row r="42" spans="1:16" outlineLevel="1" x14ac:dyDescent="0.25">
      <c r="A42" s="45" t="s">
        <v>95</v>
      </c>
      <c r="B42" s="287">
        <v>177592.36999999947</v>
      </c>
      <c r="C42" s="40">
        <f>B42+C36+B49</f>
        <v>305463.48999999947</v>
      </c>
      <c r="D42" s="40">
        <f t="shared" si="15"/>
        <v>302927.07999999949</v>
      </c>
      <c r="E42" s="40">
        <f t="shared" si="16"/>
        <v>258555.49999999948</v>
      </c>
      <c r="F42" s="40">
        <f t="shared" ref="F42:M42" si="18">E42+F36+E49</f>
        <v>210997.94999999949</v>
      </c>
      <c r="G42" s="102">
        <f t="shared" si="18"/>
        <v>153617.0299999995</v>
      </c>
      <c r="H42" s="39">
        <f t="shared" si="18"/>
        <v>136752.79999999952</v>
      </c>
      <c r="I42" s="40">
        <f t="shared" si="18"/>
        <v>117710.13999999953</v>
      </c>
      <c r="J42" s="60">
        <f t="shared" si="18"/>
        <v>101624.14999999954</v>
      </c>
      <c r="K42" s="113">
        <f t="shared" si="18"/>
        <v>88229.309999999547</v>
      </c>
      <c r="L42" s="40">
        <f t="shared" si="18"/>
        <v>74340.579999999536</v>
      </c>
      <c r="M42" s="48">
        <f t="shared" si="18"/>
        <v>56870.949999999539</v>
      </c>
      <c r="P42" s="46"/>
    </row>
    <row r="43" spans="1:16" ht="15.75" outlineLevel="1" thickBot="1" x14ac:dyDescent="0.3">
      <c r="A43" s="45" t="s">
        <v>96</v>
      </c>
      <c r="B43" s="285">
        <v>-288533.06999999908</v>
      </c>
      <c r="C43" s="40">
        <f t="shared" ref="C43:M43" si="19">B43+C37+B50</f>
        <v>-292603.82999999908</v>
      </c>
      <c r="D43" s="40">
        <f t="shared" si="15"/>
        <v>-289972.10999999911</v>
      </c>
      <c r="E43" s="40">
        <f t="shared" si="16"/>
        <v>-291946.29999999912</v>
      </c>
      <c r="F43" s="40">
        <f t="shared" si="19"/>
        <v>-295167.66999999911</v>
      </c>
      <c r="G43" s="102">
        <f t="shared" si="19"/>
        <v>-299379.49999999913</v>
      </c>
      <c r="H43" s="39">
        <f t="shared" si="19"/>
        <v>-267295.69999999914</v>
      </c>
      <c r="I43" s="40">
        <f t="shared" si="19"/>
        <v>-234129.23999999912</v>
      </c>
      <c r="J43" s="60">
        <f t="shared" si="19"/>
        <v>-196161.51999999912</v>
      </c>
      <c r="K43" s="113">
        <f t="shared" si="19"/>
        <v>-174081.19999999911</v>
      </c>
      <c r="L43" s="40">
        <f t="shared" si="19"/>
        <v>-151156.1899999991</v>
      </c>
      <c r="M43" s="48">
        <f t="shared" si="19"/>
        <v>-122289.02999999911</v>
      </c>
      <c r="P43" s="46"/>
    </row>
    <row r="44" spans="1:16" outlineLevel="1" x14ac:dyDescent="0.25">
      <c r="C44" s="96"/>
      <c r="D44" s="137"/>
      <c r="E44" s="234"/>
      <c r="F44" s="234"/>
      <c r="G44" s="234"/>
      <c r="H44" s="95"/>
      <c r="I44" s="234"/>
      <c r="J44" s="295"/>
      <c r="K44" s="16"/>
      <c r="L44" s="16"/>
      <c r="M44" s="10"/>
      <c r="P44" s="46"/>
    </row>
    <row r="45" spans="1:16" outlineLevel="1" x14ac:dyDescent="0.25">
      <c r="A45" s="38" t="s">
        <v>43</v>
      </c>
      <c r="B45" s="38"/>
      <c r="C45" s="99"/>
      <c r="D45" s="239"/>
      <c r="E45" s="297">
        <f>'[10]MO West ST Rate May 2025'!$E$43</f>
        <v>4.7316600000000004E-3</v>
      </c>
      <c r="F45" s="297">
        <f>'[10]MO West ST Rate Jun25'!$E$42</f>
        <v>4.7233199999999996E-3</v>
      </c>
      <c r="G45" s="297">
        <f>'[10]MO West ST Rate Jul25'!$E$43</f>
        <v>4.7454000000000003E-3</v>
      </c>
      <c r="H45" s="298">
        <f>'[10]MO West ST Rate Aug25'!$E$43</f>
        <v>4.7389099999999998E-3</v>
      </c>
      <c r="I45" s="297">
        <f>'[10]MO West ST Rate Sep25'!$E$42</f>
        <v>4.6019700000000004E-3</v>
      </c>
      <c r="J45" s="299">
        <f>'[10]MO West ST Rate Oct25'!$E$43</f>
        <v>4.4886099999999996E-3</v>
      </c>
      <c r="K45" s="80">
        <f>J45</f>
        <v>4.4886099999999996E-3</v>
      </c>
      <c r="L45" s="80">
        <f>J45</f>
        <v>4.4886099999999996E-3</v>
      </c>
      <c r="M45" s="89"/>
      <c r="P45" s="46"/>
    </row>
    <row r="46" spans="1:16" outlineLevel="1" x14ac:dyDescent="0.25">
      <c r="A46" s="38" t="s">
        <v>31</v>
      </c>
      <c r="B46" s="38"/>
      <c r="C46" s="96"/>
      <c r="D46" s="137"/>
      <c r="E46" s="30"/>
      <c r="F46" s="30"/>
      <c r="G46" s="30"/>
      <c r="H46" s="27"/>
      <c r="I46" s="30"/>
      <c r="J46" s="10"/>
      <c r="K46" s="16"/>
      <c r="L46" s="16"/>
      <c r="M46" s="10"/>
      <c r="N46" s="70"/>
      <c r="P46" s="46"/>
    </row>
    <row r="47" spans="1:16" outlineLevel="1" x14ac:dyDescent="0.25">
      <c r="A47" s="45" t="s">
        <v>22</v>
      </c>
      <c r="C47" s="292">
        <v>-17129.38</v>
      </c>
      <c r="D47" s="113"/>
      <c r="E47" s="40">
        <f>ROUND((C40+C47+D47+E34/2)*E$45,2)</f>
        <v>8898.17</v>
      </c>
      <c r="F47" s="40">
        <f t="shared" ref="F47:L50" si="20">ROUND((E40+E47+F34/2)*F$45,2)</f>
        <v>8237.2099999999991</v>
      </c>
      <c r="G47" s="102">
        <f t="shared" si="20"/>
        <v>7299.51</v>
      </c>
      <c r="H47" s="39">
        <f>ROUND((G40+G47+H34/2)*H$45,2)</f>
        <v>6349.68</v>
      </c>
      <c r="I47" s="113">
        <f t="shared" si="20"/>
        <v>5471.47</v>
      </c>
      <c r="J47" s="60">
        <f t="shared" si="20"/>
        <v>4749.8999999999996</v>
      </c>
      <c r="K47" s="113">
        <f t="shared" si="20"/>
        <v>4327.45</v>
      </c>
      <c r="L47" s="113">
        <f t="shared" si="20"/>
        <v>3849.87</v>
      </c>
      <c r="M47" s="48"/>
      <c r="P47" s="46">
        <f>-SUM(K47:M47)</f>
        <v>-8177.32</v>
      </c>
    </row>
    <row r="48" spans="1:16" outlineLevel="1" x14ac:dyDescent="0.25">
      <c r="A48" s="45" t="s">
        <v>94</v>
      </c>
      <c r="C48" s="348">
        <v>-6520.12</v>
      </c>
      <c r="D48" s="240"/>
      <c r="E48" s="40">
        <f t="shared" ref="E48:E50" si="21">ROUND((C41+C48+D48+E35/2)*E$45,2)</f>
        <v>3482.37</v>
      </c>
      <c r="F48" s="40">
        <f t="shared" si="20"/>
        <v>2916.47</v>
      </c>
      <c r="G48" s="102">
        <f t="shared" si="20"/>
        <v>2242.7600000000002</v>
      </c>
      <c r="H48" s="39">
        <f>ROUND((G41+G48+H35/2)*H$45,2)</f>
        <v>1736.9</v>
      </c>
      <c r="I48" s="113">
        <f t="shared" si="20"/>
        <v>1464.15</v>
      </c>
      <c r="J48" s="60">
        <f t="shared" si="20"/>
        <v>1226.48</v>
      </c>
      <c r="K48" s="113">
        <f t="shared" si="20"/>
        <v>1056.24</v>
      </c>
      <c r="L48" s="113">
        <f t="shared" si="20"/>
        <v>901.79</v>
      </c>
      <c r="M48" s="48"/>
      <c r="P48" s="46">
        <f t="shared" ref="P48:P50" si="22">-SUM(K48:M48)</f>
        <v>-1958.03</v>
      </c>
    </row>
    <row r="49" spans="1:18" x14ac:dyDescent="0.25">
      <c r="A49" s="45" t="s">
        <v>95</v>
      </c>
      <c r="C49" s="348">
        <v>-2536.41</v>
      </c>
      <c r="D49" s="240"/>
      <c r="E49" s="40">
        <f t="shared" si="21"/>
        <v>1328.37</v>
      </c>
      <c r="F49" s="40">
        <f t="shared" si="20"/>
        <v>1112.06</v>
      </c>
      <c r="G49" s="102">
        <f t="shared" si="20"/>
        <v>867.76</v>
      </c>
      <c r="H49" s="39">
        <f>ROUND((G42+G49+H36/2)*H$45,2)</f>
        <v>690.07</v>
      </c>
      <c r="I49" s="113">
        <f t="shared" si="20"/>
        <v>587.1</v>
      </c>
      <c r="J49" s="60">
        <f t="shared" si="20"/>
        <v>493.57</v>
      </c>
      <c r="K49" s="113">
        <f t="shared" si="20"/>
        <v>427.2</v>
      </c>
      <c r="L49" s="113">
        <f t="shared" si="20"/>
        <v>365.82</v>
      </c>
      <c r="M49" s="48"/>
      <c r="P49" s="46">
        <f t="shared" si="22"/>
        <v>-793.02</v>
      </c>
    </row>
    <row r="50" spans="1:18" ht="15.75" thickBot="1" x14ac:dyDescent="0.3">
      <c r="A50" s="45" t="s">
        <v>96</v>
      </c>
      <c r="C50" s="347">
        <v>2631.7200000000003</v>
      </c>
      <c r="D50" s="240"/>
      <c r="E50" s="40">
        <f t="shared" si="21"/>
        <v>-1376.72</v>
      </c>
      <c r="F50" s="40">
        <f t="shared" si="20"/>
        <v>-1389.81</v>
      </c>
      <c r="G50" s="102">
        <f t="shared" si="20"/>
        <v>-1413.98</v>
      </c>
      <c r="H50" s="39">
        <f>ROUND((G43+G50+H37/2)*H$45,2)</f>
        <v>-1346.06</v>
      </c>
      <c r="I50" s="113">
        <f t="shared" si="20"/>
        <v>-1156.8699999999999</v>
      </c>
      <c r="J50" s="60">
        <f t="shared" si="20"/>
        <v>-968.3</v>
      </c>
      <c r="K50" s="113">
        <f t="shared" si="20"/>
        <v>-833.11</v>
      </c>
      <c r="L50" s="113">
        <f t="shared" si="20"/>
        <v>-731.8</v>
      </c>
      <c r="M50" s="48"/>
      <c r="P50" s="46">
        <f t="shared" si="22"/>
        <v>1564.9099999999999</v>
      </c>
    </row>
    <row r="51" spans="1:18" ht="16.5" thickTop="1" thickBot="1" x14ac:dyDescent="0.3">
      <c r="A51" s="53" t="s">
        <v>20</v>
      </c>
      <c r="B51" s="53"/>
      <c r="C51" s="108">
        <v>0</v>
      </c>
      <c r="D51" s="241"/>
      <c r="E51" s="31">
        <f t="shared" ref="E51:M51" si="23">SUM(E47:E50)+SUM(E40:E43)-E54</f>
        <v>0</v>
      </c>
      <c r="F51" s="31">
        <f t="shared" si="23"/>
        <v>0</v>
      </c>
      <c r="G51" s="49">
        <f t="shared" si="23"/>
        <v>0</v>
      </c>
      <c r="H51" s="114">
        <f t="shared" si="23"/>
        <v>0</v>
      </c>
      <c r="I51" s="31">
        <f t="shared" si="23"/>
        <v>0</v>
      </c>
      <c r="J51" s="61">
        <f t="shared" si="23"/>
        <v>0</v>
      </c>
      <c r="K51" s="149">
        <f t="shared" si="23"/>
        <v>0</v>
      </c>
      <c r="L51" s="31">
        <f t="shared" si="23"/>
        <v>0</v>
      </c>
      <c r="M51" s="93">
        <f t="shared" si="23"/>
        <v>0</v>
      </c>
      <c r="P51" s="46"/>
    </row>
    <row r="52" spans="1:18" ht="16.5" thickTop="1" thickBot="1" x14ac:dyDescent="0.3">
      <c r="A52" s="53" t="s">
        <v>21</v>
      </c>
      <c r="B52" s="53"/>
      <c r="C52" s="101">
        <v>0</v>
      </c>
      <c r="D52" s="242"/>
      <c r="E52" s="31">
        <f>SUM(E47:E50)-E31</f>
        <v>0</v>
      </c>
      <c r="F52" s="31">
        <f t="shared" ref="F52:M52" si="24">SUM(F47:F50)-F31</f>
        <v>0</v>
      </c>
      <c r="G52" s="49">
        <f t="shared" si="24"/>
        <v>0</v>
      </c>
      <c r="H52" s="50">
        <f t="shared" si="24"/>
        <v>0</v>
      </c>
      <c r="I52" s="31">
        <f t="shared" si="24"/>
        <v>0</v>
      </c>
      <c r="J52" s="61">
        <f t="shared" si="24"/>
        <v>0</v>
      </c>
      <c r="K52" s="149">
        <f t="shared" si="24"/>
        <v>0</v>
      </c>
      <c r="L52" s="31">
        <f t="shared" si="24"/>
        <v>0</v>
      </c>
      <c r="M52" s="93">
        <f t="shared" si="24"/>
        <v>0</v>
      </c>
      <c r="P52" s="46"/>
    </row>
    <row r="53" spans="1:18" ht="16.5" thickTop="1" thickBot="1" x14ac:dyDescent="0.3">
      <c r="C53" s="96"/>
      <c r="D53" s="137"/>
      <c r="E53" s="16"/>
      <c r="F53" s="16"/>
      <c r="G53" s="16"/>
      <c r="H53" s="9"/>
      <c r="I53" s="16"/>
      <c r="J53" s="10"/>
      <c r="K53" s="16"/>
      <c r="L53" s="16"/>
      <c r="M53" s="10"/>
      <c r="P53" s="46"/>
      <c r="Q53" s="509"/>
      <c r="R53" s="509"/>
    </row>
    <row r="54" spans="1:18" ht="15.75" thickBot="1" x14ac:dyDescent="0.3">
      <c r="A54" s="45" t="s">
        <v>30</v>
      </c>
      <c r="B54" s="110">
        <f>SUM(B40:B43)</f>
        <v>1781192.8699999999</v>
      </c>
      <c r="C54" s="39">
        <f>(SUM(C14:C17)-SUM(C26:C29))+SUM(C47:C50)+B54</f>
        <v>2751158.9899999998</v>
      </c>
      <c r="D54" s="113"/>
      <c r="E54" s="40">
        <f>(SUM(E14:E17)-SUM(E26:E29))+SUM(E47:E50)+C54</f>
        <v>2473802.2199999997</v>
      </c>
      <c r="F54" s="40">
        <f t="shared" ref="F54:M54" si="25">(SUM(F14:F17)-SUM(F26:F29))+SUM(F47:F50)+E54</f>
        <v>2142279.4099999997</v>
      </c>
      <c r="G54" s="102">
        <f t="shared" si="25"/>
        <v>1658199.0899999999</v>
      </c>
      <c r="H54" s="39">
        <f t="shared" si="25"/>
        <v>1485225.91</v>
      </c>
      <c r="I54" s="40">
        <f t="shared" si="25"/>
        <v>1287718.7999999998</v>
      </c>
      <c r="J54" s="60">
        <f>(SUM(J14:J17)-SUM(J26:J29))+SUM(J47:J50)+I54</f>
        <v>1169164.0999999999</v>
      </c>
      <c r="K54" s="113">
        <f t="shared" si="25"/>
        <v>1053773.0499999998</v>
      </c>
      <c r="L54" s="40">
        <f t="shared" si="25"/>
        <v>904747.76999999979</v>
      </c>
      <c r="M54" s="60">
        <f t="shared" si="25"/>
        <v>718256.31999999983</v>
      </c>
      <c r="Q54" s="509"/>
      <c r="R54" s="509"/>
    </row>
    <row r="55" spans="1:18" x14ac:dyDescent="0.25">
      <c r="A55" s="45" t="s">
        <v>10</v>
      </c>
      <c r="C55" s="111"/>
      <c r="D55" s="16"/>
      <c r="E55" s="55"/>
      <c r="F55" s="55"/>
      <c r="G55" s="55"/>
      <c r="H55" s="11"/>
      <c r="I55" s="55"/>
      <c r="J55" s="10"/>
      <c r="K55" s="16"/>
      <c r="L55" s="16"/>
      <c r="M55" s="10"/>
      <c r="Q55" s="509"/>
      <c r="R55" s="509"/>
    </row>
    <row r="56" spans="1:18" ht="15.75" thickBot="1" x14ac:dyDescent="0.3">
      <c r="B56" s="16"/>
      <c r="C56" s="42"/>
      <c r="D56" s="43"/>
      <c r="E56" s="43"/>
      <c r="F56" s="43"/>
      <c r="G56" s="43"/>
      <c r="H56" s="42"/>
      <c r="I56" s="43"/>
      <c r="J56" s="44"/>
      <c r="K56" s="43"/>
      <c r="L56" s="43"/>
      <c r="M56" s="44"/>
    </row>
    <row r="58" spans="1:18" x14ac:dyDescent="0.25">
      <c r="A58" s="68" t="s">
        <v>9</v>
      </c>
      <c r="B58" s="68"/>
      <c r="C58" s="68"/>
      <c r="D58" s="68"/>
    </row>
    <row r="59" spans="1:18" ht="62.25" customHeight="1" x14ac:dyDescent="0.25">
      <c r="A59" s="537" t="s">
        <v>280</v>
      </c>
      <c r="B59" s="537"/>
      <c r="C59" s="537"/>
      <c r="D59" s="537"/>
      <c r="E59" s="537"/>
      <c r="F59" s="537"/>
      <c r="G59" s="537"/>
      <c r="H59" s="537"/>
      <c r="I59" s="537"/>
      <c r="J59" s="537"/>
      <c r="K59" s="202"/>
      <c r="L59" s="202"/>
      <c r="M59" s="202"/>
    </row>
    <row r="60" spans="1:18" ht="45" customHeight="1" x14ac:dyDescent="0.25">
      <c r="A60" s="537" t="s">
        <v>264</v>
      </c>
      <c r="B60" s="537"/>
      <c r="C60" s="537"/>
      <c r="D60" s="537"/>
      <c r="E60" s="537"/>
      <c r="F60" s="537"/>
      <c r="G60" s="537"/>
      <c r="H60" s="537"/>
      <c r="I60" s="537"/>
      <c r="J60" s="537"/>
      <c r="K60" s="202"/>
      <c r="L60" s="202"/>
      <c r="M60" s="202"/>
    </row>
    <row r="61" spans="1:18" ht="61.5" customHeight="1" x14ac:dyDescent="0.25">
      <c r="A61" s="537" t="s">
        <v>265</v>
      </c>
      <c r="B61" s="537"/>
      <c r="C61" s="537"/>
      <c r="D61" s="537"/>
      <c r="E61" s="537"/>
      <c r="F61" s="537"/>
      <c r="G61" s="537"/>
      <c r="H61" s="537"/>
      <c r="I61" s="537"/>
      <c r="J61" s="537"/>
      <c r="K61" s="202"/>
      <c r="L61" s="202"/>
      <c r="M61" s="202"/>
    </row>
    <row r="62" spans="1:18" x14ac:dyDescent="0.25">
      <c r="A62" s="537" t="s">
        <v>219</v>
      </c>
      <c r="B62" s="537"/>
      <c r="C62" s="537"/>
      <c r="D62" s="537"/>
      <c r="E62" s="537"/>
      <c r="F62" s="537"/>
      <c r="G62" s="537"/>
      <c r="H62" s="537"/>
      <c r="I62" s="537"/>
      <c r="J62" s="537"/>
    </row>
    <row r="63" spans="1:18" x14ac:dyDescent="0.25">
      <c r="A63" s="408" t="s">
        <v>270</v>
      </c>
      <c r="B63" s="408"/>
      <c r="C63" s="408"/>
      <c r="D63" s="408"/>
      <c r="E63" s="388"/>
      <c r="F63" s="388"/>
      <c r="G63" s="388"/>
      <c r="H63" s="388"/>
      <c r="I63" s="388"/>
      <c r="J63" s="316"/>
    </row>
    <row r="64" spans="1:18" x14ac:dyDescent="0.25">
      <c r="A64" s="3" t="s">
        <v>45</v>
      </c>
      <c r="B64" s="3"/>
      <c r="C64" s="3"/>
      <c r="D64" s="3"/>
      <c r="J64" s="4"/>
    </row>
    <row r="65" spans="1:14" x14ac:dyDescent="0.25">
      <c r="A65" s="3"/>
    </row>
    <row r="66" spans="1:14" ht="36" customHeight="1" x14ac:dyDescent="0.25">
      <c r="A66" s="528"/>
      <c r="B66" s="528"/>
      <c r="C66" s="528"/>
      <c r="D66" s="528"/>
      <c r="E66" s="528"/>
      <c r="F66" s="528"/>
      <c r="G66" s="528"/>
    </row>
    <row r="74" spans="1:14" x14ac:dyDescent="0.25">
      <c r="N74" s="7"/>
    </row>
  </sheetData>
  <mergeCells count="8">
    <mergeCell ref="A66:G66"/>
    <mergeCell ref="A61:J61"/>
    <mergeCell ref="E10:G10"/>
    <mergeCell ref="H10:J10"/>
    <mergeCell ref="K10:M10"/>
    <mergeCell ref="A59:J59"/>
    <mergeCell ref="A60:J60"/>
    <mergeCell ref="A62:J62"/>
  </mergeCells>
  <pageMargins left="0.2" right="0.2" top="0.75" bottom="0.25" header="0.3" footer="0.3"/>
  <pageSetup scale="54" orientation="landscape" r:id="rId1"/>
  <headerFooter>
    <oddHeader>&amp;C&amp;F &amp;A&amp;R&amp;"Arial"&amp;10&amp;K000000CONFIDENTIAL</oddHeader>
    <oddFooter xml:space="preserve">&amp;R_x000D_&amp;1#&amp;"Calibri"&amp;10&amp;KA80000 Restricted – Sensitive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DA5EC-43C1-4B10-BF6B-0461013A4037}">
  <sheetPr>
    <pageSetUpPr fitToPage="1"/>
  </sheetPr>
  <dimension ref="A1:AJ74"/>
  <sheetViews>
    <sheetView zoomScale="85" zoomScaleNormal="85" workbookViewId="0">
      <pane xSplit="2" ySplit="11" topLeftCell="C12" activePane="bottomRight" state="frozen"/>
      <selection pane="topRight"/>
      <selection pane="bottomLeft"/>
      <selection pane="bottomRight" activeCell="A59" sqref="A59:J64"/>
    </sheetView>
  </sheetViews>
  <sheetFormatPr defaultColWidth="9.140625" defaultRowHeight="15" outlineLevelCol="1" x14ac:dyDescent="0.25"/>
  <cols>
    <col min="1" max="1" width="54.5703125" style="45" customWidth="1"/>
    <col min="2" max="2" width="14.7109375" style="45" customWidth="1"/>
    <col min="3" max="3" width="15" style="45" customWidth="1"/>
    <col min="4" max="4" width="15" style="45" hidden="1" customWidth="1" outlineLevel="1"/>
    <col min="5" max="5" width="15.28515625" style="45" customWidth="1" collapsed="1"/>
    <col min="6" max="6" width="15.85546875" style="45" customWidth="1"/>
    <col min="7" max="7" width="17.5703125" style="45" customWidth="1"/>
    <col min="8" max="9" width="13.28515625" style="45" customWidth="1"/>
    <col min="10" max="10" width="15.7109375" style="45" customWidth="1"/>
    <col min="11" max="12" width="12.5703125" style="45" bestFit="1" customWidth="1"/>
    <col min="13" max="13" width="14.42578125" style="45" customWidth="1"/>
    <col min="14" max="14" width="15" style="45" bestFit="1" customWidth="1"/>
    <col min="15" max="15" width="16.28515625" style="45" bestFit="1" customWidth="1"/>
    <col min="16" max="16" width="16.28515625" style="45" hidden="1" customWidth="1" outlineLevel="1"/>
    <col min="17" max="17" width="16.140625" style="45" customWidth="1" collapsed="1"/>
    <col min="18" max="18" width="17.28515625" style="45" bestFit="1" customWidth="1"/>
    <col min="19" max="19" width="17.42578125" style="45" customWidth="1"/>
    <col min="20" max="20" width="15.5703125" style="45" customWidth="1"/>
    <col min="21" max="21" width="13" style="45" customWidth="1"/>
    <col min="22" max="22" width="9.140625" style="45"/>
    <col min="23" max="23" width="14.28515625" style="45" bestFit="1" customWidth="1"/>
    <col min="24" max="16384" width="9.140625" style="45"/>
  </cols>
  <sheetData>
    <row r="1" spans="1:36" x14ac:dyDescent="0.25">
      <c r="A1" s="3" t="str">
        <f>+'PTD Cycle 3'!A1</f>
        <v>Evergy Missouri West, Inc. - DSIM Rider Update Filed 12/01/2025</v>
      </c>
      <c r="B1" s="3"/>
      <c r="C1" s="3"/>
      <c r="D1" s="3"/>
    </row>
    <row r="2" spans="1:36" x14ac:dyDescent="0.25">
      <c r="E2" s="3" t="s">
        <v>216</v>
      </c>
    </row>
    <row r="3" spans="1:36" ht="30" x14ac:dyDescent="0.25">
      <c r="E3" s="47" t="s">
        <v>40</v>
      </c>
      <c r="F3" s="47" t="s">
        <v>39</v>
      </c>
      <c r="G3" s="69" t="s">
        <v>0</v>
      </c>
      <c r="H3" s="47" t="s">
        <v>1</v>
      </c>
      <c r="I3" s="69" t="s">
        <v>49</v>
      </c>
      <c r="J3" s="47" t="s">
        <v>8</v>
      </c>
      <c r="K3" s="47" t="s">
        <v>2</v>
      </c>
      <c r="N3" s="509"/>
    </row>
    <row r="4" spans="1:36" x14ac:dyDescent="0.25">
      <c r="A4" s="19" t="s">
        <v>22</v>
      </c>
      <c r="E4" s="21">
        <f>SUM(C26:M26)</f>
        <v>2527085.9399999995</v>
      </c>
      <c r="F4" s="125">
        <f>SUM(C20:M20)</f>
        <v>1935833749.8756838</v>
      </c>
      <c r="G4" s="21">
        <f>SUM(C14:L14)</f>
        <v>2416412.84</v>
      </c>
      <c r="H4" s="21">
        <f>G4-E4</f>
        <v>-110673.09999999963</v>
      </c>
      <c r="I4" s="21">
        <f>+B40</f>
        <v>-1508182.34</v>
      </c>
      <c r="J4" s="21">
        <f>SUM(C47:L47)</f>
        <v>-44253.409999999996</v>
      </c>
      <c r="K4" s="24">
        <f>SUM(H4:J4)</f>
        <v>-1663108.8499999996</v>
      </c>
      <c r="L4" s="286">
        <f>+K4-M40</f>
        <v>0</v>
      </c>
    </row>
    <row r="5" spans="1:36" x14ac:dyDescent="0.25">
      <c r="A5" s="19" t="s">
        <v>94</v>
      </c>
      <c r="E5" s="21">
        <f>SUM(C27:M27)</f>
        <v>882937.22</v>
      </c>
      <c r="F5" s="125">
        <f>SUM(C21:M21)</f>
        <v>728650011.72989988</v>
      </c>
      <c r="G5" s="21">
        <f>SUM(C15:L15)</f>
        <v>1144158.1200000001</v>
      </c>
      <c r="H5" s="21">
        <f>G5-E5</f>
        <v>261220.90000000014</v>
      </c>
      <c r="I5" s="21">
        <f>+B41</f>
        <v>-198129.49</v>
      </c>
      <c r="J5" s="21">
        <f>SUM(C48:L48)</f>
        <v>-4981.43</v>
      </c>
      <c r="K5" s="24">
        <f>SUM(H5:J5)</f>
        <v>58109.980000000149</v>
      </c>
      <c r="L5" s="286">
        <f t="shared" ref="L5:L6" si="0">+K5-M41</f>
        <v>1.0186340659856796E-10</v>
      </c>
    </row>
    <row r="6" spans="1:36" x14ac:dyDescent="0.25">
      <c r="A6" s="19" t="s">
        <v>95</v>
      </c>
      <c r="E6" s="21">
        <f>SUM(C28:M28)</f>
        <v>1335676.56</v>
      </c>
      <c r="F6" s="125">
        <f>SUM(C22:M22)</f>
        <v>563488301.41229987</v>
      </c>
      <c r="G6" s="21">
        <f>SUM(C16:L16)</f>
        <v>917612.87000000011</v>
      </c>
      <c r="H6" s="21">
        <f>G6-E6</f>
        <v>-418063.68999999994</v>
      </c>
      <c r="I6" s="21">
        <f>+B42</f>
        <v>-590272.85</v>
      </c>
      <c r="J6" s="21">
        <f>SUM(C49:L49)</f>
        <v>-20359.53</v>
      </c>
      <c r="K6" s="24">
        <f>SUM(H6:J6)</f>
        <v>-1028696.07</v>
      </c>
      <c r="L6" s="286">
        <f t="shared" si="0"/>
        <v>0</v>
      </c>
    </row>
    <row r="7" spans="1:36" ht="15.75" thickBot="1" x14ac:dyDescent="0.3">
      <c r="A7" s="19" t="s">
        <v>96</v>
      </c>
      <c r="E7" s="21">
        <f>SUM(C29:M29)</f>
        <v>1664319.2499999998</v>
      </c>
      <c r="F7" s="125">
        <f>SUM(C23:M23)</f>
        <v>468474663.51159996</v>
      </c>
      <c r="G7" s="21">
        <f>SUM(C17:L17)</f>
        <v>133226.83999999991</v>
      </c>
      <c r="H7" s="21">
        <f>G7-E7</f>
        <v>-1531092.41</v>
      </c>
      <c r="I7" s="21">
        <f>+B43</f>
        <v>-822066.33000000019</v>
      </c>
      <c r="J7" s="21">
        <f>SUM(C50:L50)</f>
        <v>-43010.06</v>
      </c>
      <c r="K7" s="24">
        <f>SUM(H7:J7)</f>
        <v>-2396168.8000000003</v>
      </c>
      <c r="L7" s="286">
        <f>+K7-M43</f>
        <v>0</v>
      </c>
    </row>
    <row r="8" spans="1:36" ht="16.5" thickTop="1" thickBot="1" x14ac:dyDescent="0.3">
      <c r="E8" s="26">
        <f t="shared" ref="E8:K8" si="1">SUM(E4:E7)</f>
        <v>6410018.9699999988</v>
      </c>
      <c r="F8" s="26">
        <f t="shared" si="1"/>
        <v>3696446726.5294833</v>
      </c>
      <c r="G8" s="26">
        <f t="shared" si="1"/>
        <v>4611410.67</v>
      </c>
      <c r="H8" s="26">
        <f t="shared" si="1"/>
        <v>-1798608.2999999993</v>
      </c>
      <c r="I8" s="26">
        <f t="shared" si="1"/>
        <v>-3118651.0100000002</v>
      </c>
      <c r="J8" s="26">
        <f t="shared" si="1"/>
        <v>-112604.43</v>
      </c>
      <c r="K8" s="26">
        <f t="shared" si="1"/>
        <v>-5029863.74</v>
      </c>
    </row>
    <row r="9" spans="1:36" ht="16.5" thickTop="1" thickBot="1" x14ac:dyDescent="0.3">
      <c r="B9" s="388"/>
      <c r="C9" s="388"/>
    </row>
    <row r="10" spans="1:36" ht="75.75" thickBot="1" x14ac:dyDescent="0.3">
      <c r="B10" s="109" t="s">
        <v>259</v>
      </c>
      <c r="C10" s="139" t="s">
        <v>258</v>
      </c>
      <c r="D10" s="243"/>
      <c r="E10" s="529" t="s">
        <v>28</v>
      </c>
      <c r="F10" s="529"/>
      <c r="G10" s="530"/>
      <c r="H10" s="531" t="s">
        <v>28</v>
      </c>
      <c r="I10" s="532"/>
      <c r="J10" s="533"/>
      <c r="K10" s="534" t="s">
        <v>6</v>
      </c>
      <c r="L10" s="535"/>
      <c r="M10" s="536"/>
      <c r="P10" s="261" t="s">
        <v>196</v>
      </c>
    </row>
    <row r="11" spans="1:36" x14ac:dyDescent="0.25">
      <c r="C11" s="13"/>
      <c r="D11" s="18"/>
      <c r="E11" s="498">
        <v>45808</v>
      </c>
      <c r="F11" s="373">
        <f t="shared" ref="F11:M11" si="2">EOMONTH(E11,1)</f>
        <v>45838</v>
      </c>
      <c r="G11" s="373">
        <f t="shared" si="2"/>
        <v>45869</v>
      </c>
      <c r="H11" s="368">
        <f t="shared" si="2"/>
        <v>45900</v>
      </c>
      <c r="I11" s="373">
        <f t="shared" si="2"/>
        <v>45930</v>
      </c>
      <c r="J11" s="369">
        <f t="shared" si="2"/>
        <v>45961</v>
      </c>
      <c r="K11" s="373">
        <f t="shared" si="2"/>
        <v>45991</v>
      </c>
      <c r="L11" s="373">
        <f t="shared" si="2"/>
        <v>46022</v>
      </c>
      <c r="M11" s="369">
        <f t="shared" si="2"/>
        <v>46053</v>
      </c>
      <c r="AA11" s="1"/>
      <c r="AB11" s="1"/>
      <c r="AC11" s="1"/>
      <c r="AD11" s="1"/>
      <c r="AE11" s="1"/>
      <c r="AF11" s="1"/>
      <c r="AG11" s="1"/>
      <c r="AH11" s="1"/>
      <c r="AI11" s="1"/>
      <c r="AJ11" s="1"/>
    </row>
    <row r="12" spans="1:36" x14ac:dyDescent="0.25">
      <c r="C12" s="95"/>
      <c r="D12" s="234"/>
      <c r="E12" s="30"/>
      <c r="F12" s="30"/>
      <c r="G12" s="30"/>
      <c r="H12" s="27"/>
      <c r="I12" s="30"/>
      <c r="J12" s="10"/>
      <c r="K12" s="30"/>
      <c r="L12" s="30"/>
      <c r="M12" s="28"/>
      <c r="P12" s="46"/>
    </row>
    <row r="13" spans="1:36" x14ac:dyDescent="0.25">
      <c r="A13" s="45" t="s">
        <v>123</v>
      </c>
      <c r="C13" s="427"/>
      <c r="D13" s="137"/>
      <c r="E13" s="234"/>
      <c r="F13" s="234"/>
      <c r="G13" s="234"/>
      <c r="H13" s="95"/>
      <c r="I13" s="234"/>
      <c r="J13" s="296"/>
      <c r="K13" s="137"/>
      <c r="L13" s="137"/>
      <c r="M13" s="295"/>
      <c r="P13" s="46"/>
    </row>
    <row r="14" spans="1:36" x14ac:dyDescent="0.25">
      <c r="A14" s="45" t="s">
        <v>22</v>
      </c>
      <c r="C14" s="344">
        <v>-915234.94000000006</v>
      </c>
      <c r="D14" s="235"/>
      <c r="E14" s="103">
        <f>'[11]Pivot - SI Project MOWest'!$N$40</f>
        <v>119889.73999999993</v>
      </c>
      <c r="F14" s="103">
        <f>'[12]Pivot - SI Project MOWest'!$N$40</f>
        <v>387791.55000000005</v>
      </c>
      <c r="G14" s="104">
        <f>'[13]Pivot - SI Project MOWest'!$N$40</f>
        <v>409264.14</v>
      </c>
      <c r="H14" s="15">
        <f>'[14]Pivot - SI Project MOWest'!$N$40</f>
        <v>95730.41</v>
      </c>
      <c r="I14" s="54">
        <f>'[15]Pivot - SI Project MOWest'!$N$40</f>
        <v>801241.38</v>
      </c>
      <c r="J14" s="150">
        <f>'[16]Pivot - SI Project MOWest'!$N$40</f>
        <v>122528.03</v>
      </c>
      <c r="K14" s="354">
        <f>'[2]GMO CONTRACT_DETAIL IMPORT'!AW211</f>
        <v>657746.80000000005</v>
      </c>
      <c r="L14" s="355">
        <f>'[2]GMO CONTRACT_DETAIL IMPORT'!AX211</f>
        <v>737455.73</v>
      </c>
      <c r="M14" s="353"/>
      <c r="P14" s="395">
        <f t="shared" ref="P14:P17" si="3">-SUM(K14:M14)</f>
        <v>-1395202.53</v>
      </c>
    </row>
    <row r="15" spans="1:36" x14ac:dyDescent="0.25">
      <c r="A15" s="45" t="s">
        <v>94</v>
      </c>
      <c r="C15" s="344">
        <v>-281012.93</v>
      </c>
      <c r="D15" s="235"/>
      <c r="E15" s="103">
        <f>'[11]Pivot - SI Project MOWest'!$O$40</f>
        <v>-16585.820000000007</v>
      </c>
      <c r="F15" s="103">
        <f>'[12]Pivot - SI Project MOWest'!$O$40</f>
        <v>187385.67000000004</v>
      </c>
      <c r="G15" s="432">
        <f>'[13]Pivot - SI Project MOWest'!$O$40</f>
        <v>-8644.49</v>
      </c>
      <c r="H15" s="15">
        <f>'[14]Pivot - SI Project MOWest'!$O$40</f>
        <v>488462.48</v>
      </c>
      <c r="I15" s="54">
        <f>'[15]Pivot - SI Project MOWest'!$O$40</f>
        <v>-155541.46</v>
      </c>
      <c r="J15" s="150">
        <f>'[16]Pivot - SI Project MOWest'!$O$40</f>
        <v>328585.61</v>
      </c>
      <c r="K15" s="354">
        <f>'[2]GMO CONTRACT_DETAIL IMPORT'!AW212</f>
        <v>205071.09</v>
      </c>
      <c r="L15" s="355">
        <f>'[2]GMO CONTRACT_DETAIL IMPORT'!AX212</f>
        <v>396437.97000000003</v>
      </c>
      <c r="M15" s="353"/>
      <c r="P15" s="395">
        <f t="shared" si="3"/>
        <v>-601509.06000000006</v>
      </c>
    </row>
    <row r="16" spans="1:36" x14ac:dyDescent="0.25">
      <c r="A16" s="45" t="s">
        <v>95</v>
      </c>
      <c r="C16" s="344">
        <v>-572611</v>
      </c>
      <c r="D16" s="235"/>
      <c r="E16" s="103">
        <f>'[11]Pivot - SI Project MOWest'!$Q$40</f>
        <v>247685.90000000002</v>
      </c>
      <c r="F16" s="103">
        <f>'[12]Pivot - SI Project MOWest'!$Q$40</f>
        <v>340655.6100000001</v>
      </c>
      <c r="G16" s="432">
        <f>'[13]Pivot - SI Project MOWest'!$Q$40</f>
        <v>26524.22</v>
      </c>
      <c r="H16" s="15">
        <f>'[14]Pivot - SI Project MOWest'!$Q$40</f>
        <v>-2608.64</v>
      </c>
      <c r="I16" s="54">
        <f>'[15]Pivot - SI Project MOWest'!$Q$40</f>
        <v>227056.9</v>
      </c>
      <c r="J16" s="150">
        <f>'[16]Pivot - SI Project MOWest'!$Q$40</f>
        <v>145297.57</v>
      </c>
      <c r="K16" s="354">
        <f>'[2]GMO CONTRACT_DETAIL IMPORT'!AW214</f>
        <v>206345.94</v>
      </c>
      <c r="L16" s="355">
        <f>'[2]GMO CONTRACT_DETAIL IMPORT'!AX214</f>
        <v>299266.37</v>
      </c>
      <c r="M16" s="353"/>
      <c r="P16" s="395">
        <f t="shared" si="3"/>
        <v>-505612.31</v>
      </c>
    </row>
    <row r="17" spans="1:16" x14ac:dyDescent="0.25">
      <c r="A17" s="45" t="s">
        <v>96</v>
      </c>
      <c r="C17" s="344">
        <v>-665335.66</v>
      </c>
      <c r="D17" s="235"/>
      <c r="E17" s="103">
        <f>'[11]Pivot - SI Project MOWest'!$R$40</f>
        <v>148877.94000000003</v>
      </c>
      <c r="F17" s="103">
        <f>'[12]Pivot - SI Project MOWest'!$R$40</f>
        <v>497799.52999999985</v>
      </c>
      <c r="G17" s="432">
        <f>'[13]Pivot - SI Project MOWest'!$R$40</f>
        <v>-48958.99</v>
      </c>
      <c r="H17" s="15">
        <f>'[14]Pivot - SI Project MOWest'!$R$40</f>
        <v>-109922.66</v>
      </c>
      <c r="I17" s="54">
        <f>'[15]Pivot - SI Project MOWest'!$R$40</f>
        <v>111327.77</v>
      </c>
      <c r="J17" s="150">
        <f>'[16]Pivot - SI Project MOWest'!$R$40</f>
        <v>128429.09</v>
      </c>
      <c r="K17" s="354">
        <f>'[2]GMO CONTRACT_DETAIL IMPORT'!AW215</f>
        <v>35504.910000000003</v>
      </c>
      <c r="L17" s="355">
        <f>'[2]GMO CONTRACT_DETAIL IMPORT'!AX215</f>
        <v>35504.910000000003</v>
      </c>
      <c r="M17" s="353"/>
      <c r="P17" s="395">
        <f t="shared" si="3"/>
        <v>-71009.820000000007</v>
      </c>
    </row>
    <row r="18" spans="1:16" x14ac:dyDescent="0.25">
      <c r="C18" s="281"/>
      <c r="D18" s="137"/>
      <c r="E18" s="516"/>
      <c r="F18" s="516"/>
      <c r="G18" s="516"/>
      <c r="H18" s="517"/>
      <c r="I18" s="516"/>
      <c r="J18" s="518"/>
      <c r="K18" s="16"/>
      <c r="L18" s="16"/>
      <c r="M18" s="10"/>
      <c r="P18" s="46"/>
    </row>
    <row r="19" spans="1:16" x14ac:dyDescent="0.25">
      <c r="A19" s="38" t="s">
        <v>41</v>
      </c>
      <c r="B19" s="38"/>
      <c r="C19" s="282"/>
      <c r="D19" s="236"/>
      <c r="E19" s="234"/>
      <c r="F19" s="234"/>
      <c r="G19" s="234"/>
      <c r="H19" s="95"/>
      <c r="I19" s="234"/>
      <c r="J19" s="295"/>
      <c r="K19" s="137"/>
      <c r="L19" s="137"/>
      <c r="M19" s="295"/>
      <c r="P19" s="46"/>
    </row>
    <row r="20" spans="1:16" x14ac:dyDescent="0.25">
      <c r="A20" s="45" t="s">
        <v>22</v>
      </c>
      <c r="C20" s="345">
        <v>-891202702.13022184</v>
      </c>
      <c r="D20" s="237"/>
      <c r="E20" s="105">
        <f>'[9]May 2025'!$G169</f>
        <v>200787058</v>
      </c>
      <c r="F20" s="105">
        <f>'[9]June 2025'!$G169</f>
        <v>253369044.64400005</v>
      </c>
      <c r="G20" s="105">
        <f>'[9]July 2025'!$G176</f>
        <v>395315344.39619982</v>
      </c>
      <c r="H20" s="164">
        <f>'[9]August 2025'!$G176</f>
        <v>395820865.71230018</v>
      </c>
      <c r="I20" s="165">
        <f>'[9]Sept 2025'!$G176</f>
        <v>324045734.58690017</v>
      </c>
      <c r="J20" s="161">
        <f>'[9]EMW Oct25'!$G182</f>
        <v>271237401.47860003</v>
      </c>
      <c r="K20" s="158">
        <f>'[1]GMO Billed kWh Sales'!X32</f>
        <v>248952991.38368243</v>
      </c>
      <c r="L20" s="127">
        <f>'[1]GMO Billed kWh Sales'!Y32</f>
        <v>333818688.80422282</v>
      </c>
      <c r="M20" s="74">
        <f>'[1]GMO Billed kWh Sales'!Z32</f>
        <v>403689323</v>
      </c>
      <c r="P20" s="46">
        <f>-SUM(K20:M20)</f>
        <v>-986461003.18790531</v>
      </c>
    </row>
    <row r="21" spans="1:16" x14ac:dyDescent="0.25">
      <c r="A21" s="45" t="s">
        <v>94</v>
      </c>
      <c r="C21" s="345">
        <v>-320656572</v>
      </c>
      <c r="D21" s="237"/>
      <c r="E21" s="433">
        <f>'[9]May 2025'!$G170</f>
        <v>97473954</v>
      </c>
      <c r="F21" s="105">
        <f>'[9]June 2025'!$G170</f>
        <v>110977216.84269996</v>
      </c>
      <c r="G21" s="433">
        <f>'[9]July 2025'!$G177</f>
        <v>140571534.19329989</v>
      </c>
      <c r="H21" s="164">
        <f>'[9]August 2025'!$G177</f>
        <v>139390028.35640004</v>
      </c>
      <c r="I21" s="165">
        <f>'[9]Sept 2025'!$G177</f>
        <v>129297404.4403</v>
      </c>
      <c r="J21" s="161">
        <f>'[9]EMW Oct25'!$G183</f>
        <v>118672194.89719999</v>
      </c>
      <c r="K21" s="158">
        <f>'[1]GMO Billed kWh Sales'!X33</f>
        <v>94397039</v>
      </c>
      <c r="L21" s="127">
        <f>'[1]GMO Billed kWh Sales'!Y33</f>
        <v>97302839</v>
      </c>
      <c r="M21" s="74">
        <f>'[1]GMO Billed kWh Sales'!Z33</f>
        <v>121224373</v>
      </c>
      <c r="P21" s="46">
        <f t="shared" ref="P21:P23" si="4">-SUM(K21:M21)</f>
        <v>-312924251</v>
      </c>
    </row>
    <row r="22" spans="1:16" x14ac:dyDescent="0.25">
      <c r="A22" s="45" t="s">
        <v>95</v>
      </c>
      <c r="C22" s="345">
        <v>-262096819</v>
      </c>
      <c r="D22" s="237"/>
      <c r="E22" s="433">
        <f>'[9]May 2025'!$G171</f>
        <v>80017971</v>
      </c>
      <c r="F22" s="105">
        <f>'[9]June 2025'!$G171</f>
        <v>88844870.487599999</v>
      </c>
      <c r="G22" s="433">
        <f>'[9]July 2025'!$G178</f>
        <v>103949154.2245</v>
      </c>
      <c r="H22" s="164">
        <f>'[9]August 2025'!$G178</f>
        <v>102951191.41019996</v>
      </c>
      <c r="I22" s="165">
        <f>'[9]Sept 2025'!$G178</f>
        <v>101417049.8167</v>
      </c>
      <c r="J22" s="161">
        <f>'[9]EMW Oct25'!$G184</f>
        <v>92628273.473299995</v>
      </c>
      <c r="K22" s="158">
        <f>'[1]GMO Billed kWh Sales'!X34</f>
        <v>77157825</v>
      </c>
      <c r="L22" s="127">
        <f>'[1]GMO Billed kWh Sales'!Y34</f>
        <v>79532955</v>
      </c>
      <c r="M22" s="74">
        <f>'[1]GMO Billed kWh Sales'!Z34</f>
        <v>99085830</v>
      </c>
      <c r="P22" s="46">
        <f t="shared" si="4"/>
        <v>-255776610</v>
      </c>
    </row>
    <row r="23" spans="1:16" x14ac:dyDescent="0.25">
      <c r="A23" s="45" t="s">
        <v>96</v>
      </c>
      <c r="C23" s="345">
        <v>-182078305</v>
      </c>
      <c r="D23" s="237"/>
      <c r="E23" s="433">
        <f>'[9]May 2025'!$G172</f>
        <v>68248817</v>
      </c>
      <c r="F23" s="105">
        <f>'[9]June 2025'!$G172</f>
        <v>74021469.646300003</v>
      </c>
      <c r="G23" s="433">
        <f>'[9]July 2025'!$G179</f>
        <v>80029411.594000012</v>
      </c>
      <c r="H23" s="164">
        <f>'[9]August 2025'!$G179</f>
        <v>76915868.770799994</v>
      </c>
      <c r="I23" s="165">
        <f>'[9]Sept 2025'!$G179</f>
        <v>82662317.64199999</v>
      </c>
      <c r="J23" s="161">
        <f>'[9]EMW Oct25'!$G185</f>
        <v>90987418.858499959</v>
      </c>
      <c r="K23" s="158">
        <f>'[1]GMO Billed kWh Sales'!X35</f>
        <v>53601437</v>
      </c>
      <c r="L23" s="127">
        <f>'[1]GMO Billed kWh Sales'!Y35</f>
        <v>55251436</v>
      </c>
      <c r="M23" s="74">
        <f>'[1]GMO Billed kWh Sales'!Z35</f>
        <v>68834792</v>
      </c>
      <c r="P23" s="46">
        <f t="shared" si="4"/>
        <v>-177687665</v>
      </c>
    </row>
    <row r="24" spans="1:16" x14ac:dyDescent="0.25">
      <c r="C24" s="281"/>
      <c r="D24" s="137"/>
      <c r="E24" s="519"/>
      <c r="F24" s="519"/>
      <c r="G24" s="519"/>
      <c r="H24" s="520"/>
      <c r="I24" s="519"/>
      <c r="J24" s="521"/>
      <c r="K24" s="16"/>
      <c r="L24" s="16"/>
      <c r="M24" s="10"/>
      <c r="P24" s="46"/>
    </row>
    <row r="25" spans="1:16" x14ac:dyDescent="0.25">
      <c r="A25" s="45" t="s">
        <v>29</v>
      </c>
      <c r="C25" s="281"/>
      <c r="D25" s="137"/>
      <c r="E25" s="236"/>
      <c r="F25" s="236"/>
      <c r="G25" s="236"/>
      <c r="H25" s="294"/>
      <c r="I25" s="236"/>
      <c r="J25" s="295"/>
      <c r="K25" s="548"/>
      <c r="L25" s="548"/>
      <c r="M25" s="549"/>
      <c r="N25" s="408" t="s">
        <v>44</v>
      </c>
      <c r="O25" s="38"/>
      <c r="P25" s="46"/>
    </row>
    <row r="26" spans="1:16" x14ac:dyDescent="0.25">
      <c r="A26" s="45" t="s">
        <v>22</v>
      </c>
      <c r="C26" s="344">
        <v>-1354628.1</v>
      </c>
      <c r="D26" s="235"/>
      <c r="E26" s="103">
        <f>'[9]May 2025'!$G118+'[9]May 2025'!$G125</f>
        <v>305173.46999999997</v>
      </c>
      <c r="F26" s="103">
        <f>'[9]June 2025'!$G118+'[9]June 2025'!$G125</f>
        <v>385124.9</v>
      </c>
      <c r="G26" s="103">
        <f>'[9]July 2025'!$G118+'[9]July 2025'!$G125</f>
        <v>600824.48</v>
      </c>
      <c r="H26" s="164">
        <f>'[9]August 2025'!$G118+'[9]August 2025'!$G125</f>
        <v>518475.79</v>
      </c>
      <c r="I26" s="165">
        <f>'[9]Sept 2025'!$G118+'[9]Sept 2025'!$G125</f>
        <v>424560.05</v>
      </c>
      <c r="J26" s="161">
        <f>'[9]EMW Oct25'!$G129+'[9]EMW Oct25'!$G136</f>
        <v>355291.44000000006</v>
      </c>
      <c r="K26" s="113">
        <f>ROUND(K20*$N26,2)</f>
        <v>326128.42</v>
      </c>
      <c r="L26" s="40">
        <f t="shared" ref="K26:M29" si="5">ROUND(L20*$N26,2)</f>
        <v>437302.48</v>
      </c>
      <c r="M26" s="60">
        <f t="shared" si="5"/>
        <v>528833.01</v>
      </c>
      <c r="N26" s="71">
        <v>1.31E-3</v>
      </c>
      <c r="P26" s="46">
        <f>-SUM(K26:M26)</f>
        <v>-1292263.9099999999</v>
      </c>
    </row>
    <row r="27" spans="1:16" x14ac:dyDescent="0.25">
      <c r="A27" s="45" t="s">
        <v>94</v>
      </c>
      <c r="C27" s="344">
        <v>-320656.57999999996</v>
      </c>
      <c r="D27" s="235"/>
      <c r="E27" s="511">
        <f>'[9]May 2025'!$G119+'[9]May 2025'!$G126</f>
        <v>97423.439999999988</v>
      </c>
      <c r="F27" s="103">
        <f>'[9]June 2025'!$G119+'[9]June 2025'!$G126</f>
        <v>110957.14</v>
      </c>
      <c r="G27" s="103">
        <f>'[9]July 2025'!$G119+'[9]July 2025'!$G126</f>
        <v>140641.21</v>
      </c>
      <c r="H27" s="164">
        <f>'[9]August 2025'!$G119+'[9]August 2025'!$G126</f>
        <v>170032.71</v>
      </c>
      <c r="I27" s="165">
        <f>'[9]Sept 2025'!$G119+'[9]Sept 2025'!$G126</f>
        <v>157721.29999999999</v>
      </c>
      <c r="J27" s="161">
        <f>'[9]EMW Oct25'!$G130+'[9]EMW Oct25'!$G137</f>
        <v>145050.41</v>
      </c>
      <c r="K27" s="113">
        <f t="shared" si="5"/>
        <v>115164.39</v>
      </c>
      <c r="L27" s="40">
        <f t="shared" si="5"/>
        <v>118709.46</v>
      </c>
      <c r="M27" s="60">
        <f t="shared" si="5"/>
        <v>147893.74</v>
      </c>
      <c r="N27" s="416">
        <v>1.2199999999999999E-3</v>
      </c>
      <c r="P27" s="46">
        <f t="shared" ref="P27:P31" si="6">-SUM(K27:M27)</f>
        <v>-381767.58999999997</v>
      </c>
    </row>
    <row r="28" spans="1:16" x14ac:dyDescent="0.25">
      <c r="A28" s="45" t="s">
        <v>95</v>
      </c>
      <c r="C28" s="344">
        <v>-626411.3899999999</v>
      </c>
      <c r="D28" s="235"/>
      <c r="E28" s="511">
        <f>'[9]May 2025'!$G120+'[9]May 2025'!$G127</f>
        <v>191242.94999999998</v>
      </c>
      <c r="F28" s="103">
        <f>'[9]June 2025'!$G120+'[9]June 2025'!$G127</f>
        <v>212339.24000000002</v>
      </c>
      <c r="G28" s="103">
        <f>'[9]July 2025'!$G120+'[9]July 2025'!$G127</f>
        <v>248432.69999999998</v>
      </c>
      <c r="H28" s="164">
        <f>'[9]August 2025'!$G120+'[9]August 2025'!$G127</f>
        <v>243994.33000000002</v>
      </c>
      <c r="I28" s="165">
        <f>'[9]Sept 2025'!$G120+'[9]Sept 2025'!$G127</f>
        <v>240359.25</v>
      </c>
      <c r="J28" s="161">
        <f>'[9]EMW Oct25'!$G131+'[9]EMW Oct25'!$G138</f>
        <v>219528.91</v>
      </c>
      <c r="K28" s="113">
        <f t="shared" si="5"/>
        <v>182864.05</v>
      </c>
      <c r="L28" s="40">
        <f t="shared" si="5"/>
        <v>188493.1</v>
      </c>
      <c r="M28" s="60">
        <f t="shared" si="5"/>
        <v>234833.42</v>
      </c>
      <c r="N28" s="416">
        <v>2.3700000000000001E-3</v>
      </c>
      <c r="P28" s="46">
        <f t="shared" si="6"/>
        <v>-606190.57000000007</v>
      </c>
    </row>
    <row r="29" spans="1:16" x14ac:dyDescent="0.25">
      <c r="A29" s="45" t="s">
        <v>96</v>
      </c>
      <c r="C29" s="344">
        <v>-766549.67</v>
      </c>
      <c r="D29" s="235"/>
      <c r="E29" s="511">
        <f>'[9]May 2025'!$G121+'[9]May 2025'!$G128</f>
        <v>287327.52999999997</v>
      </c>
      <c r="F29" s="103">
        <f>'[9]June 2025'!$G121+'[9]June 2025'!$G128</f>
        <v>311630.38</v>
      </c>
      <c r="G29" s="103">
        <f>'[9]July 2025'!$G121+'[9]July 2025'!$G128</f>
        <v>336923.82</v>
      </c>
      <c r="H29" s="164">
        <f>'[9]August 2025'!$G121+'[9]August 2025'!$G128</f>
        <v>268819.65000000002</v>
      </c>
      <c r="I29" s="165">
        <f>'[9]Sept 2025'!$G121+'[9]Sept 2025'!$G128</f>
        <v>288491.5</v>
      </c>
      <c r="J29" s="161">
        <f>'[9]EMW Oct25'!$G132+'[9]EMW Oct25'!$G139</f>
        <v>317546.08999999997</v>
      </c>
      <c r="K29" s="113">
        <f t="shared" si="5"/>
        <v>187069.02</v>
      </c>
      <c r="L29" s="40">
        <f t="shared" si="5"/>
        <v>192827.51</v>
      </c>
      <c r="M29" s="60">
        <f t="shared" si="5"/>
        <v>240233.42</v>
      </c>
      <c r="N29" s="416">
        <v>3.49E-3</v>
      </c>
      <c r="P29" s="46">
        <f t="shared" si="6"/>
        <v>-620129.95000000007</v>
      </c>
    </row>
    <row r="30" spans="1:16" x14ac:dyDescent="0.25">
      <c r="C30" s="283"/>
      <c r="D30" s="67"/>
      <c r="E30" s="519"/>
      <c r="F30" s="519"/>
      <c r="G30" s="519"/>
      <c r="H30" s="520"/>
      <c r="I30" s="519"/>
      <c r="J30" s="521"/>
      <c r="K30" s="55"/>
      <c r="L30" s="55"/>
      <c r="M30" s="12"/>
      <c r="N30" s="4"/>
      <c r="P30" s="46"/>
    </row>
    <row r="31" spans="1:16" ht="15.75" thickBot="1" x14ac:dyDescent="0.3">
      <c r="A31" s="45" t="s">
        <v>12</v>
      </c>
      <c r="C31" s="346">
        <v>22999.170000000002</v>
      </c>
      <c r="D31" s="238">
        <v>0</v>
      </c>
      <c r="E31" s="106">
        <v>-12549.55</v>
      </c>
      <c r="F31" s="106">
        <v>-12557.7</v>
      </c>
      <c r="G31" s="107">
        <f>-13992.99+0.02</f>
        <v>-13992.97</v>
      </c>
      <c r="H31" s="25">
        <v>-18016.800000000003</v>
      </c>
      <c r="I31" s="112">
        <f>-19550.36-0.01</f>
        <v>-19550.37</v>
      </c>
      <c r="J31" s="160">
        <v>-20143.18</v>
      </c>
      <c r="K31" s="159">
        <f>ROUND((SUM(J40:J43)+SUM(J47:J50)+SUM(K34:K37)/2)*K$45,2)-0.01</f>
        <v>-20276.55</v>
      </c>
      <c r="L31" s="128">
        <f>ROUND((SUM(K40:K43)+SUM(K47:K50)+SUM(L34:L37)/2)*L$45,2)</f>
        <v>-18516.5</v>
      </c>
      <c r="M31" s="78"/>
      <c r="P31" s="46">
        <f t="shared" si="6"/>
        <v>38793.050000000003</v>
      </c>
    </row>
    <row r="32" spans="1:16" x14ac:dyDescent="0.25">
      <c r="C32" s="96"/>
      <c r="D32" s="137"/>
      <c r="E32" s="30"/>
      <c r="F32" s="30"/>
      <c r="G32" s="30"/>
      <c r="H32" s="27"/>
      <c r="I32" s="30"/>
      <c r="J32" s="10"/>
      <c r="K32" s="16"/>
      <c r="L32" s="16"/>
      <c r="M32" s="10"/>
      <c r="P32" s="46"/>
    </row>
    <row r="33" spans="1:16" x14ac:dyDescent="0.25">
      <c r="A33" s="45" t="s">
        <v>46</v>
      </c>
      <c r="C33" s="96"/>
      <c r="D33" s="137"/>
      <c r="E33" s="30"/>
      <c r="F33" s="30"/>
      <c r="G33" s="30"/>
      <c r="H33" s="27"/>
      <c r="I33" s="30"/>
      <c r="J33" s="10"/>
      <c r="K33" s="16"/>
      <c r="L33" s="16"/>
      <c r="M33" s="10"/>
      <c r="P33" s="46"/>
    </row>
    <row r="34" spans="1:16" x14ac:dyDescent="0.25">
      <c r="A34" s="45" t="s">
        <v>22</v>
      </c>
      <c r="C34" s="39">
        <f t="shared" ref="C34:M37" si="7">C14-C26</f>
        <v>439393.16000000003</v>
      </c>
      <c r="D34" s="113">
        <f t="shared" si="7"/>
        <v>0</v>
      </c>
      <c r="E34" s="40">
        <f>E14-E26</f>
        <v>-185283.73000000004</v>
      </c>
      <c r="F34" s="40">
        <f t="shared" si="7"/>
        <v>2666.6500000000233</v>
      </c>
      <c r="G34" s="102">
        <f t="shared" si="7"/>
        <v>-191560.33999999997</v>
      </c>
      <c r="H34" s="39">
        <f t="shared" si="7"/>
        <v>-422745.38</v>
      </c>
      <c r="I34" s="40">
        <f t="shared" si="7"/>
        <v>376681.33</v>
      </c>
      <c r="J34" s="60">
        <f t="shared" si="7"/>
        <v>-232763.41000000006</v>
      </c>
      <c r="K34" s="113">
        <f t="shared" si="7"/>
        <v>331618.38000000006</v>
      </c>
      <c r="L34" s="40">
        <f t="shared" si="7"/>
        <v>300153.25</v>
      </c>
      <c r="M34" s="48">
        <f t="shared" si="7"/>
        <v>-528833.01</v>
      </c>
      <c r="P34" s="46"/>
    </row>
    <row r="35" spans="1:16" x14ac:dyDescent="0.25">
      <c r="A35" s="45" t="s">
        <v>94</v>
      </c>
      <c r="C35" s="39">
        <f t="shared" si="7"/>
        <v>39643.649999999965</v>
      </c>
      <c r="D35" s="113">
        <f t="shared" si="7"/>
        <v>0</v>
      </c>
      <c r="E35" s="40">
        <f t="shared" si="7"/>
        <v>-114009.26</v>
      </c>
      <c r="F35" s="40">
        <f t="shared" si="7"/>
        <v>76428.530000000042</v>
      </c>
      <c r="G35" s="102">
        <f t="shared" si="7"/>
        <v>-149285.69999999998</v>
      </c>
      <c r="H35" s="39">
        <f t="shared" si="7"/>
        <v>318429.77</v>
      </c>
      <c r="I35" s="40">
        <f t="shared" si="7"/>
        <v>-313262.76</v>
      </c>
      <c r="J35" s="60">
        <f t="shared" si="7"/>
        <v>183535.19999999998</v>
      </c>
      <c r="K35" s="113">
        <f t="shared" si="7"/>
        <v>89906.7</v>
      </c>
      <c r="L35" s="40">
        <f t="shared" si="7"/>
        <v>277728.51</v>
      </c>
      <c r="M35" s="48">
        <f t="shared" si="7"/>
        <v>-147893.74</v>
      </c>
      <c r="P35" s="46"/>
    </row>
    <row r="36" spans="1:16" x14ac:dyDescent="0.25">
      <c r="A36" s="45" t="s">
        <v>95</v>
      </c>
      <c r="C36" s="39">
        <f t="shared" si="7"/>
        <v>53800.389999999898</v>
      </c>
      <c r="D36" s="113">
        <f t="shared" si="7"/>
        <v>0</v>
      </c>
      <c r="E36" s="40">
        <f t="shared" si="7"/>
        <v>56442.950000000041</v>
      </c>
      <c r="F36" s="40">
        <f t="shared" si="7"/>
        <v>128316.37000000008</v>
      </c>
      <c r="G36" s="102">
        <f t="shared" si="7"/>
        <v>-221908.47999999998</v>
      </c>
      <c r="H36" s="39">
        <f t="shared" si="7"/>
        <v>-246602.97000000003</v>
      </c>
      <c r="I36" s="40">
        <f t="shared" si="7"/>
        <v>-13302.350000000006</v>
      </c>
      <c r="J36" s="60">
        <f t="shared" si="7"/>
        <v>-74231.34</v>
      </c>
      <c r="K36" s="113">
        <f t="shared" si="7"/>
        <v>23481.890000000014</v>
      </c>
      <c r="L36" s="40">
        <f t="shared" si="7"/>
        <v>110773.26999999999</v>
      </c>
      <c r="M36" s="48">
        <f t="shared" si="7"/>
        <v>-234833.42</v>
      </c>
      <c r="P36" s="46"/>
    </row>
    <row r="37" spans="1:16" x14ac:dyDescent="0.25">
      <c r="A37" s="45" t="s">
        <v>96</v>
      </c>
      <c r="C37" s="39">
        <f t="shared" si="7"/>
        <v>101214.01000000001</v>
      </c>
      <c r="D37" s="113">
        <f t="shared" si="7"/>
        <v>0</v>
      </c>
      <c r="E37" s="40">
        <f t="shared" si="7"/>
        <v>-138449.58999999994</v>
      </c>
      <c r="F37" s="40">
        <f t="shared" si="7"/>
        <v>186169.14999999985</v>
      </c>
      <c r="G37" s="102">
        <f t="shared" si="7"/>
        <v>-385882.81</v>
      </c>
      <c r="H37" s="39">
        <f t="shared" si="7"/>
        <v>-378742.31000000006</v>
      </c>
      <c r="I37" s="40">
        <f t="shared" si="7"/>
        <v>-177163.72999999998</v>
      </c>
      <c r="J37" s="60">
        <f t="shared" si="7"/>
        <v>-189116.99999999997</v>
      </c>
      <c r="K37" s="113">
        <f t="shared" si="7"/>
        <v>-151564.10999999999</v>
      </c>
      <c r="L37" s="40">
        <f t="shared" si="7"/>
        <v>-157322.6</v>
      </c>
      <c r="M37" s="48">
        <f t="shared" si="7"/>
        <v>-240233.42</v>
      </c>
      <c r="P37" s="46"/>
    </row>
    <row r="38" spans="1:16" x14ac:dyDescent="0.25">
      <c r="C38" s="96"/>
      <c r="D38" s="137"/>
      <c r="E38" s="30"/>
      <c r="F38" s="30"/>
      <c r="G38" s="30"/>
      <c r="H38" s="27"/>
      <c r="I38" s="30"/>
      <c r="J38" s="10"/>
      <c r="K38" s="16"/>
      <c r="L38" s="16"/>
      <c r="M38" s="10"/>
      <c r="P38" s="46"/>
    </row>
    <row r="39" spans="1:16" ht="15.75" thickBot="1" x14ac:dyDescent="0.3">
      <c r="A39" s="45" t="s">
        <v>47</v>
      </c>
      <c r="C39" s="99"/>
      <c r="D39" s="239"/>
      <c r="E39" s="30"/>
      <c r="F39" s="30"/>
      <c r="G39" s="30"/>
      <c r="H39" s="27"/>
      <c r="I39" s="30"/>
      <c r="J39" s="10"/>
      <c r="K39" s="16"/>
      <c r="L39" s="16"/>
      <c r="M39" s="10"/>
      <c r="P39" s="46"/>
    </row>
    <row r="40" spans="1:16" x14ac:dyDescent="0.25">
      <c r="A40" s="45" t="s">
        <v>22</v>
      </c>
      <c r="B40" s="284">
        <v>-1508182.34</v>
      </c>
      <c r="C40" s="40">
        <f t="shared" ref="C40:M43" si="8">B40+C34+B47</f>
        <v>-1068789.1800000002</v>
      </c>
      <c r="D40" s="40">
        <f t="shared" si="8"/>
        <v>-1059438.1000000001</v>
      </c>
      <c r="E40" s="40">
        <f t="shared" si="8"/>
        <v>-1244721.83</v>
      </c>
      <c r="F40" s="40">
        <f t="shared" si="8"/>
        <v>-1247506.4300000002</v>
      </c>
      <c r="G40" s="102">
        <f t="shared" si="8"/>
        <v>-1444965.44</v>
      </c>
      <c r="H40" s="39">
        <f t="shared" si="8"/>
        <v>-1874113.2399999998</v>
      </c>
      <c r="I40" s="40">
        <f t="shared" si="8"/>
        <v>-1505311.4899999998</v>
      </c>
      <c r="J40" s="60">
        <f t="shared" si="8"/>
        <v>-1745869.0399999998</v>
      </c>
      <c r="K40" s="113">
        <f t="shared" si="8"/>
        <v>-1421564.7899999996</v>
      </c>
      <c r="L40" s="40">
        <f t="shared" si="8"/>
        <v>-1128536.6399999997</v>
      </c>
      <c r="M40" s="48">
        <f t="shared" si="8"/>
        <v>-1663108.8499999996</v>
      </c>
      <c r="P40" s="46"/>
    </row>
    <row r="41" spans="1:16" x14ac:dyDescent="0.25">
      <c r="A41" s="45" t="s">
        <v>94</v>
      </c>
      <c r="B41" s="287">
        <v>-198129.49</v>
      </c>
      <c r="C41" s="40">
        <f>B41+C35+B48</f>
        <v>-158485.84000000003</v>
      </c>
      <c r="D41" s="40">
        <f t="shared" si="8"/>
        <v>-156960.79000000004</v>
      </c>
      <c r="E41" s="40">
        <f t="shared" si="8"/>
        <v>-270970.05000000005</v>
      </c>
      <c r="F41" s="40">
        <f t="shared" si="8"/>
        <v>-195553.93000000002</v>
      </c>
      <c r="G41" s="102">
        <f t="shared" si="8"/>
        <v>-345943.79</v>
      </c>
      <c r="H41" s="39">
        <f t="shared" si="8"/>
        <v>-28801.449999999961</v>
      </c>
      <c r="I41" s="40">
        <f t="shared" si="8"/>
        <v>-342955.19999999995</v>
      </c>
      <c r="J41" s="60">
        <f t="shared" si="8"/>
        <v>-160277.45999999996</v>
      </c>
      <c r="K41" s="113">
        <f t="shared" si="8"/>
        <v>-71502.089999999967</v>
      </c>
      <c r="L41" s="40">
        <f t="shared" si="8"/>
        <v>205703.70000000004</v>
      </c>
      <c r="M41" s="48">
        <f t="shared" si="8"/>
        <v>58109.980000000047</v>
      </c>
      <c r="P41" s="46"/>
    </row>
    <row r="42" spans="1:16" x14ac:dyDescent="0.25">
      <c r="A42" s="45" t="s">
        <v>95</v>
      </c>
      <c r="B42" s="287">
        <v>-590272.85</v>
      </c>
      <c r="C42" s="40">
        <f>B42+C36+B49</f>
        <v>-536472.46000000008</v>
      </c>
      <c r="D42" s="40">
        <f t="shared" si="8"/>
        <v>-531352.78</v>
      </c>
      <c r="E42" s="40">
        <f t="shared" si="8"/>
        <v>-474909.82999999996</v>
      </c>
      <c r="F42" s="40">
        <f t="shared" si="8"/>
        <v>-348974.10999999987</v>
      </c>
      <c r="G42" s="102">
        <f t="shared" si="8"/>
        <v>-572833.94999999984</v>
      </c>
      <c r="H42" s="39">
        <f t="shared" si="8"/>
        <v>-821628.72</v>
      </c>
      <c r="I42" s="40">
        <f t="shared" si="8"/>
        <v>-838240.38</v>
      </c>
      <c r="J42" s="60">
        <f t="shared" si="8"/>
        <v>-916298.66999999993</v>
      </c>
      <c r="K42" s="113">
        <f t="shared" si="8"/>
        <v>-896763.09</v>
      </c>
      <c r="L42" s="40">
        <f t="shared" si="8"/>
        <v>-790067.74</v>
      </c>
      <c r="M42" s="48">
        <f t="shared" si="8"/>
        <v>-1028696.0700000001</v>
      </c>
      <c r="P42" s="46"/>
    </row>
    <row r="43" spans="1:16" ht="15.75" thickBot="1" x14ac:dyDescent="0.3">
      <c r="A43" s="45" t="s">
        <v>96</v>
      </c>
      <c r="B43" s="285">
        <v>-822066.33000000019</v>
      </c>
      <c r="C43" s="40">
        <f t="shared" ref="C43:M43" si="9">B43+C37+B50</f>
        <v>-720852.32000000018</v>
      </c>
      <c r="D43" s="40">
        <f t="shared" si="8"/>
        <v>-713848.9600000002</v>
      </c>
      <c r="E43" s="40">
        <f t="shared" si="8"/>
        <v>-852298.55000000016</v>
      </c>
      <c r="F43" s="40">
        <f t="shared" si="9"/>
        <v>-669834.64000000036</v>
      </c>
      <c r="G43" s="102">
        <f t="shared" si="9"/>
        <v>-1059320.9600000004</v>
      </c>
      <c r="H43" s="39">
        <f t="shared" si="9"/>
        <v>-1442174.5900000005</v>
      </c>
      <c r="I43" s="40">
        <f t="shared" si="9"/>
        <v>-1625275.2400000005</v>
      </c>
      <c r="J43" s="60">
        <f t="shared" si="9"/>
        <v>-1821464.0600000005</v>
      </c>
      <c r="K43" s="113">
        <f t="shared" si="9"/>
        <v>-1980779.5800000003</v>
      </c>
      <c r="L43" s="40">
        <f t="shared" si="9"/>
        <v>-2146652.9700000002</v>
      </c>
      <c r="M43" s="48">
        <f t="shared" si="9"/>
        <v>-2396168.8000000003</v>
      </c>
      <c r="P43" s="46"/>
    </row>
    <row r="44" spans="1:16" x14ac:dyDescent="0.25">
      <c r="C44" s="96"/>
      <c r="D44" s="137"/>
      <c r="E44" s="30"/>
      <c r="F44" s="30"/>
      <c r="G44" s="30"/>
      <c r="H44" s="27"/>
      <c r="I44" s="30"/>
      <c r="J44" s="10"/>
      <c r="K44" s="16"/>
      <c r="L44" s="16"/>
      <c r="M44" s="10"/>
      <c r="P44" s="46"/>
    </row>
    <row r="45" spans="1:16" x14ac:dyDescent="0.25">
      <c r="A45" s="38" t="s">
        <v>43</v>
      </c>
      <c r="B45" s="38"/>
      <c r="C45" s="99"/>
      <c r="D45" s="239"/>
      <c r="E45" s="289">
        <f>+'PCR Cycle 3'!E45</f>
        <v>4.7316600000000004E-3</v>
      </c>
      <c r="F45" s="289">
        <f>+'PCR Cycle 3'!F45</f>
        <v>4.7233199999999996E-3</v>
      </c>
      <c r="G45" s="289">
        <f>+'PCR Cycle 3'!G45</f>
        <v>4.7454000000000003E-3</v>
      </c>
      <c r="H45" s="290">
        <f>+'PCR Cycle 3'!H45</f>
        <v>4.7389099999999998E-3</v>
      </c>
      <c r="I45" s="289">
        <f>+'PCR Cycle 3'!I45</f>
        <v>4.6019700000000004E-3</v>
      </c>
      <c r="J45" s="291">
        <f>+'PCR Cycle 3'!J45</f>
        <v>4.4886099999999996E-3</v>
      </c>
      <c r="K45" s="510">
        <f>J45</f>
        <v>4.4886099999999996E-3</v>
      </c>
      <c r="L45" s="510">
        <f>J45</f>
        <v>4.4886099999999996E-3</v>
      </c>
      <c r="M45" s="89"/>
      <c r="P45" s="46"/>
    </row>
    <row r="46" spans="1:16" x14ac:dyDescent="0.25">
      <c r="A46" s="38" t="s">
        <v>31</v>
      </c>
      <c r="B46" s="38"/>
      <c r="C46" s="96"/>
      <c r="D46" s="137"/>
      <c r="E46" s="30"/>
      <c r="F46" s="30"/>
      <c r="G46" s="30"/>
      <c r="H46" s="27"/>
      <c r="I46" s="30"/>
      <c r="J46" s="10"/>
      <c r="K46" s="16"/>
      <c r="L46" s="16"/>
      <c r="M46" s="10"/>
      <c r="N46" s="70"/>
      <c r="P46" s="46"/>
    </row>
    <row r="47" spans="1:16" x14ac:dyDescent="0.25">
      <c r="A47" s="45" t="s">
        <v>22</v>
      </c>
      <c r="C47" s="497">
        <v>9351.08</v>
      </c>
      <c r="D47" s="113"/>
      <c r="E47" s="40">
        <f>ROUND((C40+C47+D47+E34/2)*E$45,2)</f>
        <v>-5451.25</v>
      </c>
      <c r="F47" s="40">
        <f t="shared" ref="F47:L50" si="10">ROUND((E40+E47+F34/2)*F$45,2)</f>
        <v>-5898.67</v>
      </c>
      <c r="G47" s="102">
        <f t="shared" si="10"/>
        <v>-6402.42</v>
      </c>
      <c r="H47" s="39">
        <f>ROUND((G40+G47+H34/2)*H$45,2)</f>
        <v>-7879.58</v>
      </c>
      <c r="I47" s="113">
        <f t="shared" si="10"/>
        <v>-7794.14</v>
      </c>
      <c r="J47" s="60">
        <f t="shared" si="10"/>
        <v>-7314.13</v>
      </c>
      <c r="K47" s="113">
        <f t="shared" si="10"/>
        <v>-7125.1</v>
      </c>
      <c r="L47" s="113">
        <f t="shared" si="10"/>
        <v>-5739.2</v>
      </c>
      <c r="M47" s="48"/>
      <c r="P47" s="46">
        <f>-SUM(K47:M47)</f>
        <v>12864.3</v>
      </c>
    </row>
    <row r="48" spans="1:16" x14ac:dyDescent="0.25">
      <c r="A48" s="45" t="s">
        <v>94</v>
      </c>
      <c r="C48" s="507">
        <v>1525.05</v>
      </c>
      <c r="D48" s="240"/>
      <c r="E48" s="40">
        <f t="shared" ref="E48:E50" si="11">ROUND((C41+C48+D48+E35/2)*E$45,2)</f>
        <v>-1012.41</v>
      </c>
      <c r="F48" s="40">
        <f t="shared" si="10"/>
        <v>-1104.1600000000001</v>
      </c>
      <c r="G48" s="102">
        <f t="shared" si="10"/>
        <v>-1287.43</v>
      </c>
      <c r="H48" s="39">
        <f>ROUND((G41+G48+H35/2)*H$45,2)</f>
        <v>-890.99</v>
      </c>
      <c r="I48" s="113">
        <f t="shared" si="10"/>
        <v>-857.46</v>
      </c>
      <c r="J48" s="60">
        <f t="shared" si="10"/>
        <v>-1131.33</v>
      </c>
      <c r="K48" s="113">
        <f t="shared" si="10"/>
        <v>-522.72</v>
      </c>
      <c r="L48" s="113">
        <f t="shared" si="10"/>
        <v>300.02</v>
      </c>
      <c r="M48" s="48"/>
      <c r="P48" s="46">
        <f t="shared" ref="P48:P50" si="12">-SUM(K48:M48)</f>
        <v>222.70000000000005</v>
      </c>
    </row>
    <row r="49" spans="1:18" x14ac:dyDescent="0.25">
      <c r="A49" s="45" t="s">
        <v>95</v>
      </c>
      <c r="C49" s="507">
        <v>5119.68</v>
      </c>
      <c r="D49" s="240"/>
      <c r="E49" s="40">
        <f t="shared" si="11"/>
        <v>-2380.65</v>
      </c>
      <c r="F49" s="40">
        <f t="shared" si="10"/>
        <v>-1951.36</v>
      </c>
      <c r="G49" s="102">
        <f t="shared" si="10"/>
        <v>-2191.8000000000002</v>
      </c>
      <c r="H49" s="39">
        <f>ROUND((G42+G49+H36/2)*H$45,2)</f>
        <v>-3309.31</v>
      </c>
      <c r="I49" s="113">
        <f t="shared" si="10"/>
        <v>-3826.95</v>
      </c>
      <c r="J49" s="60">
        <f t="shared" si="10"/>
        <v>-3946.31</v>
      </c>
      <c r="K49" s="113">
        <f t="shared" si="10"/>
        <v>-4077.92</v>
      </c>
      <c r="L49" s="113">
        <f t="shared" si="10"/>
        <v>-3794.91</v>
      </c>
      <c r="M49" s="48"/>
      <c r="P49" s="46">
        <f t="shared" si="12"/>
        <v>7872.83</v>
      </c>
    </row>
    <row r="50" spans="1:18" ht="15.75" thickBot="1" x14ac:dyDescent="0.3">
      <c r="A50" s="45" t="s">
        <v>96</v>
      </c>
      <c r="C50" s="508">
        <v>7003.3600000000006</v>
      </c>
      <c r="D50" s="240"/>
      <c r="E50" s="40">
        <f t="shared" si="11"/>
        <v>-3705.24</v>
      </c>
      <c r="F50" s="40">
        <f t="shared" si="10"/>
        <v>-3603.51</v>
      </c>
      <c r="G50" s="102">
        <f t="shared" si="10"/>
        <v>-4111.32</v>
      </c>
      <c r="H50" s="39">
        <f>ROUND((G43+G50+H37/2)*H$45,2)</f>
        <v>-5936.92</v>
      </c>
      <c r="I50" s="113">
        <f t="shared" si="10"/>
        <v>-7071.82</v>
      </c>
      <c r="J50" s="60">
        <f t="shared" si="10"/>
        <v>-7751.41</v>
      </c>
      <c r="K50" s="113">
        <f t="shared" si="10"/>
        <v>-8550.7900000000009</v>
      </c>
      <c r="L50" s="113">
        <f t="shared" si="10"/>
        <v>-9282.41</v>
      </c>
      <c r="M50" s="48"/>
      <c r="P50" s="46">
        <f t="shared" si="12"/>
        <v>17833.2</v>
      </c>
    </row>
    <row r="51" spans="1:18" ht="16.5" thickTop="1" thickBot="1" x14ac:dyDescent="0.3">
      <c r="A51" s="53" t="s">
        <v>20</v>
      </c>
      <c r="B51" s="53"/>
      <c r="C51" s="108">
        <v>0</v>
      </c>
      <c r="D51" s="241"/>
      <c r="E51" s="31">
        <f t="shared" ref="E51:M51" si="13">SUM(E47:E50)+SUM(E40:E43)-E54</f>
        <v>0</v>
      </c>
      <c r="F51" s="31">
        <f t="shared" si="13"/>
        <v>0</v>
      </c>
      <c r="G51" s="49">
        <f t="shared" si="13"/>
        <v>0</v>
      </c>
      <c r="H51" s="114">
        <f t="shared" si="13"/>
        <v>0</v>
      </c>
      <c r="I51" s="31">
        <f t="shared" si="13"/>
        <v>0</v>
      </c>
      <c r="J51" s="61">
        <f t="shared" si="13"/>
        <v>0</v>
      </c>
      <c r="K51" s="149">
        <f t="shared" si="13"/>
        <v>0</v>
      </c>
      <c r="L51" s="31">
        <f t="shared" si="13"/>
        <v>0</v>
      </c>
      <c r="M51" s="93">
        <f t="shared" si="13"/>
        <v>0</v>
      </c>
      <c r="P51" s="46"/>
    </row>
    <row r="52" spans="1:18" ht="16.5" thickTop="1" thickBot="1" x14ac:dyDescent="0.3">
      <c r="A52" s="53" t="s">
        <v>21</v>
      </c>
      <c r="B52" s="53"/>
      <c r="C52" s="101">
        <v>0</v>
      </c>
      <c r="D52" s="242"/>
      <c r="E52" s="31">
        <f>SUM(E47:E50)-E31</f>
        <v>0</v>
      </c>
      <c r="F52" s="31">
        <f t="shared" ref="F52:M52" si="14">SUM(F47:F50)-F31</f>
        <v>0</v>
      </c>
      <c r="G52" s="49">
        <f t="shared" si="14"/>
        <v>0</v>
      </c>
      <c r="H52" s="50">
        <f t="shared" si="14"/>
        <v>0</v>
      </c>
      <c r="I52" s="31">
        <f t="shared" si="14"/>
        <v>0</v>
      </c>
      <c r="J52" s="61">
        <f t="shared" si="14"/>
        <v>0</v>
      </c>
      <c r="K52" s="149">
        <f t="shared" si="14"/>
        <v>1.9999999996798579E-2</v>
      </c>
      <c r="L52" s="31">
        <f t="shared" si="14"/>
        <v>0</v>
      </c>
      <c r="M52" s="93">
        <f t="shared" si="14"/>
        <v>0</v>
      </c>
      <c r="P52" s="46"/>
    </row>
    <row r="53" spans="1:18" ht="16.5" thickTop="1" thickBot="1" x14ac:dyDescent="0.3">
      <c r="C53" s="96"/>
      <c r="D53" s="137"/>
      <c r="E53" s="16"/>
      <c r="F53" s="16"/>
      <c r="G53" s="16"/>
      <c r="H53" s="9"/>
      <c r="I53" s="16"/>
      <c r="J53" s="10"/>
      <c r="K53" s="16"/>
      <c r="L53" s="16"/>
      <c r="M53" s="10"/>
      <c r="P53" s="46"/>
    </row>
    <row r="54" spans="1:18" ht="15.75" thickBot="1" x14ac:dyDescent="0.3">
      <c r="A54" s="45" t="s">
        <v>30</v>
      </c>
      <c r="B54" s="110">
        <f>SUM(B40:B43)</f>
        <v>-3118651.0100000002</v>
      </c>
      <c r="C54" s="39">
        <f>(SUM(C14:C17)-SUM(C26:C29))+SUM(C47:C50)+B54</f>
        <v>-2461600.6300000004</v>
      </c>
      <c r="D54" s="113"/>
      <c r="E54" s="40">
        <f>(SUM(E14:E17)-SUM(E26:E29))+SUM(E47:E50)+C54</f>
        <v>-2855449.81</v>
      </c>
      <c r="F54" s="40">
        <f t="shared" ref="F54:M54" si="15">(SUM(F14:F17)-SUM(F26:F29))+SUM(F47:F50)+E54</f>
        <v>-2474426.81</v>
      </c>
      <c r="G54" s="102">
        <f t="shared" si="15"/>
        <v>-3437057.11</v>
      </c>
      <c r="H54" s="39">
        <f t="shared" si="15"/>
        <v>-4184734.8</v>
      </c>
      <c r="I54" s="40">
        <f t="shared" si="15"/>
        <v>-4331332.68</v>
      </c>
      <c r="J54" s="60">
        <f t="shared" si="15"/>
        <v>-4664052.41</v>
      </c>
      <c r="K54" s="113">
        <f t="shared" si="15"/>
        <v>-4390886.08</v>
      </c>
      <c r="L54" s="40">
        <f t="shared" si="15"/>
        <v>-3878070.1500000004</v>
      </c>
      <c r="M54" s="60">
        <f t="shared" si="15"/>
        <v>-5029863.74</v>
      </c>
      <c r="Q54" s="509"/>
      <c r="R54" s="509"/>
    </row>
    <row r="55" spans="1:18" x14ac:dyDescent="0.25">
      <c r="A55" s="45" t="s">
        <v>10</v>
      </c>
      <c r="C55" s="111"/>
      <c r="D55" s="16"/>
      <c r="E55" s="55"/>
      <c r="F55" s="55"/>
      <c r="G55" s="55"/>
      <c r="H55" s="11"/>
      <c r="I55" s="55"/>
      <c r="J55" s="10"/>
      <c r="K55" s="16"/>
      <c r="L55" s="16"/>
      <c r="M55" s="10"/>
      <c r="Q55" s="509"/>
      <c r="R55" s="509"/>
    </row>
    <row r="56" spans="1:18" ht="15.75" thickBot="1" x14ac:dyDescent="0.3">
      <c r="B56" s="16"/>
      <c r="C56" s="42"/>
      <c r="D56" s="43"/>
      <c r="E56" s="43"/>
      <c r="F56" s="43"/>
      <c r="G56" s="43"/>
      <c r="H56" s="42"/>
      <c r="I56" s="43"/>
      <c r="J56" s="44"/>
      <c r="K56" s="43"/>
      <c r="L56" s="43"/>
      <c r="M56" s="44"/>
      <c r="Q56" s="509"/>
      <c r="R56" s="509"/>
    </row>
    <row r="57" spans="1:18" x14ac:dyDescent="0.25">
      <c r="Q57" s="509"/>
      <c r="R57" s="509"/>
    </row>
    <row r="58" spans="1:18" x14ac:dyDescent="0.25">
      <c r="A58" s="68" t="s">
        <v>9</v>
      </c>
      <c r="B58" s="68"/>
      <c r="C58" s="68"/>
      <c r="D58" s="68"/>
    </row>
    <row r="59" spans="1:18" ht="74.25" customHeight="1" x14ac:dyDescent="0.25">
      <c r="A59" s="537" t="s">
        <v>298</v>
      </c>
      <c r="B59" s="537"/>
      <c r="C59" s="537"/>
      <c r="D59" s="537"/>
      <c r="E59" s="537"/>
      <c r="F59" s="537"/>
      <c r="G59" s="537"/>
      <c r="H59" s="537"/>
      <c r="I59" s="537"/>
      <c r="J59" s="537"/>
      <c r="K59" s="312"/>
      <c r="L59" s="312"/>
      <c r="M59" s="312"/>
    </row>
    <row r="60" spans="1:18" ht="60" customHeight="1" x14ac:dyDescent="0.25">
      <c r="A60" s="537" t="s">
        <v>264</v>
      </c>
      <c r="B60" s="537"/>
      <c r="C60" s="537"/>
      <c r="D60" s="537"/>
      <c r="E60" s="537"/>
      <c r="F60" s="537"/>
      <c r="G60" s="537"/>
      <c r="H60" s="537"/>
      <c r="I60" s="537"/>
      <c r="J60" s="537"/>
      <c r="K60" s="312"/>
      <c r="L60" s="312"/>
      <c r="M60" s="312"/>
    </row>
    <row r="61" spans="1:18" ht="55.9" customHeight="1" x14ac:dyDescent="0.25">
      <c r="A61" s="537" t="s">
        <v>265</v>
      </c>
      <c r="B61" s="537"/>
      <c r="C61" s="537"/>
      <c r="D61" s="537"/>
      <c r="E61" s="537"/>
      <c r="F61" s="537"/>
      <c r="G61" s="537"/>
      <c r="H61" s="537"/>
      <c r="I61" s="537"/>
      <c r="J61" s="537"/>
      <c r="K61" s="312"/>
      <c r="L61" s="312"/>
      <c r="M61" s="312"/>
    </row>
    <row r="62" spans="1:18" x14ac:dyDescent="0.25">
      <c r="A62" s="537" t="s">
        <v>219</v>
      </c>
      <c r="B62" s="537"/>
      <c r="C62" s="537"/>
      <c r="D62" s="537"/>
      <c r="E62" s="537"/>
      <c r="F62" s="537"/>
      <c r="G62" s="537"/>
      <c r="H62" s="537"/>
      <c r="I62" s="537"/>
      <c r="J62" s="537"/>
    </row>
    <row r="63" spans="1:18" x14ac:dyDescent="0.25">
      <c r="A63" s="408" t="s">
        <v>270</v>
      </c>
      <c r="B63" s="408"/>
      <c r="C63" s="319"/>
      <c r="D63" s="408"/>
      <c r="E63" s="388"/>
      <c r="F63" s="388"/>
      <c r="G63" s="388"/>
      <c r="H63" s="388"/>
      <c r="I63" s="388"/>
      <c r="J63" s="316"/>
    </row>
    <row r="64" spans="1:18" x14ac:dyDescent="0.25">
      <c r="A64" s="408" t="s">
        <v>45</v>
      </c>
      <c r="B64" s="408"/>
      <c r="C64" s="408"/>
      <c r="D64" s="408"/>
      <c r="E64" s="388"/>
      <c r="F64" s="388"/>
      <c r="G64" s="388"/>
      <c r="H64" s="388"/>
      <c r="I64" s="388"/>
      <c r="J64" s="316"/>
    </row>
    <row r="65" spans="1:14" x14ac:dyDescent="0.25">
      <c r="A65" s="3"/>
    </row>
    <row r="66" spans="1:14" ht="36" customHeight="1" x14ac:dyDescent="0.25">
      <c r="A66" s="528"/>
      <c r="B66" s="528"/>
      <c r="C66" s="528"/>
      <c r="D66" s="528"/>
      <c r="E66" s="528"/>
      <c r="F66" s="528"/>
      <c r="G66" s="528"/>
    </row>
    <row r="74" spans="1:14" x14ac:dyDescent="0.25">
      <c r="N74" s="7"/>
    </row>
  </sheetData>
  <mergeCells count="8">
    <mergeCell ref="A66:G66"/>
    <mergeCell ref="A62:J62"/>
    <mergeCell ref="E10:G10"/>
    <mergeCell ref="H10:J10"/>
    <mergeCell ref="K10:M10"/>
    <mergeCell ref="A59:J59"/>
    <mergeCell ref="A60:J60"/>
    <mergeCell ref="A61:J61"/>
  </mergeCells>
  <pageMargins left="0.2" right="0.2" top="0.75" bottom="0.25" header="0.3" footer="0.3"/>
  <pageSetup scale="54" orientation="landscape" r:id="rId1"/>
  <headerFooter>
    <oddHeader>&amp;C&amp;F &amp;A&amp;R&amp;"Arial"&amp;10&amp;K000000CONFIDENTIAL</oddHeader>
    <oddFooter xml:space="preserve">&amp;R_x000D_&amp;1#&amp;"Calibri"&amp;10&amp;KA80000 Restricted – Sensitive 
</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pageSetUpPr fitToPage="1"/>
  </sheetPr>
  <dimension ref="A1:W33"/>
  <sheetViews>
    <sheetView workbookViewId="0">
      <selection activeCell="F5" sqref="F5"/>
    </sheetView>
  </sheetViews>
  <sheetFormatPr defaultColWidth="9.140625" defaultRowHeight="15" x14ac:dyDescent="0.25"/>
  <cols>
    <col min="1" max="1" width="24.7109375" style="45" customWidth="1"/>
    <col min="2" max="2" width="16.140625" style="45" customWidth="1"/>
    <col min="3" max="3" width="15.140625" style="45" customWidth="1"/>
    <col min="4" max="4" width="16.5703125" style="45" customWidth="1"/>
    <col min="5" max="5" width="10.5703125" style="45" bestFit="1" customWidth="1"/>
    <col min="6" max="6" width="11.5703125" style="45" bestFit="1" customWidth="1"/>
    <col min="7" max="16384" width="9.140625" style="45"/>
  </cols>
  <sheetData>
    <row r="1" spans="1:23" x14ac:dyDescent="0.25">
      <c r="A1" s="408" t="s">
        <v>260</v>
      </c>
    </row>
    <row r="2" spans="1:23" x14ac:dyDescent="0.25">
      <c r="A2" s="343" t="s">
        <v>261</v>
      </c>
    </row>
    <row r="3" spans="1:23" x14ac:dyDescent="0.25">
      <c r="A3" s="8"/>
    </row>
    <row r="4" spans="1:23" ht="40.5" customHeight="1" x14ac:dyDescent="0.25">
      <c r="B4" s="526" t="s">
        <v>98</v>
      </c>
      <c r="C4" s="526"/>
    </row>
    <row r="5" spans="1:23" ht="75" x14ac:dyDescent="0.25">
      <c r="B5" s="138" t="s">
        <v>57</v>
      </c>
      <c r="C5" s="47" t="s">
        <v>26</v>
      </c>
      <c r="D5" s="547" t="s">
        <v>279</v>
      </c>
      <c r="E5" s="388"/>
    </row>
    <row r="6" spans="1:23" x14ac:dyDescent="0.25">
      <c r="A6" s="19" t="s">
        <v>22</v>
      </c>
      <c r="B6" s="22">
        <f>SUM('[17]Summary Monthly TD Calc'!$AN18:$AY18)</f>
        <v>7149767.0792000014</v>
      </c>
      <c r="C6" s="83">
        <f>SUM(D6:F6)</f>
        <v>249800.59000000003</v>
      </c>
      <c r="D6" s="199">
        <f>SUM('[17]Summary Monthly TD Calc'!$AN3:$AY3)</f>
        <v>249800.59000000003</v>
      </c>
      <c r="E6" s="388"/>
      <c r="G6" s="38"/>
      <c r="H6" s="38"/>
    </row>
    <row r="7" spans="1:23" x14ac:dyDescent="0.25">
      <c r="A7" s="19" t="s">
        <v>94</v>
      </c>
      <c r="B7" s="22">
        <f>SUM('[17]Summary Monthly TD Calc'!$AN19:$AY19)</f>
        <v>9693413.7546200883</v>
      </c>
      <c r="C7" s="83">
        <f>SUM(D7:F7)</f>
        <v>417979.84000000008</v>
      </c>
      <c r="D7" s="199">
        <f>SUM('[17]Summary Monthly TD Calc'!$AN4:$AY4)</f>
        <v>417979.84000000008</v>
      </c>
      <c r="E7" s="388"/>
      <c r="G7" s="38"/>
      <c r="H7" s="38"/>
    </row>
    <row r="8" spans="1:23" x14ac:dyDescent="0.25">
      <c r="A8" s="19" t="s">
        <v>95</v>
      </c>
      <c r="B8" s="22">
        <f>SUM('[17]Summary Monthly TD Calc'!$AN21:$AY21)</f>
        <v>8323398.1120160008</v>
      </c>
      <c r="C8" s="83">
        <f>SUM(D8:F8)</f>
        <v>253007.27000000002</v>
      </c>
      <c r="D8" s="199">
        <f>SUM('[17]Summary Monthly TD Calc'!$AN6:$AY6)</f>
        <v>253007.27000000002</v>
      </c>
      <c r="E8" s="388"/>
      <c r="G8" s="38"/>
      <c r="H8" s="38"/>
    </row>
    <row r="9" spans="1:23" x14ac:dyDescent="0.25">
      <c r="A9" s="19" t="s">
        <v>96</v>
      </c>
      <c r="B9" s="22">
        <f>SUM('[17]Summary Monthly TD Calc'!$AN22:$AY22)</f>
        <v>5268559.6666639429</v>
      </c>
      <c r="C9" s="83">
        <f>SUM(D9:F9)</f>
        <v>60917.340000000004</v>
      </c>
      <c r="D9" s="199">
        <f>SUM('[17]Summary Monthly TD Calc'!$AN7:$AY7)</f>
        <v>60917.340000000004</v>
      </c>
      <c r="E9" s="388"/>
      <c r="G9" s="38"/>
      <c r="H9" s="38"/>
    </row>
    <row r="10" spans="1:23" x14ac:dyDescent="0.25">
      <c r="A10" s="29" t="s">
        <v>3</v>
      </c>
      <c r="B10" s="23">
        <f>SUM(B6:B9)</f>
        <v>30435138.612500034</v>
      </c>
      <c r="C10" s="23">
        <f>SUM(C6:C9)</f>
        <v>981705.04000000015</v>
      </c>
      <c r="D10" s="23">
        <f t="shared" ref="D10" si="0">SUM(D6:D9)</f>
        <v>981705.04000000015</v>
      </c>
      <c r="Q10" s="300"/>
    </row>
    <row r="12" spans="1:23" x14ac:dyDescent="0.25">
      <c r="A12" s="68" t="s">
        <v>27</v>
      </c>
      <c r="B12" s="19"/>
      <c r="C12" s="20"/>
      <c r="N12" s="1"/>
      <c r="O12" s="1"/>
      <c r="P12" s="1"/>
      <c r="Q12" s="1"/>
      <c r="R12" s="1"/>
      <c r="S12" s="1"/>
      <c r="T12" s="1"/>
      <c r="U12" s="1"/>
      <c r="V12" s="1"/>
      <c r="W12" s="1"/>
    </row>
    <row r="13" spans="1:23" ht="45.6" customHeight="1" x14ac:dyDescent="0.25">
      <c r="A13" s="527" t="s">
        <v>243</v>
      </c>
      <c r="B13" s="527"/>
      <c r="C13" s="527"/>
      <c r="D13" s="527"/>
      <c r="E13" s="527"/>
      <c r="F13" s="3"/>
      <c r="G13" s="3"/>
      <c r="H13" s="3"/>
      <c r="I13" s="3"/>
      <c r="J13" s="3"/>
      <c r="K13" s="3"/>
      <c r="L13" s="3"/>
      <c r="M13" s="3"/>
    </row>
    <row r="14" spans="1:23" x14ac:dyDescent="0.25">
      <c r="A14" s="550" t="s">
        <v>230</v>
      </c>
      <c r="B14" s="550"/>
      <c r="C14" s="550"/>
      <c r="D14" s="550"/>
      <c r="E14" s="550"/>
      <c r="F14" s="3"/>
      <c r="G14" s="3"/>
      <c r="H14" s="3"/>
      <c r="I14" s="3"/>
      <c r="J14" s="3"/>
      <c r="K14" s="3"/>
      <c r="L14" s="3"/>
      <c r="M14" s="3"/>
    </row>
    <row r="15" spans="1:23" ht="31.15" customHeight="1" x14ac:dyDescent="0.25">
      <c r="A15" s="527" t="s">
        <v>244</v>
      </c>
      <c r="B15" s="527"/>
      <c r="C15" s="527"/>
      <c r="D15" s="527"/>
      <c r="E15" s="527"/>
      <c r="F15" s="3"/>
      <c r="G15" s="3"/>
      <c r="H15" s="3"/>
      <c r="I15" s="3"/>
      <c r="J15" s="3"/>
      <c r="K15" s="3"/>
      <c r="L15" s="3"/>
      <c r="M15" s="3"/>
    </row>
    <row r="24" spans="2:5" x14ac:dyDescent="0.25">
      <c r="E24" s="231"/>
    </row>
    <row r="29" spans="2:5" x14ac:dyDescent="0.25">
      <c r="B29" s="7"/>
      <c r="C29" s="7"/>
    </row>
    <row r="33" spans="2:3" x14ac:dyDescent="0.25">
      <c r="B33" s="7"/>
      <c r="C33" s="7"/>
    </row>
  </sheetData>
  <mergeCells count="4">
    <mergeCell ref="B4:C4"/>
    <mergeCell ref="A13:E13"/>
    <mergeCell ref="A14:E14"/>
    <mergeCell ref="A15:E15"/>
  </mergeCells>
  <pageMargins left="0.2" right="0.2" top="0.75" bottom="0.25" header="0.3" footer="0.3"/>
  <pageSetup scale="96" orientation="landscape" r:id="rId1"/>
  <headerFooter>
    <oddHeader>&amp;C&amp;F &amp;A&amp;R&amp;"Arial"&amp;10&amp;K000000CONFIDENTIAL</oddHeader>
    <oddFooter xml:space="preserve">&amp;R_x000D_&amp;1#&amp;"Calibri"&amp;10&amp;KA80000 Restricted – Sensitive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54367-4215-4A06-9ED3-BA417E26FB31}">
  <sheetPr>
    <pageSetUpPr fitToPage="1"/>
  </sheetPr>
  <dimension ref="A1:W33"/>
  <sheetViews>
    <sheetView workbookViewId="0">
      <selection activeCell="A13" sqref="A13:E16"/>
    </sheetView>
  </sheetViews>
  <sheetFormatPr defaultColWidth="9.140625" defaultRowHeight="15" x14ac:dyDescent="0.25"/>
  <cols>
    <col min="1" max="1" width="24.7109375" style="45" customWidth="1"/>
    <col min="2" max="2" width="16.140625" style="45" customWidth="1"/>
    <col min="3" max="3" width="15.140625" style="45" customWidth="1"/>
    <col min="4" max="4" width="14.28515625" style="45" customWidth="1"/>
    <col min="5" max="5" width="10.5703125" style="45" bestFit="1" customWidth="1"/>
    <col min="6" max="6" width="11.5703125" style="45" bestFit="1" customWidth="1"/>
    <col min="7" max="16384" width="9.140625" style="45"/>
  </cols>
  <sheetData>
    <row r="1" spans="1:23" x14ac:dyDescent="0.25">
      <c r="A1" s="3" t="str">
        <f>+'PTD Cycle 3'!A1</f>
        <v>Evergy Missouri West, Inc. - DSIM Rider Update Filed 12/01/2025</v>
      </c>
    </row>
    <row r="2" spans="1:23" x14ac:dyDescent="0.25">
      <c r="A2" s="343" t="str">
        <f>+'PPC Cycle 4'!A2</f>
        <v>Projections for Cycle 4 January 2026 - December 2026 DSIM</v>
      </c>
    </row>
    <row r="3" spans="1:23" x14ac:dyDescent="0.25">
      <c r="A3" s="8"/>
    </row>
    <row r="4" spans="1:23" ht="40.5" customHeight="1" x14ac:dyDescent="0.25">
      <c r="B4" s="526" t="s">
        <v>231</v>
      </c>
      <c r="C4" s="526"/>
    </row>
    <row r="5" spans="1:23" ht="44.45" customHeight="1" x14ac:dyDescent="0.25">
      <c r="B5" s="138" t="s">
        <v>57</v>
      </c>
      <c r="C5" s="47" t="s">
        <v>26</v>
      </c>
      <c r="D5" s="349" t="str">
        <f>+'PPC Cycle 4'!D4</f>
        <v>3. Cycle 4 - January 2026 - December 2026</v>
      </c>
      <c r="E5" s="388"/>
    </row>
    <row r="6" spans="1:23" x14ac:dyDescent="0.25">
      <c r="A6" s="19" t="s">
        <v>22</v>
      </c>
      <c r="B6" s="22">
        <f>ROUND(SUM('[18]Summary Monthly TD Calc'!$N17:$Y17),4)</f>
        <v>1671910.2456</v>
      </c>
      <c r="C6" s="83">
        <f>SUM(D6:F6)</f>
        <v>160051.25</v>
      </c>
      <c r="D6" s="199">
        <f>ROUND(+SUM('[18]Summary Monthly TD Calc'!$N3:$Y3),2)</f>
        <v>160051.25</v>
      </c>
      <c r="E6" s="388"/>
      <c r="G6" s="38"/>
      <c r="H6" s="38"/>
    </row>
    <row r="7" spans="1:23" x14ac:dyDescent="0.25">
      <c r="A7" s="19" t="s">
        <v>94</v>
      </c>
      <c r="B7" s="22">
        <f>ROUND(SUM('[18]Summary Monthly TD Calc'!$N18:$Y18),4)</f>
        <v>2946126.0414</v>
      </c>
      <c r="C7" s="83">
        <f>SUM(D7:F7)</f>
        <v>157550.6</v>
      </c>
      <c r="D7" s="199">
        <f>ROUND(+SUM('[18]Summary Monthly TD Calc'!$N4:$Y4),2)</f>
        <v>157550.6</v>
      </c>
      <c r="E7" s="388"/>
      <c r="G7" s="38"/>
      <c r="H7" s="38"/>
    </row>
    <row r="8" spans="1:23" x14ac:dyDescent="0.25">
      <c r="A8" s="19" t="s">
        <v>95</v>
      </c>
      <c r="B8" s="22">
        <f>ROUND(SUM('[18]Summary Monthly TD Calc'!$N19:$Y19),4)</f>
        <v>2536831.6409999998</v>
      </c>
      <c r="C8" s="83">
        <f>SUM(D8:F8)</f>
        <v>75739.5</v>
      </c>
      <c r="D8" s="199">
        <f>ROUND(+SUM('[18]Summary Monthly TD Calc'!$N5:$Y5),2)</f>
        <v>75739.5</v>
      </c>
      <c r="E8" s="388"/>
      <c r="G8" s="38"/>
      <c r="H8" s="38"/>
    </row>
    <row r="9" spans="1:23" x14ac:dyDescent="0.25">
      <c r="A9" s="19" t="s">
        <v>96</v>
      </c>
      <c r="B9" s="22">
        <f>ROUND(SUM('[18]Summary Monthly TD Calc'!$N20:$Y20),4)</f>
        <v>0</v>
      </c>
      <c r="C9" s="83">
        <f>SUM(D9:F9)</f>
        <v>0</v>
      </c>
      <c r="D9" s="199">
        <f>ROUND(+SUM('[18]Summary Monthly TD Calc'!$N6:$Y6),2)</f>
        <v>0</v>
      </c>
      <c r="E9" s="388"/>
      <c r="G9" s="38"/>
      <c r="H9" s="38"/>
    </row>
    <row r="10" spans="1:23" x14ac:dyDescent="0.25">
      <c r="A10" s="29" t="s">
        <v>3</v>
      </c>
      <c r="B10" s="23">
        <f>SUM(B6:B9)</f>
        <v>7154867.9280000003</v>
      </c>
      <c r="C10" s="23">
        <f>SUM(C6:C9)</f>
        <v>393341.35</v>
      </c>
      <c r="D10" s="23">
        <f t="shared" ref="D10" si="0">SUM(D6:D9)</f>
        <v>393341.35</v>
      </c>
      <c r="Q10" s="300"/>
    </row>
    <row r="12" spans="1:23" x14ac:dyDescent="0.25">
      <c r="A12" s="68" t="s">
        <v>27</v>
      </c>
      <c r="B12" s="19"/>
      <c r="C12" s="20"/>
      <c r="N12" s="1"/>
      <c r="O12" s="1"/>
      <c r="P12" s="1"/>
      <c r="Q12" s="1"/>
      <c r="R12" s="1"/>
      <c r="S12" s="1"/>
      <c r="T12" s="1"/>
      <c r="U12" s="1"/>
      <c r="V12" s="1"/>
      <c r="W12" s="1"/>
    </row>
    <row r="13" spans="1:23" ht="45.6" customHeight="1" x14ac:dyDescent="0.25">
      <c r="A13" s="527" t="s">
        <v>277</v>
      </c>
      <c r="B13" s="527"/>
      <c r="C13" s="527"/>
      <c r="D13" s="527"/>
      <c r="E13" s="527"/>
      <c r="F13" s="3"/>
      <c r="G13" s="3"/>
      <c r="H13" s="3"/>
      <c r="I13" s="3"/>
      <c r="J13" s="3"/>
      <c r="K13" s="3"/>
      <c r="L13" s="3"/>
      <c r="M13" s="3"/>
    </row>
    <row r="14" spans="1:23" x14ac:dyDescent="0.25">
      <c r="A14" s="550" t="s">
        <v>230</v>
      </c>
      <c r="B14" s="550"/>
      <c r="C14" s="550"/>
      <c r="D14" s="550"/>
      <c r="E14" s="550"/>
      <c r="F14" s="3"/>
      <c r="G14" s="3"/>
      <c r="H14" s="3"/>
      <c r="I14" s="3"/>
      <c r="J14" s="3"/>
      <c r="K14" s="3"/>
      <c r="L14" s="3"/>
      <c r="M14" s="3"/>
    </row>
    <row r="15" spans="1:23" ht="31.15" customHeight="1" x14ac:dyDescent="0.25">
      <c r="A15" s="527" t="s">
        <v>278</v>
      </c>
      <c r="B15" s="527"/>
      <c r="C15" s="527"/>
      <c r="D15" s="527"/>
      <c r="E15" s="527"/>
      <c r="F15" s="3"/>
      <c r="G15" s="3"/>
      <c r="H15" s="3"/>
      <c r="I15" s="3"/>
      <c r="J15" s="3"/>
      <c r="K15" s="3"/>
      <c r="L15" s="3"/>
      <c r="M15" s="3"/>
    </row>
    <row r="16" spans="1:23" x14ac:dyDescent="0.25">
      <c r="A16" s="388"/>
      <c r="B16" s="388"/>
      <c r="C16" s="388"/>
      <c r="D16" s="388"/>
      <c r="E16" s="388"/>
    </row>
    <row r="24" spans="2:5" x14ac:dyDescent="0.25">
      <c r="E24" s="231"/>
    </row>
    <row r="29" spans="2:5" x14ac:dyDescent="0.25">
      <c r="B29" s="7"/>
      <c r="C29" s="7"/>
    </row>
    <row r="33" spans="2:3" x14ac:dyDescent="0.25">
      <c r="B33" s="7"/>
      <c r="C33" s="7"/>
    </row>
  </sheetData>
  <mergeCells count="4">
    <mergeCell ref="B4:C4"/>
    <mergeCell ref="A13:E13"/>
    <mergeCell ref="A14:E14"/>
    <mergeCell ref="A15:E15"/>
  </mergeCells>
  <pageMargins left="0.2" right="0.2" top="0.75" bottom="0.25" header="0.3" footer="0.3"/>
  <pageSetup scale="96" orientation="landscape" r:id="rId1"/>
  <headerFooter>
    <oddHeader>&amp;C&amp;F &amp;A&amp;R&amp;"Arial"&amp;10&amp;K000000CONFIDENTIAL</oddHeader>
    <oddFooter xml:space="preserve">&amp;R_x000D_&amp;1#&amp;"Calibri"&amp;10&amp;KA80000 Restricted – Sensitive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J64"/>
  <sheetViews>
    <sheetView zoomScale="85" zoomScaleNormal="85" workbookViewId="0">
      <pane xSplit="2" ySplit="13" topLeftCell="C14" activePane="bottomRight" state="frozen"/>
      <selection pane="topRight"/>
      <selection pane="bottomLeft"/>
      <selection pane="bottomRight" activeCell="C14" sqref="C14"/>
    </sheetView>
  </sheetViews>
  <sheetFormatPr defaultColWidth="9.140625" defaultRowHeight="15" outlineLevelCol="1" x14ac:dyDescent="0.25"/>
  <cols>
    <col min="1" max="1" width="61.7109375" style="45" customWidth="1"/>
    <col min="2" max="3" width="20.7109375" style="45" customWidth="1"/>
    <col min="4" max="4" width="12.42578125" style="45" customWidth="1" outlineLevel="1"/>
    <col min="5" max="5" width="15.42578125" style="45" customWidth="1"/>
    <col min="6" max="6" width="15.85546875" style="45" customWidth="1"/>
    <col min="7" max="7" width="12.28515625" style="45" customWidth="1"/>
    <col min="8" max="9" width="13.28515625" style="45" customWidth="1"/>
    <col min="10" max="10" width="12.28515625" style="45" bestFit="1" customWidth="1"/>
    <col min="11" max="11" width="11.5703125" style="45" bestFit="1" customWidth="1"/>
    <col min="12" max="12" width="12.85546875" style="45" customWidth="1"/>
    <col min="13" max="13" width="16" style="45" customWidth="1"/>
    <col min="14" max="14" width="15" style="45" bestFit="1" customWidth="1"/>
    <col min="15" max="15" width="16" style="45" bestFit="1" customWidth="1"/>
    <col min="16" max="16" width="17.85546875" style="166" hidden="1" customWidth="1" outlineLevel="1"/>
    <col min="17" max="17" width="15.28515625" style="45" bestFit="1" customWidth="1" collapsed="1"/>
    <col min="18" max="18" width="17.42578125" style="45" bestFit="1" customWidth="1"/>
    <col min="19" max="19" width="16.28515625" style="45" bestFit="1" customWidth="1"/>
    <col min="20" max="20" width="15.28515625" style="45" bestFit="1" customWidth="1"/>
    <col min="21" max="21" width="12.42578125" style="45" customWidth="1"/>
    <col min="22" max="23" width="14.28515625" style="45" bestFit="1" customWidth="1"/>
    <col min="24" max="16384" width="9.140625" style="45"/>
  </cols>
  <sheetData>
    <row r="1" spans="1:36" x14ac:dyDescent="0.25">
      <c r="A1" s="3" t="str">
        <f>+'PTD Cycle 3'!A1</f>
        <v>Evergy Missouri West, Inc. - DSIM Rider Update Filed 12/01/2025</v>
      </c>
      <c r="B1" s="3"/>
      <c r="C1" s="3"/>
      <c r="D1" s="3"/>
    </row>
    <row r="2" spans="1:36" x14ac:dyDescent="0.25">
      <c r="E2" s="3" t="s">
        <v>54</v>
      </c>
    </row>
    <row r="3" spans="1:36" ht="45" x14ac:dyDescent="0.25">
      <c r="E3" s="47" t="s">
        <v>40</v>
      </c>
      <c r="F3" s="69" t="s">
        <v>62</v>
      </c>
      <c r="G3" s="69" t="s">
        <v>48</v>
      </c>
      <c r="H3" s="47" t="s">
        <v>1</v>
      </c>
      <c r="I3" s="69" t="s">
        <v>49</v>
      </c>
      <c r="J3" s="47" t="s">
        <v>8</v>
      </c>
      <c r="K3" s="47" t="s">
        <v>7</v>
      </c>
      <c r="T3" s="47"/>
    </row>
    <row r="4" spans="1:36" x14ac:dyDescent="0.25">
      <c r="A4" s="19" t="s">
        <v>22</v>
      </c>
      <c r="B4" s="19"/>
      <c r="C4" s="19"/>
      <c r="D4" s="19"/>
      <c r="E4" s="21">
        <f>SUM(C18:M18)</f>
        <v>50148.78</v>
      </c>
      <c r="F4" s="125">
        <f>N24</f>
        <v>0</v>
      </c>
      <c r="G4" s="21">
        <f>SUM(C30:L30)</f>
        <v>0</v>
      </c>
      <c r="H4" s="21">
        <f>G4-E4</f>
        <v>-50148.78</v>
      </c>
      <c r="I4" s="21">
        <f>+B42</f>
        <v>49872.929999999695</v>
      </c>
      <c r="J4" s="21">
        <f>SUM(C47:L47)</f>
        <v>276.24</v>
      </c>
      <c r="K4" s="24">
        <f>SUM(H4:J4)</f>
        <v>0.38999999969587407</v>
      </c>
      <c r="L4" s="46">
        <f>+K4-M42</f>
        <v>-2.8990143619012088E-12</v>
      </c>
    </row>
    <row r="5" spans="1:36" ht="15.75" thickBot="1" x14ac:dyDescent="0.3">
      <c r="A5" s="19" t="s">
        <v>23</v>
      </c>
      <c r="B5" s="19"/>
      <c r="C5" s="19"/>
      <c r="D5" s="19"/>
      <c r="E5" s="21">
        <f>SUM(C19:M21)</f>
        <v>31760.21</v>
      </c>
      <c r="F5" s="125">
        <f>SUM(N25:N27)</f>
        <v>0</v>
      </c>
      <c r="G5" s="21">
        <f>SUM(C31:L33)</f>
        <v>0</v>
      </c>
      <c r="H5" s="21">
        <f>G5-E5</f>
        <v>-31760.21</v>
      </c>
      <c r="I5" s="21">
        <f>+B43</f>
        <v>31595.864270000082</v>
      </c>
      <c r="J5" s="21">
        <f>SUM(C48:L48)</f>
        <v>164.27</v>
      </c>
      <c r="K5" s="24">
        <f>SUM(H5:J5)</f>
        <v>-7.5729999917228952E-2</v>
      </c>
      <c r="L5" s="46">
        <f>+K5-M43</f>
        <v>6.2811977841192856E-12</v>
      </c>
    </row>
    <row r="6" spans="1:36" ht="16.5" thickTop="1" thickBot="1" x14ac:dyDescent="0.3">
      <c r="E6" s="26">
        <f t="shared" ref="E6" si="0">SUM(E4:E5)</f>
        <v>81908.989999999991</v>
      </c>
      <c r="F6" s="126">
        <f t="shared" ref="F6:I6" si="1">SUM(F4:F5)</f>
        <v>0</v>
      </c>
      <c r="G6" s="26">
        <f t="shared" si="1"/>
        <v>0</v>
      </c>
      <c r="H6" s="26">
        <f t="shared" si="1"/>
        <v>-81908.989999999991</v>
      </c>
      <c r="I6" s="26">
        <f t="shared" si="1"/>
        <v>81468.79426999978</v>
      </c>
      <c r="J6" s="26">
        <f>SUM(J4:J5)</f>
        <v>440.51</v>
      </c>
      <c r="K6" s="26">
        <f>SUM(K4:K5)</f>
        <v>0.31426999977864511</v>
      </c>
      <c r="U6" s="5"/>
    </row>
    <row r="7" spans="1:36" ht="45.75" thickTop="1" x14ac:dyDescent="0.25">
      <c r="K7" s="198"/>
      <c r="L7" s="197" t="s">
        <v>109</v>
      </c>
    </row>
    <row r="8" spans="1:36" x14ac:dyDescent="0.25">
      <c r="A8" s="19" t="s">
        <v>94</v>
      </c>
      <c r="K8" s="24">
        <f>ROUND($K$5*L8,2)</f>
        <v>-0.03</v>
      </c>
      <c r="L8" s="195">
        <f>'[19]Monthly TD Calc'!$CZ$44</f>
        <v>0.39209287804949344</v>
      </c>
      <c r="M8" s="38"/>
    </row>
    <row r="9" spans="1:36" x14ac:dyDescent="0.25">
      <c r="A9" s="19" t="s">
        <v>95</v>
      </c>
      <c r="K9" s="24">
        <f t="shared" ref="K9:K10" si="2">ROUND($K$5*L9,2)</f>
        <v>-0.03</v>
      </c>
      <c r="L9" s="488">
        <f>'[19]Monthly TD Calc'!$DB$44</f>
        <v>0.45435908608374953</v>
      </c>
      <c r="M9" s="38"/>
    </row>
    <row r="10" spans="1:36" ht="15.75" thickBot="1" x14ac:dyDescent="0.3">
      <c r="A10" s="19" t="s">
        <v>96</v>
      </c>
      <c r="B10" s="45" t="str">
        <f>+'PCR Cycle 4'!B10</f>
        <v>Cumulative Over/Under Carryover From 06/01/2025 Filing</v>
      </c>
      <c r="J10" s="4"/>
      <c r="K10" s="24">
        <f t="shared" si="2"/>
        <v>-0.01</v>
      </c>
      <c r="L10" s="488">
        <f>'[19]Monthly TD Calc'!$DC$44</f>
        <v>0.15354803586675725</v>
      </c>
      <c r="M10" s="38"/>
      <c r="W10" s="4"/>
    </row>
    <row r="11" spans="1:36" ht="16.5" thickTop="1" thickBot="1" x14ac:dyDescent="0.3">
      <c r="A11" s="19" t="s">
        <v>97</v>
      </c>
      <c r="E11" s="46"/>
      <c r="J11" s="46"/>
      <c r="K11" s="26">
        <f>SUM(K8:K10)</f>
        <v>-6.9999999999999993E-2</v>
      </c>
      <c r="L11" s="196">
        <f>SUM(L8:L10)</f>
        <v>1.0000000000000002</v>
      </c>
      <c r="W11" s="4"/>
      <c r="X11" s="5"/>
    </row>
    <row r="12" spans="1:36" ht="16.5" thickTop="1" thickBot="1" x14ac:dyDescent="0.3">
      <c r="W12" s="4"/>
      <c r="X12" s="5"/>
    </row>
    <row r="13" spans="1:36" ht="60.75" thickBot="1" x14ac:dyDescent="0.3">
      <c r="B13" s="109" t="str">
        <f>+'PCR Cycle 3'!B10</f>
        <v>Cumulative Over/Under Carryover From 06/01/2025 Filing</v>
      </c>
      <c r="C13" s="139" t="str">
        <f>+'PCR Cycle 3'!C10</f>
        <v>Reverse May 2025 - July 2025 Forecast From 06/01/2025 Filing</v>
      </c>
      <c r="D13" s="184"/>
      <c r="E13" s="529" t="s">
        <v>28</v>
      </c>
      <c r="F13" s="529"/>
      <c r="G13" s="530"/>
      <c r="H13" s="538" t="s">
        <v>28</v>
      </c>
      <c r="I13" s="539"/>
      <c r="J13" s="540"/>
      <c r="K13" s="534" t="s">
        <v>6</v>
      </c>
      <c r="L13" s="535"/>
      <c r="M13" s="536"/>
      <c r="P13" s="261" t="s">
        <v>196</v>
      </c>
    </row>
    <row r="14" spans="1:36" x14ac:dyDescent="0.25">
      <c r="A14" s="45" t="s">
        <v>56</v>
      </c>
      <c r="C14" s="551"/>
      <c r="D14" s="483"/>
      <c r="E14" s="322">
        <f>+'PCR Cycle 4'!E$11</f>
        <v>45808</v>
      </c>
      <c r="F14" s="322">
        <f>+'PCR Cycle 4'!F$11</f>
        <v>45838</v>
      </c>
      <c r="G14" s="322">
        <f>+'PCR Cycle 4'!G$11</f>
        <v>45869</v>
      </c>
      <c r="H14" s="551">
        <f>+'PCR Cycle 4'!H$11</f>
        <v>45900</v>
      </c>
      <c r="I14" s="322">
        <f>+'PCR Cycle 4'!I$11</f>
        <v>45930</v>
      </c>
      <c r="J14" s="552">
        <f>+'PCR Cycle 4'!J$11</f>
        <v>45961</v>
      </c>
      <c r="K14" s="322">
        <f>+'PCR Cycle 4'!K$11</f>
        <v>45991</v>
      </c>
      <c r="L14" s="322">
        <f>+'PCR Cycle 4'!L$11</f>
        <v>46022</v>
      </c>
      <c r="M14" s="553">
        <f>+'PCR Cycle 4'!M$11</f>
        <v>46053</v>
      </c>
      <c r="AA14" s="1"/>
      <c r="AB14" s="1"/>
      <c r="AC14" s="1"/>
      <c r="AD14" s="1"/>
      <c r="AE14" s="1"/>
      <c r="AF14" s="1"/>
      <c r="AG14" s="1"/>
      <c r="AH14" s="1"/>
      <c r="AI14" s="1"/>
      <c r="AJ14" s="1"/>
    </row>
    <row r="15" spans="1:36" x14ac:dyDescent="0.25">
      <c r="A15" s="45" t="s">
        <v>3</v>
      </c>
      <c r="C15" s="335">
        <v>0</v>
      </c>
      <c r="D15" s="168">
        <f>+D30+D33</f>
        <v>0</v>
      </c>
      <c r="E15" s="103">
        <f t="shared" ref="E15:L15" si="3">SUM(E30:E33)</f>
        <v>0</v>
      </c>
      <c r="F15" s="103">
        <f t="shared" si="3"/>
        <v>0</v>
      </c>
      <c r="G15" s="104">
        <f>SUM(G30:G33)</f>
        <v>0</v>
      </c>
      <c r="H15" s="15">
        <f t="shared" si="3"/>
        <v>0</v>
      </c>
      <c r="I15" s="54">
        <f t="shared" si="3"/>
        <v>0</v>
      </c>
      <c r="J15" s="150">
        <f t="shared" si="3"/>
        <v>0</v>
      </c>
      <c r="K15" s="143">
        <f t="shared" si="3"/>
        <v>0</v>
      </c>
      <c r="L15" s="75">
        <f t="shared" si="3"/>
        <v>0</v>
      </c>
      <c r="M15" s="76"/>
      <c r="P15" s="166">
        <f>-SUM(K15:M15)</f>
        <v>0</v>
      </c>
    </row>
    <row r="16" spans="1:36" x14ac:dyDescent="0.25">
      <c r="C16" s="281"/>
      <c r="D16" s="169"/>
      <c r="E16" s="16"/>
      <c r="F16" s="16"/>
      <c r="G16" s="16"/>
      <c r="H16" s="9"/>
      <c r="I16" s="16"/>
      <c r="J16" s="10"/>
      <c r="K16" s="30"/>
      <c r="L16" s="30"/>
      <c r="M16" s="28"/>
    </row>
    <row r="17" spans="1:16" x14ac:dyDescent="0.25">
      <c r="A17" s="45" t="s">
        <v>55</v>
      </c>
      <c r="C17" s="281"/>
      <c r="D17" s="169"/>
      <c r="E17" s="17"/>
      <c r="F17" s="17"/>
      <c r="G17" s="17"/>
      <c r="H17" s="294"/>
      <c r="I17" s="236"/>
      <c r="J17" s="296"/>
      <c r="K17" s="30"/>
      <c r="L17" s="30"/>
      <c r="M17" s="28"/>
      <c r="N17" s="408" t="s">
        <v>59</v>
      </c>
      <c r="O17" s="38"/>
    </row>
    <row r="18" spans="1:16" x14ac:dyDescent="0.25">
      <c r="A18" s="45" t="s">
        <v>22</v>
      </c>
      <c r="C18" s="335">
        <v>-17824.05</v>
      </c>
      <c r="D18" s="168">
        <v>0</v>
      </c>
      <c r="E18" s="123">
        <f>ROUND('[9]May 2025'!$G52,2)</f>
        <v>4016.52</v>
      </c>
      <c r="F18" s="123">
        <f>ROUND('[9]June 2025'!$G52,2)</f>
        <v>5068.33</v>
      </c>
      <c r="G18" s="123">
        <f>ROUND('[9]July 2025'!$G52,2)</f>
        <v>7912.2</v>
      </c>
      <c r="H18" s="15">
        <f>ROUND('[9]August 2025'!$G52,2)</f>
        <v>50975.78</v>
      </c>
      <c r="I18" s="54">
        <f>ROUND('[9]Sept 2025'!$G52,2)</f>
        <v>0</v>
      </c>
      <c r="J18" s="153">
        <f>ROUND('[9]EMW Oct25'!$G52,2)</f>
        <v>0</v>
      </c>
      <c r="K18" s="113"/>
      <c r="L18" s="40"/>
      <c r="M18" s="60"/>
      <c r="N18" s="71">
        <v>1.0000000000000001E-5</v>
      </c>
      <c r="O18" s="4"/>
      <c r="P18" s="166">
        <f t="shared" ref="P18:P21" si="4">-SUM(K18:M18)</f>
        <v>0</v>
      </c>
    </row>
    <row r="19" spans="1:16" x14ac:dyDescent="0.25">
      <c r="A19" s="45" t="s">
        <v>94</v>
      </c>
      <c r="C19" s="335">
        <v>-6413.1299999999992</v>
      </c>
      <c r="D19" s="168"/>
      <c r="E19" s="439">
        <f>ROUND('[9]May 2025'!$G53,2)</f>
        <v>1944.22</v>
      </c>
      <c r="F19" s="123">
        <f>ROUND('[9]June 2025'!$G53,2)</f>
        <v>2201.94</v>
      </c>
      <c r="G19" s="123">
        <f>ROUND('[9]July 2025'!$G53,2)</f>
        <v>2808.92</v>
      </c>
      <c r="H19" s="15">
        <f>ROUND('[9]August 2025'!$G53,2)</f>
        <v>13352.07</v>
      </c>
      <c r="I19" s="54">
        <f>ROUND('[9]Sept 2025'!$G53,2)</f>
        <v>0</v>
      </c>
      <c r="J19" s="153">
        <f>ROUND('[9]EMW Oct25'!$G53,2)</f>
        <v>0</v>
      </c>
      <c r="K19" s="113"/>
      <c r="L19" s="40"/>
      <c r="M19" s="60"/>
      <c r="N19" s="416">
        <v>1.0000000000000001E-5</v>
      </c>
      <c r="O19" s="4"/>
      <c r="P19" s="166">
        <f t="shared" si="4"/>
        <v>0</v>
      </c>
    </row>
    <row r="20" spans="1:16" x14ac:dyDescent="0.25">
      <c r="A20" s="45" t="s">
        <v>95</v>
      </c>
      <c r="C20" s="335">
        <v>-5241.9400000000005</v>
      </c>
      <c r="D20" s="168"/>
      <c r="E20" s="439">
        <f>ROUND('[9]May 2025'!$G54,2)</f>
        <v>1588.73</v>
      </c>
      <c r="F20" s="123">
        <f>ROUND('[9]June 2025'!$G54,2)</f>
        <v>1765.63</v>
      </c>
      <c r="G20" s="123">
        <f>ROUND('[9]July 2025'!$G54,2)</f>
        <v>2065.48</v>
      </c>
      <c r="H20" s="15">
        <f>ROUND('[9]August 2025'!$G54,2)</f>
        <v>9918.3799999999992</v>
      </c>
      <c r="I20" s="54">
        <f>ROUND('[9]Sept 2025'!$G54,2)</f>
        <v>0</v>
      </c>
      <c r="J20" s="153">
        <f>ROUND('[9]EMW Oct25'!$G54,2)</f>
        <v>0</v>
      </c>
      <c r="K20" s="113"/>
      <c r="L20" s="40"/>
      <c r="M20" s="60"/>
      <c r="N20" s="416">
        <v>1.0000000000000001E-5</v>
      </c>
      <c r="O20" s="4"/>
      <c r="P20" s="166">
        <f t="shared" si="4"/>
        <v>0</v>
      </c>
    </row>
    <row r="21" spans="1:16" x14ac:dyDescent="0.25">
      <c r="A21" s="45" t="s">
        <v>96</v>
      </c>
      <c r="C21" s="335">
        <v>-1820.7800000000002</v>
      </c>
      <c r="D21" s="168">
        <v>0</v>
      </c>
      <c r="E21" s="439">
        <f>ROUND('[9]May 2025'!$G55,2)</f>
        <v>679.49</v>
      </c>
      <c r="F21" s="123">
        <f>ROUND('[9]June 2025'!$G55,2)</f>
        <v>737.46</v>
      </c>
      <c r="G21" s="123">
        <f>ROUND('[9]July 2025'!$G55,2)</f>
        <v>797.93</v>
      </c>
      <c r="H21" s="15">
        <f>ROUND('[9]August 2025'!$G55,2)</f>
        <v>7375.81</v>
      </c>
      <c r="I21" s="54">
        <f>ROUND('[9]Sept 2025'!$G55,2)</f>
        <v>0</v>
      </c>
      <c r="J21" s="153">
        <f>ROUND('[9]EMW Oct25'!$G55,2)</f>
        <v>0</v>
      </c>
      <c r="K21" s="113"/>
      <c r="L21" s="40"/>
      <c r="M21" s="60"/>
      <c r="N21" s="416">
        <v>1.0000000000000001E-5</v>
      </c>
      <c r="O21" s="4"/>
      <c r="P21" s="166">
        <f t="shared" si="4"/>
        <v>0</v>
      </c>
    </row>
    <row r="22" spans="1:16" x14ac:dyDescent="0.25">
      <c r="C22" s="283"/>
      <c r="D22" s="170"/>
      <c r="E22" s="67"/>
      <c r="F22" s="67"/>
      <c r="G22" s="67"/>
      <c r="H22" s="66"/>
      <c r="I22" s="67"/>
      <c r="J22" s="152"/>
      <c r="K22" s="55"/>
      <c r="L22" s="55"/>
      <c r="M22" s="12"/>
      <c r="O22" s="4"/>
    </row>
    <row r="23" spans="1:16" x14ac:dyDescent="0.25">
      <c r="A23" s="38" t="s">
        <v>58</v>
      </c>
      <c r="B23" s="38"/>
      <c r="C23" s="283"/>
      <c r="D23" s="170"/>
      <c r="E23" s="67"/>
      <c r="F23" s="67"/>
      <c r="G23" s="67"/>
      <c r="H23" s="66"/>
      <c r="I23" s="67"/>
      <c r="J23" s="301"/>
      <c r="K23" s="55"/>
      <c r="L23" s="55"/>
      <c r="M23" s="12"/>
      <c r="N23" s="6"/>
    </row>
    <row r="24" spans="1:16" x14ac:dyDescent="0.25">
      <c r="A24" s="45" t="s">
        <v>22</v>
      </c>
      <c r="C24" s="336">
        <v>0</v>
      </c>
      <c r="D24" s="171"/>
      <c r="E24" s="105">
        <v>0</v>
      </c>
      <c r="F24" s="105">
        <v>0</v>
      </c>
      <c r="G24" s="115">
        <v>0</v>
      </c>
      <c r="H24" s="72">
        <v>0</v>
      </c>
      <c r="I24" s="73">
        <v>0</v>
      </c>
      <c r="J24" s="153">
        <v>0</v>
      </c>
      <c r="K24" s="144">
        <v>0</v>
      </c>
      <c r="L24" s="130">
        <v>0</v>
      </c>
      <c r="M24" s="77"/>
      <c r="N24" s="58">
        <f>SUM(C24:L24)</f>
        <v>0</v>
      </c>
      <c r="P24" s="166">
        <f t="shared" ref="P24:P27" si="5">-SUM(K24:M24)</f>
        <v>0</v>
      </c>
    </row>
    <row r="25" spans="1:16" x14ac:dyDescent="0.25">
      <c r="A25" s="45" t="s">
        <v>94</v>
      </c>
      <c r="C25" s="336">
        <v>0</v>
      </c>
      <c r="D25" s="171"/>
      <c r="E25" s="105">
        <v>0</v>
      </c>
      <c r="F25" s="105">
        <v>0</v>
      </c>
      <c r="G25" s="115">
        <v>0</v>
      </c>
      <c r="H25" s="72">
        <v>0</v>
      </c>
      <c r="I25" s="73">
        <v>0</v>
      </c>
      <c r="J25" s="153">
        <v>0</v>
      </c>
      <c r="K25" s="144">
        <v>0</v>
      </c>
      <c r="L25" s="130">
        <v>0</v>
      </c>
      <c r="M25" s="77"/>
      <c r="N25" s="58">
        <f t="shared" ref="N25:N27" si="6">SUM(C25:L25)</f>
        <v>0</v>
      </c>
      <c r="P25" s="166">
        <f t="shared" si="5"/>
        <v>0</v>
      </c>
    </row>
    <row r="26" spans="1:16" x14ac:dyDescent="0.25">
      <c r="A26" s="45" t="s">
        <v>95</v>
      </c>
      <c r="C26" s="336">
        <v>0</v>
      </c>
      <c r="D26" s="171"/>
      <c r="E26" s="105">
        <v>0</v>
      </c>
      <c r="F26" s="105">
        <v>0</v>
      </c>
      <c r="G26" s="115">
        <v>0</v>
      </c>
      <c r="H26" s="72">
        <v>0</v>
      </c>
      <c r="I26" s="73">
        <v>0</v>
      </c>
      <c r="J26" s="153">
        <v>0</v>
      </c>
      <c r="K26" s="144">
        <v>0</v>
      </c>
      <c r="L26" s="130">
        <v>0</v>
      </c>
      <c r="M26" s="77"/>
      <c r="N26" s="58">
        <f t="shared" si="6"/>
        <v>0</v>
      </c>
      <c r="P26" s="166">
        <f t="shared" si="5"/>
        <v>0</v>
      </c>
    </row>
    <row r="27" spans="1:16" x14ac:dyDescent="0.25">
      <c r="A27" s="45" t="s">
        <v>96</v>
      </c>
      <c r="C27" s="336">
        <v>0</v>
      </c>
      <c r="D27" s="171"/>
      <c r="E27" s="105">
        <v>0</v>
      </c>
      <c r="F27" s="105">
        <v>0</v>
      </c>
      <c r="G27" s="115">
        <v>0</v>
      </c>
      <c r="H27" s="72">
        <v>0</v>
      </c>
      <c r="I27" s="73">
        <v>0</v>
      </c>
      <c r="J27" s="153">
        <v>0</v>
      </c>
      <c r="K27" s="144">
        <v>0</v>
      </c>
      <c r="L27" s="130">
        <v>0</v>
      </c>
      <c r="M27" s="77"/>
      <c r="N27" s="58">
        <f t="shared" si="6"/>
        <v>0</v>
      </c>
      <c r="P27" s="166">
        <f t="shared" si="5"/>
        <v>0</v>
      </c>
    </row>
    <row r="28" spans="1:16" x14ac:dyDescent="0.25">
      <c r="C28" s="283"/>
      <c r="D28" s="170"/>
      <c r="E28" s="67"/>
      <c r="F28" s="67"/>
      <c r="G28" s="67"/>
      <c r="H28" s="66"/>
      <c r="I28" s="67"/>
      <c r="J28" s="152"/>
      <c r="K28" s="55"/>
      <c r="L28" s="55"/>
      <c r="M28" s="12"/>
    </row>
    <row r="29" spans="1:16" x14ac:dyDescent="0.25">
      <c r="A29" s="45" t="s">
        <v>60</v>
      </c>
      <c r="C29" s="288"/>
      <c r="D29" s="172"/>
      <c r="E29" s="36"/>
      <c r="F29" s="36"/>
      <c r="G29" s="36"/>
      <c r="H29" s="35"/>
      <c r="I29" s="36"/>
      <c r="J29" s="154"/>
      <c r="K29" s="51"/>
      <c r="L29" s="51"/>
      <c r="M29" s="37"/>
    </row>
    <row r="30" spans="1:16" x14ac:dyDescent="0.25">
      <c r="A30" s="45" t="s">
        <v>22</v>
      </c>
      <c r="C30" s="335">
        <v>0</v>
      </c>
      <c r="D30" s="168"/>
      <c r="E30" s="123">
        <v>0</v>
      </c>
      <c r="F30" s="123">
        <v>0</v>
      </c>
      <c r="G30" s="123">
        <v>0</v>
      </c>
      <c r="H30" s="15">
        <v>0</v>
      </c>
      <c r="I30" s="54">
        <v>0</v>
      </c>
      <c r="J30" s="153">
        <v>0</v>
      </c>
      <c r="K30" s="145">
        <v>0</v>
      </c>
      <c r="L30" s="129">
        <v>0</v>
      </c>
      <c r="M30" s="76"/>
      <c r="P30" s="166">
        <f t="shared" ref="P30:P35" si="7">-SUM(K30:M30)</f>
        <v>0</v>
      </c>
    </row>
    <row r="31" spans="1:16" x14ac:dyDescent="0.25">
      <c r="A31" s="45" t="s">
        <v>94</v>
      </c>
      <c r="C31" s="335">
        <v>0</v>
      </c>
      <c r="D31" s="168"/>
      <c r="E31" s="123">
        <v>0</v>
      </c>
      <c r="F31" s="123">
        <v>0</v>
      </c>
      <c r="G31" s="123">
        <v>0</v>
      </c>
      <c r="H31" s="15">
        <v>0</v>
      </c>
      <c r="I31" s="54">
        <v>0</v>
      </c>
      <c r="J31" s="153">
        <v>0</v>
      </c>
      <c r="K31" s="145">
        <v>0</v>
      </c>
      <c r="L31" s="129">
        <v>0</v>
      </c>
      <c r="M31" s="76"/>
      <c r="P31" s="166">
        <f t="shared" si="7"/>
        <v>0</v>
      </c>
    </row>
    <row r="32" spans="1:16" x14ac:dyDescent="0.25">
      <c r="A32" s="45" t="s">
        <v>95</v>
      </c>
      <c r="C32" s="335">
        <v>0</v>
      </c>
      <c r="D32" s="168"/>
      <c r="E32" s="123">
        <v>0</v>
      </c>
      <c r="F32" s="123">
        <v>0</v>
      </c>
      <c r="G32" s="123">
        <v>0</v>
      </c>
      <c r="H32" s="15">
        <v>0</v>
      </c>
      <c r="I32" s="54">
        <v>0</v>
      </c>
      <c r="J32" s="153">
        <v>0</v>
      </c>
      <c r="K32" s="145">
        <v>0</v>
      </c>
      <c r="L32" s="129">
        <v>0</v>
      </c>
      <c r="M32" s="76"/>
      <c r="P32" s="166">
        <f t="shared" si="7"/>
        <v>0</v>
      </c>
    </row>
    <row r="33" spans="1:18" x14ac:dyDescent="0.25">
      <c r="A33" s="45" t="s">
        <v>96</v>
      </c>
      <c r="C33" s="335">
        <v>0</v>
      </c>
      <c r="D33" s="168"/>
      <c r="E33" s="123">
        <v>0</v>
      </c>
      <c r="F33" s="123">
        <v>0</v>
      </c>
      <c r="G33" s="123">
        <v>0</v>
      </c>
      <c r="H33" s="15">
        <v>0</v>
      </c>
      <c r="I33" s="54">
        <v>0</v>
      </c>
      <c r="J33" s="153">
        <v>0</v>
      </c>
      <c r="K33" s="145">
        <v>0</v>
      </c>
      <c r="L33" s="129">
        <v>0</v>
      </c>
      <c r="M33" s="76"/>
      <c r="O33" s="46"/>
      <c r="P33" s="166">
        <f t="shared" si="7"/>
        <v>0</v>
      </c>
    </row>
    <row r="34" spans="1:18" x14ac:dyDescent="0.25">
      <c r="C34" s="281"/>
      <c r="D34" s="169"/>
      <c r="E34" s="17"/>
      <c r="F34" s="17"/>
      <c r="G34" s="17"/>
      <c r="H34" s="88"/>
      <c r="I34" s="17"/>
      <c r="J34" s="151"/>
      <c r="K34" s="55"/>
      <c r="L34" s="55"/>
      <c r="M34" s="12"/>
    </row>
    <row r="35" spans="1:18" ht="15.75" thickBot="1" x14ac:dyDescent="0.3">
      <c r="A35" s="3" t="s">
        <v>13</v>
      </c>
      <c r="B35" s="3"/>
      <c r="C35" s="337">
        <v>-955.25</v>
      </c>
      <c r="D35" s="173"/>
      <c r="E35" s="123">
        <f>509.59+0.01</f>
        <v>509.59999999999997</v>
      </c>
      <c r="F35" s="123">
        <f>468.59-0.01</f>
        <v>468.58</v>
      </c>
      <c r="G35" s="124">
        <f>417.59-0.01</f>
        <v>417.58</v>
      </c>
      <c r="H35" s="25">
        <v>0</v>
      </c>
      <c r="I35" s="112">
        <v>0</v>
      </c>
      <c r="J35" s="155">
        <v>0</v>
      </c>
      <c r="K35" s="146">
        <f>ROUND((SUM(J42:J43)+SUM(J47:J48)+SUM(K38:K39)/2)*K$45,2)</f>
        <v>0</v>
      </c>
      <c r="L35" s="131">
        <f>ROUND((SUM(K42:K43)+SUM(K47:K48)+SUM(L38:L39)/2)*L$45,2)</f>
        <v>0</v>
      </c>
      <c r="M35" s="79"/>
      <c r="P35" s="166">
        <f t="shared" si="7"/>
        <v>0</v>
      </c>
      <c r="R35" s="320"/>
    </row>
    <row r="36" spans="1:18" x14ac:dyDescent="0.25">
      <c r="C36" s="63"/>
      <c r="D36" s="176"/>
      <c r="E36" s="65"/>
      <c r="F36" s="65"/>
      <c r="G36" s="32"/>
      <c r="H36" s="63"/>
      <c r="I36" s="32"/>
      <c r="J36" s="156"/>
      <c r="K36" s="33"/>
      <c r="L36" s="33"/>
      <c r="M36" s="59"/>
    </row>
    <row r="37" spans="1:18" x14ac:dyDescent="0.25">
      <c r="A37" s="45" t="s">
        <v>46</v>
      </c>
      <c r="C37" s="64"/>
      <c r="D37" s="177"/>
      <c r="E37" s="34"/>
      <c r="F37" s="34"/>
      <c r="G37" s="34"/>
      <c r="H37" s="64"/>
      <c r="I37" s="34"/>
      <c r="J37" s="157"/>
      <c r="K37" s="33"/>
      <c r="L37" s="33"/>
      <c r="M37" s="59"/>
    </row>
    <row r="38" spans="1:18" x14ac:dyDescent="0.25">
      <c r="A38" s="45" t="s">
        <v>22</v>
      </c>
      <c r="C38" s="174">
        <f t="shared" ref="C38:M38" si="8">C30-C18</f>
        <v>17824.05</v>
      </c>
      <c r="D38" s="178">
        <f t="shared" si="8"/>
        <v>0</v>
      </c>
      <c r="E38" s="40">
        <f t="shared" si="8"/>
        <v>-4016.52</v>
      </c>
      <c r="F38" s="40">
        <f>F30-F18</f>
        <v>-5068.33</v>
      </c>
      <c r="G38" s="102">
        <f>G30-G18</f>
        <v>-7912.2</v>
      </c>
      <c r="H38" s="39">
        <f>H30-H18</f>
        <v>-50975.78</v>
      </c>
      <c r="I38" s="40">
        <f>I30-I18</f>
        <v>0</v>
      </c>
      <c r="J38" s="60">
        <f>J30-J18</f>
        <v>0</v>
      </c>
      <c r="K38" s="113">
        <f t="shared" si="8"/>
        <v>0</v>
      </c>
      <c r="L38" s="40">
        <f t="shared" si="8"/>
        <v>0</v>
      </c>
      <c r="M38" s="60">
        <f t="shared" si="8"/>
        <v>0</v>
      </c>
    </row>
    <row r="39" spans="1:18" x14ac:dyDescent="0.25">
      <c r="A39" s="45" t="s">
        <v>23</v>
      </c>
      <c r="C39" s="174">
        <f>SUM(C31:C33)-SUM(C19:C21)</f>
        <v>13475.85</v>
      </c>
      <c r="D39" s="178">
        <f t="shared" ref="D39:M39" si="9">SUM(D31:D33)-SUM(D19:D21)</f>
        <v>0</v>
      </c>
      <c r="E39" s="40">
        <f t="shared" si="9"/>
        <v>-4212.4399999999996</v>
      </c>
      <c r="F39" s="40">
        <f>SUM(F31:F33)-SUM(F19:F21)</f>
        <v>-4705.0300000000007</v>
      </c>
      <c r="G39" s="102">
        <f>SUM(G31:G33)-SUM(G19:G21)</f>
        <v>-5672.33</v>
      </c>
      <c r="H39" s="39">
        <f>SUM(H31:H33)-SUM(H19:H21)</f>
        <v>-30646.26</v>
      </c>
      <c r="I39" s="40">
        <f>SUM(I31:I33)-SUM(I19:I21)</f>
        <v>0</v>
      </c>
      <c r="J39" s="60">
        <f>SUM(J31:J33)-SUM(J19:J21)</f>
        <v>0</v>
      </c>
      <c r="K39" s="113">
        <f t="shared" si="9"/>
        <v>0</v>
      </c>
      <c r="L39" s="40">
        <f t="shared" si="9"/>
        <v>0</v>
      </c>
      <c r="M39" s="60">
        <f t="shared" si="9"/>
        <v>0</v>
      </c>
    </row>
    <row r="40" spans="1:18" x14ac:dyDescent="0.25">
      <c r="C40" s="96"/>
      <c r="D40" s="169"/>
      <c r="E40" s="16"/>
      <c r="F40" s="16"/>
      <c r="G40" s="16"/>
      <c r="H40" s="9"/>
      <c r="I40" s="16"/>
      <c r="J40" s="10"/>
      <c r="K40" s="16"/>
      <c r="L40" s="16"/>
      <c r="M40" s="10"/>
    </row>
    <row r="41" spans="1:18" ht="15.75" thickBot="1" x14ac:dyDescent="0.3">
      <c r="A41" s="45" t="s">
        <v>47</v>
      </c>
      <c r="C41" s="96"/>
      <c r="D41" s="169"/>
      <c r="E41" s="16"/>
      <c r="F41" s="16"/>
      <c r="G41" s="16"/>
      <c r="H41" s="9"/>
      <c r="I41" s="16"/>
      <c r="J41" s="10"/>
      <c r="K41" s="16"/>
      <c r="L41" s="16"/>
      <c r="M41" s="10"/>
    </row>
    <row r="42" spans="1:18" x14ac:dyDescent="0.25">
      <c r="A42" s="45" t="s">
        <v>22</v>
      </c>
      <c r="B42" s="284">
        <v>49872.929999999695</v>
      </c>
      <c r="C42" s="174">
        <f t="shared" ref="C42:E43" si="10">+B42+C38+B47</f>
        <v>67696.97999999969</v>
      </c>
      <c r="D42" s="178">
        <f t="shared" si="10"/>
        <v>67118.169999999693</v>
      </c>
      <c r="E42" s="40">
        <f t="shared" si="10"/>
        <v>63101.649999999696</v>
      </c>
      <c r="F42" s="40">
        <f t="shared" ref="F42:M42" si="11">+E42+F38+E47</f>
        <v>58341.399999999696</v>
      </c>
      <c r="G42" s="102">
        <f>+F42+G38+F47</f>
        <v>50716.729999999698</v>
      </c>
      <c r="H42" s="39">
        <f t="shared" si="11"/>
        <v>0.38999999969877308</v>
      </c>
      <c r="I42" s="40">
        <f t="shared" si="11"/>
        <v>0.38999999969877308</v>
      </c>
      <c r="J42" s="60">
        <f t="shared" si="11"/>
        <v>0.38999999969877308</v>
      </c>
      <c r="K42" s="113">
        <f t="shared" si="11"/>
        <v>0.38999999969877308</v>
      </c>
      <c r="L42" s="40">
        <f t="shared" si="11"/>
        <v>0.38999999969877308</v>
      </c>
      <c r="M42" s="60">
        <f t="shared" si="11"/>
        <v>0.38999999969877308</v>
      </c>
    </row>
    <row r="43" spans="1:18" ht="15.75" thickBot="1" x14ac:dyDescent="0.3">
      <c r="A43" s="45" t="s">
        <v>23</v>
      </c>
      <c r="B43" s="285">
        <v>31595.864270000082</v>
      </c>
      <c r="C43" s="174">
        <f t="shared" si="10"/>
        <v>45071.714270000084</v>
      </c>
      <c r="D43" s="178">
        <f t="shared" si="10"/>
        <v>44695.274270000082</v>
      </c>
      <c r="E43" s="40">
        <f t="shared" si="10"/>
        <v>40482.834270000079</v>
      </c>
      <c r="F43" s="40">
        <f t="shared" ref="F43:M43" si="12">+E43+F39+E48</f>
        <v>35979.324270000077</v>
      </c>
      <c r="G43" s="102">
        <f>+F43+G39+F48</f>
        <v>30488.044270000075</v>
      </c>
      <c r="H43" s="39">
        <f t="shared" si="12"/>
        <v>-7.572999992351015E-2</v>
      </c>
      <c r="I43" s="40">
        <f t="shared" si="12"/>
        <v>-7.572999992351015E-2</v>
      </c>
      <c r="J43" s="60">
        <f t="shared" si="12"/>
        <v>-7.572999992351015E-2</v>
      </c>
      <c r="K43" s="113">
        <f t="shared" si="12"/>
        <v>-7.572999992351015E-2</v>
      </c>
      <c r="L43" s="40">
        <f t="shared" si="12"/>
        <v>-7.572999992351015E-2</v>
      </c>
      <c r="M43" s="60">
        <f t="shared" si="12"/>
        <v>-7.572999992351015E-2</v>
      </c>
    </row>
    <row r="44" spans="1:18" x14ac:dyDescent="0.25">
      <c r="C44" s="96"/>
      <c r="D44" s="169"/>
      <c r="E44" s="16"/>
      <c r="F44" s="16"/>
      <c r="G44" s="16"/>
      <c r="H44" s="9"/>
      <c r="I44" s="16"/>
      <c r="J44" s="10"/>
      <c r="K44" s="16"/>
      <c r="L44" s="16"/>
      <c r="M44" s="10"/>
    </row>
    <row r="45" spans="1:18" x14ac:dyDescent="0.25">
      <c r="A45" s="38" t="s">
        <v>108</v>
      </c>
      <c r="B45" s="38"/>
      <c r="C45" s="99"/>
      <c r="D45" s="179"/>
      <c r="E45" s="289">
        <f>+'PCR Cycle 3'!E45</f>
        <v>4.7316600000000004E-3</v>
      </c>
      <c r="F45" s="289">
        <f>+'PCR Cycle 3'!F45</f>
        <v>4.7233199999999996E-3</v>
      </c>
      <c r="G45" s="289">
        <f>+'PCR Cycle 3'!G45</f>
        <v>4.7454000000000003E-3</v>
      </c>
      <c r="H45" s="290"/>
      <c r="I45" s="289"/>
      <c r="J45" s="291"/>
      <c r="K45" s="352"/>
      <c r="L45" s="351"/>
      <c r="M45" s="291"/>
    </row>
    <row r="46" spans="1:18" x14ac:dyDescent="0.25">
      <c r="A46" s="38" t="s">
        <v>31</v>
      </c>
      <c r="B46" s="38"/>
      <c r="C46" s="100"/>
      <c r="D46" s="180"/>
      <c r="E46" s="80"/>
      <c r="F46" s="80"/>
      <c r="G46" s="80"/>
      <c r="H46" s="81"/>
      <c r="I46" s="80"/>
      <c r="J46" s="82"/>
      <c r="K46" s="80"/>
      <c r="L46" s="80"/>
      <c r="M46" s="82"/>
    </row>
    <row r="47" spans="1:18" x14ac:dyDescent="0.25">
      <c r="A47" s="45" t="s">
        <v>22</v>
      </c>
      <c r="C47" s="338">
        <v>-578.80999999999995</v>
      </c>
      <c r="D47" s="178"/>
      <c r="E47" s="40">
        <f>ROUND((D42+D47+E38/2)*E$45,2)</f>
        <v>308.08</v>
      </c>
      <c r="F47" s="40">
        <f t="shared" ref="F47:F48" si="13">ROUND((E42+E47+F38/2)*F$45,2)</f>
        <v>287.52999999999997</v>
      </c>
      <c r="G47" s="102">
        <f t="shared" ref="G47:G48" si="14">ROUND((F42+F47+G38/2)*G$45,2)</f>
        <v>259.44</v>
      </c>
      <c r="H47" s="39">
        <f t="shared" ref="H47:H48" si="15">ROUND((G42+G47+H38/2)*H$45,2)</f>
        <v>0</v>
      </c>
      <c r="I47" s="113">
        <f t="shared" ref="I47:J48" si="16">ROUND((H42+H47+I38/2)*I$45,2)</f>
        <v>0</v>
      </c>
      <c r="J47" s="60">
        <f t="shared" si="16"/>
        <v>0</v>
      </c>
      <c r="K47" s="147">
        <f t="shared" ref="K47:K48" si="17">ROUND((J42+J47+K38/2)*K$45,2)</f>
        <v>0</v>
      </c>
      <c r="L47" s="102">
        <f t="shared" ref="L47:L48" si="18">ROUND((K42+K47+L38/2)*L$45,2)</f>
        <v>0</v>
      </c>
      <c r="M47" s="60">
        <f t="shared" ref="M47:M48" si="19">ROUND((L42+L47+M38/2)*M$45,2)</f>
        <v>0</v>
      </c>
      <c r="P47" s="166">
        <f t="shared" ref="P47:P48" si="20">-SUM(K47:M47)</f>
        <v>0</v>
      </c>
    </row>
    <row r="48" spans="1:18" ht="15.75" thickBot="1" x14ac:dyDescent="0.3">
      <c r="A48" s="45" t="s">
        <v>23</v>
      </c>
      <c r="C48" s="338">
        <v>-376.44</v>
      </c>
      <c r="D48" s="178"/>
      <c r="E48" s="40">
        <f>ROUND((D43+D48+E39/2)*E$45,2)</f>
        <v>201.52</v>
      </c>
      <c r="F48" s="40">
        <f t="shared" si="13"/>
        <v>181.05</v>
      </c>
      <c r="G48" s="102">
        <f t="shared" si="14"/>
        <v>158.13999999999999</v>
      </c>
      <c r="H48" s="39">
        <f t="shared" si="15"/>
        <v>0</v>
      </c>
      <c r="I48" s="113">
        <f t="shared" si="16"/>
        <v>0</v>
      </c>
      <c r="J48" s="60">
        <f t="shared" si="16"/>
        <v>0</v>
      </c>
      <c r="K48" s="147">
        <f t="shared" si="17"/>
        <v>0</v>
      </c>
      <c r="L48" s="102">
        <f t="shared" si="18"/>
        <v>0</v>
      </c>
      <c r="M48" s="60">
        <f t="shared" si="19"/>
        <v>0</v>
      </c>
      <c r="P48" s="166">
        <f t="shared" si="20"/>
        <v>0</v>
      </c>
    </row>
    <row r="49" spans="1:18" ht="16.5" thickTop="1" thickBot="1" x14ac:dyDescent="0.3">
      <c r="A49" s="53" t="s">
        <v>20</v>
      </c>
      <c r="B49" s="53"/>
      <c r="C49" s="175">
        <v>0</v>
      </c>
      <c r="D49" s="181"/>
      <c r="E49" s="41">
        <f>SUM(E47:E48)+SUM(E42:E43)-E52</f>
        <v>0</v>
      </c>
      <c r="F49" s="41">
        <f t="shared" ref="F49:M49" si="21">SUM(F47:F48)+SUM(F42:F43)-F52</f>
        <v>0</v>
      </c>
      <c r="G49" s="49">
        <f t="shared" si="21"/>
        <v>0</v>
      </c>
      <c r="H49" s="50">
        <f t="shared" si="21"/>
        <v>-9.0381035988684744E-12</v>
      </c>
      <c r="I49" s="41">
        <f t="shared" si="21"/>
        <v>-9.0381035988684744E-12</v>
      </c>
      <c r="J49" s="61">
        <f t="shared" si="21"/>
        <v>-9.0381035988684744E-12</v>
      </c>
      <c r="K49" s="148">
        <f t="shared" si="21"/>
        <v>-9.0381035988684744E-12</v>
      </c>
      <c r="L49" s="49">
        <f t="shared" si="21"/>
        <v>-9.0381035988684744E-12</v>
      </c>
      <c r="M49" s="61">
        <f t="shared" si="21"/>
        <v>-9.0381035988684744E-12</v>
      </c>
    </row>
    <row r="50" spans="1:18" ht="16.5" thickTop="1" thickBot="1" x14ac:dyDescent="0.3">
      <c r="A50" s="53" t="s">
        <v>21</v>
      </c>
      <c r="B50" s="53"/>
      <c r="C50" s="175">
        <v>0</v>
      </c>
      <c r="D50" s="181"/>
      <c r="E50" s="41">
        <f>SUM(E47:E48)-E35</f>
        <v>0</v>
      </c>
      <c r="F50" s="41">
        <f t="shared" ref="F50:J50" si="22">SUM(F47:F48)-F35</f>
        <v>0</v>
      </c>
      <c r="G50" s="49">
        <f t="shared" ref="G50:I50" si="23">SUM(G47:G48)-G35</f>
        <v>0</v>
      </c>
      <c r="H50" s="50">
        <f t="shared" si="23"/>
        <v>0</v>
      </c>
      <c r="I50" s="41">
        <f t="shared" si="23"/>
        <v>0</v>
      </c>
      <c r="J50" s="61">
        <f t="shared" si="22"/>
        <v>0</v>
      </c>
      <c r="K50" s="149">
        <f t="shared" ref="K50:M50" si="24">SUM(K47:K48)-K35</f>
        <v>0</v>
      </c>
      <c r="L50" s="41">
        <f t="shared" si="24"/>
        <v>0</v>
      </c>
      <c r="M50" s="41">
        <f t="shared" si="24"/>
        <v>0</v>
      </c>
    </row>
    <row r="51" spans="1:18" ht="16.5" thickTop="1" thickBot="1" x14ac:dyDescent="0.3">
      <c r="C51" s="96"/>
      <c r="D51" s="169"/>
      <c r="E51" s="16"/>
      <c r="F51" s="16"/>
      <c r="G51" s="16"/>
      <c r="H51" s="9"/>
      <c r="I51" s="16"/>
      <c r="J51" s="10"/>
      <c r="K51" s="16"/>
      <c r="L51" s="16"/>
      <c r="M51" s="10"/>
    </row>
    <row r="52" spans="1:18" ht="15.75" thickBot="1" x14ac:dyDescent="0.3">
      <c r="A52" s="45" t="s">
        <v>30</v>
      </c>
      <c r="B52" s="110">
        <f>+B42+B43</f>
        <v>81468.79426999978</v>
      </c>
      <c r="C52" s="174">
        <f t="shared" ref="C52:M52" si="25">(C15-SUM(C18:C21))+SUM(C47:C48)+B52</f>
        <v>111813.44426999977</v>
      </c>
      <c r="D52" s="178">
        <f t="shared" si="25"/>
        <v>111813.44426999977</v>
      </c>
      <c r="E52" s="40">
        <f t="shared" si="25"/>
        <v>104094.08426999977</v>
      </c>
      <c r="F52" s="40">
        <f>(F15-SUM(F18:F21))+SUM(F47:F48)+E52</f>
        <v>94789.304269999775</v>
      </c>
      <c r="G52" s="102">
        <f>(G15-SUM(G18:G21))+SUM(G47:G48)+F52</f>
        <v>81622.354269999778</v>
      </c>
      <c r="H52" s="39">
        <f>(H15-SUM(H18:H21))+SUM(H47:H48)+G52</f>
        <v>0.31426999978430104</v>
      </c>
      <c r="I52" s="40">
        <f>(I15-SUM(I18:I21))+SUM(I47:I48)+H52</f>
        <v>0.31426999978430104</v>
      </c>
      <c r="J52" s="60">
        <f>(J15-SUM(J18:J21))+SUM(J47:J48)+I52</f>
        <v>0.31426999978430104</v>
      </c>
      <c r="K52" s="147">
        <f t="shared" si="25"/>
        <v>0.31426999978430104</v>
      </c>
      <c r="L52" s="102">
        <f t="shared" si="25"/>
        <v>0.31426999978430104</v>
      </c>
      <c r="M52" s="60">
        <f t="shared" si="25"/>
        <v>0.31426999978430104</v>
      </c>
      <c r="Q52" s="509"/>
      <c r="R52" s="509"/>
    </row>
    <row r="53" spans="1:18" x14ac:dyDescent="0.25">
      <c r="A53" s="45" t="s">
        <v>10</v>
      </c>
      <c r="C53" s="111"/>
      <c r="D53" s="182"/>
      <c r="E53" s="16"/>
      <c r="F53" s="16"/>
      <c r="G53" s="16"/>
      <c r="H53" s="9"/>
      <c r="I53" s="16"/>
      <c r="J53" s="10"/>
      <c r="K53" s="16"/>
      <c r="L53" s="16"/>
      <c r="M53" s="10"/>
      <c r="Q53" s="509"/>
      <c r="R53" s="509"/>
    </row>
    <row r="54" spans="1:18" ht="15.75" thickBot="1" x14ac:dyDescent="0.3">
      <c r="A54" s="36"/>
      <c r="B54" s="36"/>
      <c r="C54" s="134"/>
      <c r="D54" s="183"/>
      <c r="E54" s="43"/>
      <c r="F54" s="43"/>
      <c r="G54" s="43"/>
      <c r="H54" s="42"/>
      <c r="I54" s="43"/>
      <c r="J54" s="44"/>
      <c r="K54" s="43"/>
      <c r="L54" s="43"/>
      <c r="M54" s="44"/>
      <c r="Q54" s="509"/>
      <c r="R54" s="509"/>
    </row>
    <row r="56" spans="1:18" x14ac:dyDescent="0.25">
      <c r="A56" s="68" t="s">
        <v>9</v>
      </c>
      <c r="B56" s="68"/>
      <c r="C56" s="68"/>
      <c r="D56" s="68"/>
    </row>
    <row r="57" spans="1:18" ht="34.5" customHeight="1" x14ac:dyDescent="0.25">
      <c r="A57" s="537" t="s">
        <v>197</v>
      </c>
      <c r="B57" s="537"/>
      <c r="C57" s="537"/>
      <c r="D57" s="537"/>
      <c r="E57" s="537"/>
      <c r="F57" s="537"/>
      <c r="G57" s="537"/>
      <c r="H57" s="537"/>
      <c r="I57" s="537"/>
      <c r="J57" s="537"/>
      <c r="K57" s="525"/>
      <c r="L57" s="132"/>
      <c r="M57" s="132"/>
    </row>
    <row r="58" spans="1:18" ht="35.25" customHeight="1" x14ac:dyDescent="0.25">
      <c r="A58" s="537" t="s">
        <v>266</v>
      </c>
      <c r="B58" s="537"/>
      <c r="C58" s="537"/>
      <c r="D58" s="537"/>
      <c r="E58" s="537"/>
      <c r="F58" s="537"/>
      <c r="G58" s="537"/>
      <c r="H58" s="537"/>
      <c r="I58" s="537"/>
      <c r="J58" s="537"/>
      <c r="K58" s="537"/>
      <c r="L58" s="132"/>
      <c r="M58" s="132"/>
    </row>
    <row r="59" spans="1:18" ht="33.75" customHeight="1" x14ac:dyDescent="0.25">
      <c r="A59" s="537" t="s">
        <v>198</v>
      </c>
      <c r="B59" s="537"/>
      <c r="C59" s="537"/>
      <c r="D59" s="537"/>
      <c r="E59" s="537"/>
      <c r="F59" s="537"/>
      <c r="G59" s="537"/>
      <c r="H59" s="537"/>
      <c r="I59" s="537"/>
      <c r="J59" s="537"/>
      <c r="K59" s="525"/>
      <c r="L59" s="132"/>
      <c r="M59" s="132"/>
    </row>
    <row r="60" spans="1:18" x14ac:dyDescent="0.25">
      <c r="A60" s="537" t="s">
        <v>220</v>
      </c>
      <c r="B60" s="537"/>
      <c r="C60" s="537"/>
      <c r="D60" s="537"/>
      <c r="E60" s="537"/>
      <c r="F60" s="537"/>
      <c r="G60" s="537"/>
      <c r="H60" s="537"/>
      <c r="I60" s="537"/>
      <c r="J60" s="537"/>
      <c r="K60" s="537"/>
    </row>
    <row r="61" spans="1:18" x14ac:dyDescent="0.25">
      <c r="A61" s="408" t="s">
        <v>271</v>
      </c>
      <c r="B61" s="408"/>
      <c r="C61" s="408"/>
      <c r="D61" s="408"/>
      <c r="E61" s="388"/>
      <c r="F61" s="388"/>
      <c r="G61" s="388"/>
      <c r="H61" s="388"/>
      <c r="I61" s="388"/>
      <c r="J61" s="388"/>
      <c r="K61" s="388"/>
    </row>
    <row r="62" spans="1:18" x14ac:dyDescent="0.25">
      <c r="A62" s="408" t="s">
        <v>61</v>
      </c>
      <c r="B62" s="408"/>
      <c r="C62" s="408"/>
      <c r="D62" s="408"/>
      <c r="E62" s="388"/>
      <c r="F62" s="388"/>
      <c r="G62" s="388"/>
      <c r="H62" s="388"/>
      <c r="I62" s="388"/>
      <c r="J62" s="388"/>
      <c r="K62" s="388"/>
    </row>
    <row r="63" spans="1:18" x14ac:dyDescent="0.25">
      <c r="A63" s="408" t="s">
        <v>164</v>
      </c>
      <c r="B63" s="408"/>
      <c r="C63" s="408"/>
      <c r="D63" s="408"/>
      <c r="E63" s="388"/>
      <c r="F63" s="388"/>
      <c r="G63" s="388"/>
      <c r="H63" s="388"/>
      <c r="I63" s="388"/>
      <c r="J63" s="388"/>
      <c r="K63" s="388"/>
    </row>
    <row r="64" spans="1:18" x14ac:dyDescent="0.25">
      <c r="A64" s="388"/>
      <c r="B64" s="388"/>
      <c r="C64" s="388"/>
      <c r="D64" s="388"/>
      <c r="E64" s="388"/>
      <c r="F64" s="388"/>
      <c r="G64" s="388"/>
      <c r="H64" s="388"/>
      <c r="I64" s="388"/>
      <c r="J64" s="388"/>
      <c r="K64" s="388"/>
    </row>
  </sheetData>
  <mergeCells count="7">
    <mergeCell ref="A60:K60"/>
    <mergeCell ref="A59:J59"/>
    <mergeCell ref="E13:G13"/>
    <mergeCell ref="A57:J57"/>
    <mergeCell ref="A58:K58"/>
    <mergeCell ref="H13:J13"/>
    <mergeCell ref="K13:M13"/>
  </mergeCells>
  <pageMargins left="0.2" right="0.2" top="0.75" bottom="0.25" header="0.3" footer="0.3"/>
  <pageSetup scale="49" orientation="landscape" r:id="rId1"/>
  <headerFooter>
    <oddHeader>&amp;C&amp;F &amp;A&amp;R&amp;"Arial"&amp;10&amp;K000000CONFIDENTIAL</oddHeader>
    <oddFooter xml:space="preserve">&amp;R_x000D_&amp;1#&amp;"Calibri"&amp;10&amp;KA80000 Restricted – Sensitive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3B6732D9B8AC45B92AC23C294CFAF4" ma:contentTypeVersion="14" ma:contentTypeDescription="Create a new document." ma:contentTypeScope="" ma:versionID="860629655e7d20c25eaa057d0236f563">
  <xsd:schema xmlns:xsd="http://www.w3.org/2001/XMLSchema" xmlns:xs="http://www.w3.org/2001/XMLSchema" xmlns:p="http://schemas.microsoft.com/office/2006/metadata/properties" xmlns:ns1="http://schemas.microsoft.com/sharepoint/v3" xmlns:ns2="ac490600-4b8a-4089-8db0-d3461bbed9a9" xmlns:ns3="854f6eb9-76cf-4368-a46f-84f4be2bef9a" targetNamespace="http://schemas.microsoft.com/office/2006/metadata/properties" ma:root="true" ma:fieldsID="e3044ab5475c98b5709126efda186b24" ns1:_="" ns2:_="" ns3:_="">
    <xsd:import namespace="http://schemas.microsoft.com/sharepoint/v3"/>
    <xsd:import namespace="ac490600-4b8a-4089-8db0-d3461bbed9a9"/>
    <xsd:import namespace="854f6eb9-76cf-4368-a46f-84f4be2bef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490600-4b8a-4089-8db0-d3461bbed9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ede806c-d2cf-4c46-a211-32d1573fcf03"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4f6eb9-76cf-4368-a46f-84f4be2bef9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700ed5c-b17b-44a6-a19c-5d7c9e773f44}" ma:internalName="TaxCatchAll" ma:showField="CatchAllData" ma:web="854f6eb9-76cf-4368-a46f-84f4be2bef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TaxCatchAll xmlns="854f6eb9-76cf-4368-a46f-84f4be2bef9a" xsi:nil="true"/>
    <lcf76f155ced4ddcb4097134ff3c332f xmlns="ac490600-4b8a-4089-8db0-d3461bbed9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1A43EAC-8CB6-46C8-B46B-F0D55FCBBA84}"/>
</file>

<file path=customXml/itemProps2.xml><?xml version="1.0" encoding="utf-8"?>
<ds:datastoreItem xmlns:ds="http://schemas.openxmlformats.org/officeDocument/2006/customXml" ds:itemID="{4FE36353-2D23-4413-BFF3-128FB6002D9C}">
  <ds:schemaRefs>
    <ds:schemaRef ds:uri="http://schemas.microsoft.com/sharepoint/v3/contenttype/forms"/>
  </ds:schemaRefs>
</ds:datastoreItem>
</file>

<file path=customXml/itemProps3.xml><?xml version="1.0" encoding="utf-8"?>
<ds:datastoreItem xmlns:ds="http://schemas.openxmlformats.org/officeDocument/2006/customXml" ds:itemID="{BBE680F6-EEBC-41A4-AEB5-0B773B5EACA2}">
  <ds:schemaRefs>
    <ds:schemaRef ds:uri="http://schemas.microsoft.com/office/2006/metadata/properties"/>
    <ds:schemaRef ds:uri="http://schemas.microsoft.com/office/2006/documentManagement/types"/>
    <ds:schemaRef ds:uri="http://purl.org/dc/dcmitype/"/>
    <ds:schemaRef ds:uri="e671dda1-c4dd-4158-a073-4aef9b50df6e"/>
    <ds:schemaRef ds:uri="http://schemas.microsoft.com/sharepoint/v3"/>
    <ds:schemaRef ds:uri="http://schemas.microsoft.com/office/infopath/2007/PartnerControls"/>
    <ds:schemaRef ds:uri="http://schemas.openxmlformats.org/package/2006/metadata/core-properties"/>
    <ds:schemaRef ds:uri="http://purl.org/dc/terms/"/>
    <ds:schemaRef ds:uri="http://purl.org/dc/elements/1.1/"/>
    <ds:schemaRef ds:uri="9bb15880-a89a-4599-bc05-3c1ac81ecb24"/>
    <ds:schemaRef ds:uri="http://www.w3.org/XML/1998/namespace"/>
  </ds:schemaRefs>
</ds:datastoreItem>
</file>

<file path=docMetadata/LabelInfo.xml><?xml version="1.0" encoding="utf-8"?>
<clbl:labelList xmlns:clbl="http://schemas.microsoft.com/office/2020/mipLabelMetadata">
  <clbl:label id="{c4ea03cb-2792-4bbc-b221-0721aa9d3290}" enabled="1" method="Privileged" siteId="{9ef58ab0-3510-4d99-8d3e-3c9e02ebab7f}"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Index Table of Contents</vt:lpstr>
      <vt:lpstr>Tariff Tables</vt:lpstr>
      <vt:lpstr>DSIM Cycle Tables</vt:lpstr>
      <vt:lpstr>PPC Cycle 4</vt:lpstr>
      <vt:lpstr>PCR Cycle 3</vt:lpstr>
      <vt:lpstr>PCR Cycle 4</vt:lpstr>
      <vt:lpstr>PTD Cycle 3</vt:lpstr>
      <vt:lpstr>PTD Cycle 4</vt:lpstr>
      <vt:lpstr>TDR Cycle 2</vt:lpstr>
      <vt:lpstr>TDR Cycle 3</vt:lpstr>
      <vt:lpstr>TDR Cycle 4</vt:lpstr>
      <vt:lpstr>EO Cycle 2</vt:lpstr>
      <vt:lpstr>EO Cycle 3</vt:lpstr>
      <vt:lpstr>EO Cycle 4</vt:lpstr>
      <vt:lpstr>EOR Cycle 2</vt:lpstr>
      <vt:lpstr>EOR Cycle 3</vt:lpstr>
      <vt:lpstr>OA Cycle 3</vt:lpstr>
      <vt:lpstr>OAR Cycle 3</vt:lpstr>
      <vt:lpstr>'PCR Cycle 3'!Print_Area</vt:lpstr>
      <vt:lpstr>'PCR Cycle 4'!Print_Area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Shauna Dempsey</cp:lastModifiedBy>
  <cp:lastPrinted>2019-05-23T21:26:27Z</cp:lastPrinted>
  <dcterms:created xsi:type="dcterms:W3CDTF">2013-08-12T19:20:10Z</dcterms:created>
  <dcterms:modified xsi:type="dcterms:W3CDTF">2025-11-24T15:31:53Z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0x010100683B6732D9B8AC45B92AC23C294CFAF4</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2022-11-08T16:29:14Z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636e1bc7-477d-40da-aa64-7b585cb78bc9</vt:lpwstr>
  </property>
  <property fmtid="{D5CDD505-2E9C-101B-9397-08002B2CF9AE}" pid="11" name="MSIP_Label_d275ac46-98b9-4d64-949f-e82ee8dc823c_ContentBits">
    <vt:lpwstr>3</vt:lpwstr>
  </property>
  <property fmtid="{D5CDD505-2E9C-101B-9397-08002B2CF9AE}" pid="12" name="Order">
    <vt:r8>8544200</vt:r8>
  </property>
  <property fmtid="{D5CDD505-2E9C-101B-9397-08002B2CF9AE}" pid="13" name="MediaServiceImageTags">
    <vt:lpwstr/>
  </property>
</Properties>
</file>