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codeName="ThisWorkbook" defaultThemeVersion="124226"/>
  <mc:AlternateContent xmlns:mc="http://schemas.openxmlformats.org/markup-compatibility/2006">
    <mc:Choice Requires="x15">
      <x15ac:absPath xmlns:x15ac="http://schemas.microsoft.com/office/spreadsheetml/2010/11/ac" url="https://gppower.sharepoint.com/sites/FinAcct/Shared Documents/NetworkDrives/Old Genactg shared/Migrated CorpAcctg/Energy Efficiency/MEEIA/Metro MEEIA DSIM RIDER/20260601 Filing/"/>
    </mc:Choice>
  </mc:AlternateContent>
  <xr:revisionPtr revIDLastSave="17" documentId="8_{B4DDDBA4-E30A-4E40-A7C8-BE6466A304C4}" xr6:coauthVersionLast="47" xr6:coauthVersionMax="47" xr10:uidLastSave="{439A5C3D-E12B-41E2-9AF9-EAB3364A5D1E}"/>
  <bookViews>
    <workbookView xWindow="-120" yWindow="-120" windowWidth="29040" windowHeight="15720" tabRatio="847" activeTab="1" xr2:uid="{00000000-000D-0000-FFFF-FFFF00000000}"/>
  </bookViews>
  <sheets>
    <sheet name="Index Table of Contents" sheetId="32" r:id="rId1"/>
    <sheet name="Tariff Tables" sheetId="5" r:id="rId2"/>
    <sheet name="DSIM Cycle Tables" sheetId="20" r:id="rId3"/>
    <sheet name="PPC Cycle 4" sheetId="39" r:id="rId4"/>
    <sheet name="PCR Cycle 3" sheetId="22" r:id="rId5"/>
    <sheet name="PCR Cycle 4" sheetId="36" r:id="rId6"/>
    <sheet name="PTD Cycle 3" sheetId="19" r:id="rId7"/>
    <sheet name="PTD Cycle 4" sheetId="38" r:id="rId8"/>
    <sheet name="TDR Cycle 3" sheetId="24" r:id="rId9"/>
    <sheet name="TDR Cycle 4" sheetId="42" r:id="rId10"/>
    <sheet name="EO Cycle 3" sheetId="28" r:id="rId11"/>
    <sheet name="EO Cycle 4" sheetId="40" r:id="rId12"/>
    <sheet name="EOR Cycle 3" sheetId="29" r:id="rId13"/>
    <sheet name="OA Cycle 3" sheetId="30" r:id="rId14"/>
    <sheet name="OAR Cycle 3" sheetId="31" r:id="rId15"/>
    <sheet name="OAR Cycle 4" sheetId="43"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xlnm._FilterDatabase" localSheetId="10" hidden="1">'EO Cycle 3'!$A$4:$H$204</definedName>
    <definedName name="_xlnm._FilterDatabase" localSheetId="11" hidden="1">'EO Cycle 4'!$A$4:$K$60</definedName>
    <definedName name="_xlnm._FilterDatabase" localSheetId="0" hidden="1">'Index Table of Contents'!$A$4:$E$69</definedName>
    <definedName name="_xlnm.Print_Area" localSheetId="4">'PCR Cycle 3'!$A$1:$O$71</definedName>
    <definedName name="_xlnm.Print_Area" localSheetId="5">'PCR Cycle 4'!$A$1:$O$71</definedName>
    <definedName name="ServClassMapping">#REF!</definedName>
    <definedName name="solver_adj" localSheetId="4" hidden="1">'PCR Cycle 3'!$F$51</definedName>
    <definedName name="solver_adj" localSheetId="5" hidden="1">'PCR Cycle 4'!$F$51</definedName>
    <definedName name="solver_adj" localSheetId="8" hidden="1">'TDR Cycle 3'!#REF!</definedName>
    <definedName name="solver_adj" localSheetId="9" hidden="1">'TDR Cycle 4'!#REF!</definedName>
    <definedName name="solver_cvg" localSheetId="4" hidden="1">0.0001</definedName>
    <definedName name="solver_cvg" localSheetId="5" hidden="1">0.0001</definedName>
    <definedName name="solver_cvg" localSheetId="8" hidden="1">0.0001</definedName>
    <definedName name="solver_cvg" localSheetId="9" hidden="1">0.0001</definedName>
    <definedName name="solver_drv" localSheetId="4" hidden="1">1</definedName>
    <definedName name="solver_drv" localSheetId="5" hidden="1">1</definedName>
    <definedName name="solver_drv" localSheetId="8" hidden="1">2</definedName>
    <definedName name="solver_drv" localSheetId="9" hidden="1">2</definedName>
    <definedName name="solver_eng" localSheetId="4" hidden="1">1</definedName>
    <definedName name="solver_eng" localSheetId="5" hidden="1">1</definedName>
    <definedName name="solver_eng" localSheetId="8" hidden="1">1</definedName>
    <definedName name="solver_eng" localSheetId="9" hidden="1">1</definedName>
    <definedName name="solver_est" localSheetId="4" hidden="1">1</definedName>
    <definedName name="solver_est" localSheetId="5" hidden="1">1</definedName>
    <definedName name="solver_est" localSheetId="8" hidden="1">1</definedName>
    <definedName name="solver_est" localSheetId="9" hidden="1">1</definedName>
    <definedName name="solver_itr" localSheetId="4" hidden="1">2147483647</definedName>
    <definedName name="solver_itr" localSheetId="5" hidden="1">2147483647</definedName>
    <definedName name="solver_itr" localSheetId="8" hidden="1">2147483647</definedName>
    <definedName name="solver_itr" localSheetId="9" hidden="1">2147483647</definedName>
    <definedName name="solver_mip" localSheetId="4" hidden="1">2147483647</definedName>
    <definedName name="solver_mip" localSheetId="5" hidden="1">2147483647</definedName>
    <definedName name="solver_mip" localSheetId="8" hidden="1">2147483647</definedName>
    <definedName name="solver_mip" localSheetId="9" hidden="1">2147483647</definedName>
    <definedName name="solver_mni" localSheetId="4" hidden="1">30</definedName>
    <definedName name="solver_mni" localSheetId="5" hidden="1">30</definedName>
    <definedName name="solver_mni" localSheetId="8" hidden="1">30</definedName>
    <definedName name="solver_mni" localSheetId="9" hidden="1">30</definedName>
    <definedName name="solver_mrt" localSheetId="4" hidden="1">0.075</definedName>
    <definedName name="solver_mrt" localSheetId="5" hidden="1">0.075</definedName>
    <definedName name="solver_mrt" localSheetId="8" hidden="1">0.075</definedName>
    <definedName name="solver_mrt" localSheetId="9" hidden="1">0.075</definedName>
    <definedName name="solver_msl" localSheetId="4" hidden="1">2</definedName>
    <definedName name="solver_msl" localSheetId="5" hidden="1">2</definedName>
    <definedName name="solver_msl" localSheetId="8" hidden="1">2</definedName>
    <definedName name="solver_msl" localSheetId="9" hidden="1">2</definedName>
    <definedName name="solver_neg" localSheetId="4" hidden="1">1</definedName>
    <definedName name="solver_neg" localSheetId="5" hidden="1">1</definedName>
    <definedName name="solver_neg" localSheetId="8" hidden="1">1</definedName>
    <definedName name="solver_neg" localSheetId="9" hidden="1">1</definedName>
    <definedName name="solver_nod" localSheetId="4" hidden="1">2147483647</definedName>
    <definedName name="solver_nod" localSheetId="5" hidden="1">2147483647</definedName>
    <definedName name="solver_nod" localSheetId="8" hidden="1">2147483647</definedName>
    <definedName name="solver_nod" localSheetId="9" hidden="1">2147483647</definedName>
    <definedName name="solver_num" localSheetId="4" hidden="1">0</definedName>
    <definedName name="solver_num" localSheetId="5" hidden="1">0</definedName>
    <definedName name="solver_num" localSheetId="8" hidden="1">0</definedName>
    <definedName name="solver_num" localSheetId="9" hidden="1">0</definedName>
    <definedName name="solver_nwt" localSheetId="4" hidden="1">1</definedName>
    <definedName name="solver_nwt" localSheetId="5" hidden="1">1</definedName>
    <definedName name="solver_nwt" localSheetId="8" hidden="1">1</definedName>
    <definedName name="solver_nwt" localSheetId="9" hidden="1">1</definedName>
    <definedName name="solver_opt" localSheetId="4" hidden="1">'PCR Cycle 3'!$F$59</definedName>
    <definedName name="solver_opt" localSheetId="5" hidden="1">'PCR Cycle 4'!$F$59</definedName>
    <definedName name="solver_opt" localSheetId="8" hidden="1">'TDR Cycle 3'!#REF!</definedName>
    <definedName name="solver_opt" localSheetId="9" hidden="1">'TDR Cycle 4'!#REF!</definedName>
    <definedName name="solver_pre" localSheetId="4" hidden="1">0.000001</definedName>
    <definedName name="solver_pre" localSheetId="5" hidden="1">0.000001</definedName>
    <definedName name="solver_pre" localSheetId="8" hidden="1">0.000001</definedName>
    <definedName name="solver_pre" localSheetId="9" hidden="1">0.000001</definedName>
    <definedName name="solver_rbv" localSheetId="4" hidden="1">1</definedName>
    <definedName name="solver_rbv" localSheetId="5" hidden="1">1</definedName>
    <definedName name="solver_rbv" localSheetId="8" hidden="1">2</definedName>
    <definedName name="solver_rbv" localSheetId="9" hidden="1">2</definedName>
    <definedName name="solver_rlx" localSheetId="4" hidden="1">2</definedName>
    <definedName name="solver_rlx" localSheetId="5" hidden="1">2</definedName>
    <definedName name="solver_rlx" localSheetId="8" hidden="1">2</definedName>
    <definedName name="solver_rlx" localSheetId="9" hidden="1">2</definedName>
    <definedName name="solver_rsd" localSheetId="4" hidden="1">0</definedName>
    <definedName name="solver_rsd" localSheetId="5" hidden="1">0</definedName>
    <definedName name="solver_rsd" localSheetId="8" hidden="1">0</definedName>
    <definedName name="solver_rsd" localSheetId="9" hidden="1">0</definedName>
    <definedName name="solver_scl" localSheetId="4" hidden="1">1</definedName>
    <definedName name="solver_scl" localSheetId="5" hidden="1">1</definedName>
    <definedName name="solver_scl" localSheetId="8" hidden="1">2</definedName>
    <definedName name="solver_scl" localSheetId="9" hidden="1">2</definedName>
    <definedName name="solver_sho" localSheetId="4" hidden="1">2</definedName>
    <definedName name="solver_sho" localSheetId="5" hidden="1">2</definedName>
    <definedName name="solver_sho" localSheetId="8" hidden="1">2</definedName>
    <definedName name="solver_sho" localSheetId="9" hidden="1">2</definedName>
    <definedName name="solver_ssz" localSheetId="4" hidden="1">100</definedName>
    <definedName name="solver_ssz" localSheetId="5" hidden="1">100</definedName>
    <definedName name="solver_ssz" localSheetId="8" hidden="1">100</definedName>
    <definedName name="solver_ssz" localSheetId="9" hidden="1">100</definedName>
    <definedName name="solver_tim" localSheetId="4" hidden="1">2147483647</definedName>
    <definedName name="solver_tim" localSheetId="5" hidden="1">2147483647</definedName>
    <definedName name="solver_tim" localSheetId="8" hidden="1">2147483647</definedName>
    <definedName name="solver_tim" localSheetId="9" hidden="1">2147483647</definedName>
    <definedName name="solver_tol" localSheetId="4" hidden="1">0.01</definedName>
    <definedName name="solver_tol" localSheetId="5" hidden="1">0.01</definedName>
    <definedName name="solver_tol" localSheetId="8" hidden="1">0.01</definedName>
    <definedName name="solver_tol" localSheetId="9" hidden="1">0.01</definedName>
    <definedName name="solver_typ" localSheetId="4" hidden="1">3</definedName>
    <definedName name="solver_typ" localSheetId="5" hidden="1">3</definedName>
    <definedName name="solver_typ" localSheetId="8" hidden="1">3</definedName>
    <definedName name="solver_typ" localSheetId="9" hidden="1">3</definedName>
    <definedName name="solver_val" localSheetId="4" hidden="1">0</definedName>
    <definedName name="solver_val" localSheetId="5" hidden="1">0</definedName>
    <definedName name="solver_val" localSheetId="8" hidden="1">23888.44</definedName>
    <definedName name="solver_val" localSheetId="9" hidden="1">23888.44</definedName>
    <definedName name="solver_ver" localSheetId="4" hidden="1">3</definedName>
    <definedName name="solver_ver" localSheetId="5" hidden="1">3</definedName>
    <definedName name="solver_ver" localSheetId="8" hidden="1">3</definedName>
    <definedName name="solver_ver" localSheetId="9"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7" i="5" l="1"/>
  <c r="Z16" i="5"/>
  <c r="Z14" i="5"/>
  <c r="AD24" i="5"/>
  <c r="X26" i="5"/>
  <c r="X25" i="5"/>
  <c r="X24" i="5"/>
  <c r="X23" i="5"/>
  <c r="AC23" i="5"/>
  <c r="M26" i="36"/>
  <c r="L26" i="36"/>
  <c r="K26" i="36"/>
  <c r="M25" i="36"/>
  <c r="L25" i="36"/>
  <c r="K25" i="36"/>
  <c r="M24" i="36"/>
  <c r="L24" i="36"/>
  <c r="K24" i="36"/>
  <c r="M23" i="36"/>
  <c r="L23" i="36"/>
  <c r="K23" i="36"/>
  <c r="M22" i="36"/>
  <c r="L22" i="36"/>
  <c r="K22" i="36"/>
  <c r="G8" i="5"/>
  <c r="G7" i="5"/>
  <c r="G6" i="5"/>
  <c r="G5" i="5"/>
  <c r="G4" i="5"/>
  <c r="G27" i="43" l="1"/>
  <c r="G26" i="43"/>
  <c r="G25" i="43"/>
  <c r="G24" i="43"/>
  <c r="G23" i="43"/>
  <c r="G27" i="31"/>
  <c r="G26" i="31"/>
  <c r="G25" i="31"/>
  <c r="G24" i="31"/>
  <c r="G23" i="31"/>
  <c r="B170" i="28" l="1"/>
  <c r="B169" i="28"/>
  <c r="B168" i="28"/>
  <c r="B167" i="28"/>
  <c r="B163" i="28"/>
  <c r="B86" i="28"/>
  <c r="B85" i="28"/>
  <c r="B84" i="28"/>
  <c r="B83" i="28"/>
  <c r="B79" i="28"/>
  <c r="B74" i="28"/>
  <c r="B73" i="28"/>
  <c r="B72" i="28"/>
  <c r="B71" i="28"/>
  <c r="B67" i="28"/>
  <c r="B19" i="28"/>
  <c r="B26" i="28"/>
  <c r="B25" i="28"/>
  <c r="B24" i="28"/>
  <c r="B23" i="28"/>
  <c r="E74" i="28"/>
  <c r="E73" i="28"/>
  <c r="E72" i="28"/>
  <c r="E71" i="28"/>
  <c r="E67" i="28"/>
  <c r="D74" i="28"/>
  <c r="D73" i="28"/>
  <c r="D72" i="28"/>
  <c r="D71" i="28"/>
  <c r="D67" i="28"/>
  <c r="C74" i="28"/>
  <c r="C73" i="28"/>
  <c r="C72" i="28"/>
  <c r="C71" i="28"/>
  <c r="C67" i="28"/>
  <c r="E62" i="28"/>
  <c r="E61" i="28"/>
  <c r="E60" i="28"/>
  <c r="E59" i="28"/>
  <c r="E55" i="28"/>
  <c r="E50" i="28"/>
  <c r="E49" i="28"/>
  <c r="E48" i="28"/>
  <c r="E47" i="28"/>
  <c r="E43" i="28"/>
  <c r="E38" i="28"/>
  <c r="E37" i="28"/>
  <c r="E36" i="28"/>
  <c r="E35" i="28"/>
  <c r="E31" i="28"/>
  <c r="E26" i="28"/>
  <c r="E25" i="28"/>
  <c r="E24" i="28"/>
  <c r="E23" i="28"/>
  <c r="E19" i="28"/>
  <c r="D62" i="28"/>
  <c r="D61" i="28"/>
  <c r="D60" i="28"/>
  <c r="D59" i="28"/>
  <c r="D55" i="28"/>
  <c r="D50" i="28"/>
  <c r="D49" i="28"/>
  <c r="D48" i="28"/>
  <c r="D47" i="28"/>
  <c r="D43" i="28"/>
  <c r="D38" i="28"/>
  <c r="D37" i="28"/>
  <c r="D36" i="28"/>
  <c r="D35" i="28"/>
  <c r="D31" i="28"/>
  <c r="D26" i="28"/>
  <c r="D25" i="28"/>
  <c r="D24" i="28"/>
  <c r="D23" i="28"/>
  <c r="D19" i="28"/>
  <c r="C62" i="28"/>
  <c r="C61" i="28"/>
  <c r="C60" i="28"/>
  <c r="C59" i="28"/>
  <c r="C55" i="28"/>
  <c r="C50" i="28"/>
  <c r="C49" i="28"/>
  <c r="C48" i="28"/>
  <c r="C47" i="28"/>
  <c r="C43" i="28"/>
  <c r="C38" i="28"/>
  <c r="C37" i="28"/>
  <c r="C36" i="28"/>
  <c r="C35" i="28"/>
  <c r="C31" i="28"/>
  <c r="C26" i="28"/>
  <c r="C25" i="28"/>
  <c r="C24" i="28"/>
  <c r="C23" i="28"/>
  <c r="C19" i="28"/>
  <c r="B182" i="28"/>
  <c r="B181" i="28"/>
  <c r="B180" i="28"/>
  <c r="B179" i="28"/>
  <c r="B175" i="28"/>
  <c r="H25" i="42" l="1"/>
  <c r="I25" i="42"/>
  <c r="J25" i="42"/>
  <c r="G26" i="42"/>
  <c r="I27" i="42"/>
  <c r="E25" i="42"/>
  <c r="G27" i="42"/>
  <c r="F27" i="42"/>
  <c r="J27" i="42"/>
  <c r="G25" i="42"/>
  <c r="H26" i="42"/>
  <c r="F34" i="42"/>
  <c r="F25" i="42"/>
  <c r="H27" i="42"/>
  <c r="E33" i="42"/>
  <c r="F32" i="42"/>
  <c r="J26" i="42"/>
  <c r="I32" i="42"/>
  <c r="H34" i="42"/>
  <c r="H33" i="42"/>
  <c r="E26" i="42"/>
  <c r="J33" i="42"/>
  <c r="F26" i="42"/>
  <c r="E32" i="42"/>
  <c r="I34" i="42"/>
  <c r="F33" i="42"/>
  <c r="I26" i="42"/>
  <c r="I33" i="42"/>
  <c r="E27" i="42"/>
  <c r="H32" i="42"/>
  <c r="E34" i="42"/>
  <c r="H23" i="42" l="1"/>
  <c r="J24" i="42"/>
  <c r="J34" i="42"/>
  <c r="J23" i="42"/>
  <c r="E24" i="42"/>
  <c r="G23" i="42"/>
  <c r="G24" i="42"/>
  <c r="F23" i="42"/>
  <c r="J32" i="42"/>
  <c r="I23" i="42"/>
  <c r="I24" i="42"/>
  <c r="F24" i="42"/>
  <c r="H24" i="42"/>
  <c r="E23" i="42" l="1"/>
  <c r="H30" i="42"/>
  <c r="E30" i="42"/>
  <c r="F30" i="42" l="1"/>
  <c r="J30" i="42"/>
  <c r="I31" i="42"/>
  <c r="I30" i="42"/>
  <c r="F31" i="42"/>
  <c r="G32" i="42"/>
  <c r="G33" i="42"/>
  <c r="G34" i="42"/>
  <c r="G30" i="42"/>
  <c r="G31" i="42" l="1"/>
  <c r="H31" i="42"/>
  <c r="E31" i="42"/>
  <c r="J31" i="42"/>
  <c r="K25" i="42" l="1"/>
  <c r="K24" i="42"/>
  <c r="K27" i="42"/>
  <c r="L27" i="42" l="1"/>
  <c r="L24" i="42"/>
  <c r="L25" i="42"/>
  <c r="L31" i="42" l="1"/>
  <c r="K26" i="42"/>
  <c r="L34" i="42"/>
  <c r="L32" i="42"/>
  <c r="B7" i="38" l="1"/>
  <c r="B10" i="38"/>
  <c r="K23" i="42"/>
  <c r="L26" i="42"/>
  <c r="K31" i="42"/>
  <c r="K34" i="42"/>
  <c r="K32" i="42"/>
  <c r="B8" i="38" l="1"/>
  <c r="L33" i="42"/>
  <c r="K30" i="42"/>
  <c r="D10" i="38" l="1"/>
  <c r="B9" i="38"/>
  <c r="L23" i="42"/>
  <c r="D7" i="38"/>
  <c r="K33" i="42"/>
  <c r="D8" i="38" l="1"/>
  <c r="B6" i="38" l="1"/>
  <c r="L30" i="42"/>
  <c r="D9" i="38"/>
  <c r="D6" i="38" l="1"/>
  <c r="G29" i="31" l="1"/>
  <c r="H29" i="31"/>
  <c r="E146" i="28" l="1"/>
  <c r="E145" i="28"/>
  <c r="E144" i="28"/>
  <c r="E143" i="28"/>
  <c r="E139" i="28"/>
  <c r="E134" i="28"/>
  <c r="E133" i="28"/>
  <c r="E132" i="28"/>
  <c r="E131" i="28"/>
  <c r="E127" i="28"/>
  <c r="E122" i="28"/>
  <c r="E121" i="28"/>
  <c r="E120" i="28"/>
  <c r="E119" i="28"/>
  <c r="E115" i="28"/>
  <c r="E110" i="28"/>
  <c r="E109" i="28"/>
  <c r="E108" i="28"/>
  <c r="E107" i="28"/>
  <c r="E103" i="28"/>
  <c r="E98" i="28"/>
  <c r="E97" i="28"/>
  <c r="E96" i="28"/>
  <c r="E95" i="28"/>
  <c r="E91" i="28"/>
  <c r="E86" i="28"/>
  <c r="E85" i="28"/>
  <c r="E84" i="28"/>
  <c r="E83" i="28"/>
  <c r="E79" i="28"/>
  <c r="D134" i="28"/>
  <c r="D133" i="28"/>
  <c r="D132" i="28"/>
  <c r="D131" i="28"/>
  <c r="D127" i="28"/>
  <c r="D122" i="28"/>
  <c r="D121" i="28"/>
  <c r="D120" i="28"/>
  <c r="D119" i="28"/>
  <c r="D115" i="28"/>
  <c r="D110" i="28"/>
  <c r="D109" i="28"/>
  <c r="D108" i="28"/>
  <c r="D107" i="28"/>
  <c r="D103" i="28"/>
  <c r="D98" i="28"/>
  <c r="D97" i="28"/>
  <c r="D96" i="28"/>
  <c r="D95" i="28"/>
  <c r="D91" i="28"/>
  <c r="D86" i="28"/>
  <c r="D85" i="28"/>
  <c r="D84" i="28"/>
  <c r="D83" i="28"/>
  <c r="D79" i="28"/>
  <c r="C134" i="28"/>
  <c r="C133" i="28"/>
  <c r="C132" i="28"/>
  <c r="C131" i="28"/>
  <c r="C127" i="28"/>
  <c r="C122" i="28"/>
  <c r="C121" i="28"/>
  <c r="C120" i="28"/>
  <c r="C119" i="28"/>
  <c r="C115" i="28"/>
  <c r="C110" i="28"/>
  <c r="C109" i="28"/>
  <c r="C108" i="28"/>
  <c r="C107" i="28"/>
  <c r="C103" i="28"/>
  <c r="C98" i="28"/>
  <c r="C97" i="28"/>
  <c r="C96" i="28"/>
  <c r="C95" i="28"/>
  <c r="C91" i="28"/>
  <c r="C86" i="28"/>
  <c r="C85" i="28"/>
  <c r="C84" i="28"/>
  <c r="C83" i="28"/>
  <c r="C79" i="28"/>
  <c r="A2" i="20"/>
  <c r="I35" i="36" l="1"/>
  <c r="H35" i="36"/>
  <c r="F35" i="36"/>
  <c r="L19" i="36"/>
  <c r="K19" i="36"/>
  <c r="L18" i="36"/>
  <c r="K18" i="36"/>
  <c r="L17" i="36"/>
  <c r="K17" i="36"/>
  <c r="L16" i="36"/>
  <c r="K16" i="36"/>
  <c r="L15" i="36"/>
  <c r="K15" i="36"/>
  <c r="I35" i="22"/>
  <c r="H35" i="22"/>
  <c r="G35" i="22"/>
  <c r="E35" i="22"/>
  <c r="J33" i="22"/>
  <c r="J32" i="22"/>
  <c r="J31" i="22"/>
  <c r="J30" i="22"/>
  <c r="J29" i="22"/>
  <c r="I33" i="22"/>
  <c r="I32" i="22"/>
  <c r="I31" i="22"/>
  <c r="I30" i="22"/>
  <c r="I29" i="22"/>
  <c r="H33" i="22"/>
  <c r="H32" i="22"/>
  <c r="H31" i="22"/>
  <c r="H30" i="22"/>
  <c r="H29" i="22"/>
  <c r="G33" i="22"/>
  <c r="G32" i="22"/>
  <c r="G31" i="22"/>
  <c r="G30" i="22"/>
  <c r="G29" i="22"/>
  <c r="F33" i="22"/>
  <c r="F32" i="22"/>
  <c r="F31" i="22"/>
  <c r="F30" i="22"/>
  <c r="F29" i="22"/>
  <c r="E30" i="22"/>
  <c r="E31" i="22"/>
  <c r="E32" i="22"/>
  <c r="E33" i="22"/>
  <c r="E29" i="22"/>
  <c r="F15" i="22" l="1"/>
  <c r="F16" i="22"/>
  <c r="F18" i="22" l="1"/>
  <c r="F17" i="22"/>
  <c r="F19" i="22" l="1"/>
  <c r="J36" i="24" l="1"/>
  <c r="I36" i="24"/>
  <c r="H36" i="24"/>
  <c r="G36" i="24"/>
  <c r="F36" i="24"/>
  <c r="E36" i="24"/>
  <c r="E8" i="19" l="1"/>
  <c r="D10" i="19" l="1"/>
  <c r="D9" i="19"/>
  <c r="D8" i="19"/>
  <c r="E10" i="19"/>
  <c r="E9" i="19"/>
  <c r="D7" i="19" l="1"/>
  <c r="E7" i="19"/>
  <c r="E6" i="19"/>
  <c r="D6" i="19"/>
  <c r="E27" i="24" l="1"/>
  <c r="E25" i="24"/>
  <c r="E26" i="24"/>
  <c r="E23" i="24"/>
  <c r="E24" i="24"/>
  <c r="E32" i="24" l="1"/>
  <c r="E34" i="24"/>
  <c r="F23" i="24"/>
  <c r="F25" i="24"/>
  <c r="F27" i="24"/>
  <c r="F26" i="24"/>
  <c r="F24" i="24"/>
  <c r="G23" i="24" l="1"/>
  <c r="G25" i="24"/>
  <c r="G27" i="24"/>
  <c r="G26" i="24"/>
  <c r="G24" i="24"/>
  <c r="E30" i="24" l="1"/>
  <c r="E31" i="24"/>
  <c r="E33" i="24"/>
  <c r="H26" i="24"/>
  <c r="H23" i="24"/>
  <c r="H25" i="24"/>
  <c r="H27" i="24"/>
  <c r="G30" i="24"/>
  <c r="H24" i="24"/>
  <c r="G34" i="24" l="1"/>
  <c r="G33" i="24"/>
  <c r="G32" i="24"/>
  <c r="I26" i="24"/>
  <c r="I23" i="24"/>
  <c r="I27" i="24"/>
  <c r="I25" i="24"/>
  <c r="I24" i="24"/>
  <c r="H32" i="24" l="1"/>
  <c r="H33" i="24"/>
  <c r="H34" i="24"/>
  <c r="J26" i="24"/>
  <c r="J25" i="24"/>
  <c r="J27" i="24"/>
  <c r="J23" i="24"/>
  <c r="I30" i="24"/>
  <c r="H31" i="24"/>
  <c r="J24" i="24"/>
  <c r="G31" i="24" l="1"/>
  <c r="I34" i="24"/>
  <c r="I33" i="24"/>
  <c r="I32" i="24"/>
  <c r="K25" i="24"/>
  <c r="K26" i="24"/>
  <c r="K27" i="24"/>
  <c r="K23" i="24"/>
  <c r="K24" i="24"/>
  <c r="H30" i="24" l="1"/>
  <c r="J33" i="24"/>
  <c r="J32" i="24"/>
  <c r="J30" i="24"/>
  <c r="J34" i="24"/>
  <c r="K32" i="24"/>
  <c r="L25" i="24"/>
  <c r="L26" i="24"/>
  <c r="L27" i="24"/>
  <c r="L23" i="24"/>
  <c r="L24" i="24"/>
  <c r="I31" i="24" l="1"/>
  <c r="K33" i="24"/>
  <c r="K30" i="24"/>
  <c r="L34" i="24"/>
  <c r="L30" i="24"/>
  <c r="J31" i="24" l="1"/>
  <c r="K31" i="24"/>
  <c r="L32" i="24"/>
  <c r="K34" i="24"/>
  <c r="L31" i="24"/>
  <c r="L33" i="24" l="1"/>
  <c r="B9" i="19" l="1"/>
  <c r="B6" i="19"/>
  <c r="B8" i="19" l="1"/>
  <c r="B10" i="19"/>
  <c r="F10" i="19" l="1"/>
  <c r="F6" i="19"/>
  <c r="F8" i="19" l="1"/>
  <c r="F9" i="19"/>
  <c r="B7" i="19"/>
  <c r="F7" i="19"/>
  <c r="F33" i="24" l="1"/>
  <c r="F34" i="24"/>
  <c r="F30" i="24" l="1"/>
  <c r="F32" i="24"/>
  <c r="F31" i="24" l="1"/>
  <c r="J20" i="24" l="1"/>
  <c r="J19" i="24"/>
  <c r="J18" i="24"/>
  <c r="J17" i="24"/>
  <c r="J16" i="24"/>
  <c r="I20" i="24"/>
  <c r="I19" i="24"/>
  <c r="I18" i="24"/>
  <c r="I17" i="24"/>
  <c r="I16" i="24"/>
  <c r="H20" i="24"/>
  <c r="H19" i="24"/>
  <c r="H18" i="24"/>
  <c r="H17" i="24"/>
  <c r="H16" i="24"/>
  <c r="G20" i="24"/>
  <c r="G19" i="24"/>
  <c r="G18" i="24"/>
  <c r="G17" i="24"/>
  <c r="G16" i="24"/>
  <c r="F20" i="24"/>
  <c r="F19" i="24"/>
  <c r="F18" i="24"/>
  <c r="F17" i="24"/>
  <c r="F16" i="24"/>
  <c r="E17" i="24"/>
  <c r="E18" i="24"/>
  <c r="E19" i="24"/>
  <c r="E20" i="24"/>
  <c r="E16" i="24"/>
  <c r="D146" i="28"/>
  <c r="D145" i="28"/>
  <c r="D144" i="28"/>
  <c r="D143" i="28"/>
  <c r="D139" i="28"/>
  <c r="C146" i="28"/>
  <c r="C145" i="28"/>
  <c r="C144" i="28"/>
  <c r="C143" i="28"/>
  <c r="C139" i="28"/>
  <c r="B187" i="28" l="1"/>
  <c r="B194" i="28" l="1"/>
  <c r="B193" i="28"/>
  <c r="B192" i="28"/>
  <c r="B191" i="28"/>
  <c r="J29" i="29"/>
  <c r="G29" i="29"/>
  <c r="F29" i="29"/>
  <c r="E29" i="29"/>
  <c r="F20" i="29" l="1"/>
  <c r="F19" i="29"/>
  <c r="F18" i="29"/>
  <c r="F17" i="29"/>
  <c r="F16" i="29"/>
  <c r="G20" i="29"/>
  <c r="G19" i="29"/>
  <c r="G18" i="29"/>
  <c r="G17" i="29"/>
  <c r="G16" i="29"/>
  <c r="H20" i="29"/>
  <c r="H19" i="29"/>
  <c r="H18" i="29"/>
  <c r="H17" i="29"/>
  <c r="H16" i="29"/>
  <c r="I20" i="29"/>
  <c r="I19" i="29"/>
  <c r="I18" i="29"/>
  <c r="I17" i="29"/>
  <c r="I16" i="29"/>
  <c r="J20" i="29"/>
  <c r="J19" i="29"/>
  <c r="J18" i="29"/>
  <c r="J17" i="29"/>
  <c r="J16" i="29"/>
  <c r="E17" i="29"/>
  <c r="E18" i="29"/>
  <c r="E19" i="29"/>
  <c r="E20" i="29"/>
  <c r="E16" i="29"/>
  <c r="E29" i="31"/>
  <c r="D29" i="31"/>
  <c r="O13" i="31"/>
  <c r="O27" i="31"/>
  <c r="O26" i="31"/>
  <c r="O25" i="31"/>
  <c r="O24" i="31"/>
  <c r="O23" i="31"/>
  <c r="I20" i="31" l="1"/>
  <c r="I19" i="31"/>
  <c r="I18" i="31"/>
  <c r="I17" i="31"/>
  <c r="I16" i="31"/>
  <c r="H20" i="31"/>
  <c r="H19" i="31"/>
  <c r="H18" i="31"/>
  <c r="H17" i="31"/>
  <c r="H16" i="31"/>
  <c r="G20" i="31"/>
  <c r="G19" i="31"/>
  <c r="G18" i="31"/>
  <c r="G17" i="31"/>
  <c r="G16" i="31"/>
  <c r="F20" i="31"/>
  <c r="F19" i="31"/>
  <c r="F18" i="31"/>
  <c r="F17" i="31"/>
  <c r="F16" i="31"/>
  <c r="E20" i="31"/>
  <c r="E19" i="31"/>
  <c r="E18" i="31"/>
  <c r="E17" i="31"/>
  <c r="E16" i="31"/>
  <c r="D17" i="31"/>
  <c r="D18" i="31"/>
  <c r="D19" i="31"/>
  <c r="D20" i="31"/>
  <c r="D16" i="31"/>
  <c r="I19" i="36" l="1"/>
  <c r="H19" i="36"/>
  <c r="G19" i="36"/>
  <c r="F19" i="36"/>
  <c r="E19" i="36"/>
  <c r="I18" i="36"/>
  <c r="H18" i="36"/>
  <c r="G18" i="36"/>
  <c r="F18" i="36"/>
  <c r="E18" i="36"/>
  <c r="I17" i="36"/>
  <c r="H17" i="36"/>
  <c r="G17" i="36"/>
  <c r="F17" i="36"/>
  <c r="E17" i="36"/>
  <c r="I16" i="36"/>
  <c r="H16" i="36"/>
  <c r="G16" i="36"/>
  <c r="F16" i="36"/>
  <c r="E16" i="36"/>
  <c r="I15" i="36"/>
  <c r="H15" i="36"/>
  <c r="G15" i="36"/>
  <c r="J17" i="36" l="1"/>
  <c r="J16" i="36"/>
  <c r="J18" i="36"/>
  <c r="J15" i="36" l="1"/>
  <c r="J19" i="36" l="1"/>
  <c r="F15" i="36" l="1"/>
  <c r="E15" i="36"/>
  <c r="J33" i="36" l="1"/>
  <c r="J32" i="36"/>
  <c r="J31" i="36"/>
  <c r="J30" i="36"/>
  <c r="J29" i="36"/>
  <c r="I33" i="36"/>
  <c r="I32" i="36"/>
  <c r="I31" i="36"/>
  <c r="I30" i="36"/>
  <c r="I29" i="36"/>
  <c r="H33" i="36"/>
  <c r="H32" i="36"/>
  <c r="H31" i="36"/>
  <c r="H30" i="36"/>
  <c r="H29" i="36"/>
  <c r="G33" i="36"/>
  <c r="G32" i="36"/>
  <c r="G31" i="36"/>
  <c r="G30" i="36"/>
  <c r="G29" i="36"/>
  <c r="F33" i="36"/>
  <c r="F32" i="36"/>
  <c r="F31" i="36"/>
  <c r="F30" i="36"/>
  <c r="F29" i="36"/>
  <c r="E33" i="36"/>
  <c r="E32" i="36"/>
  <c r="E31" i="36"/>
  <c r="E30" i="36"/>
  <c r="E29" i="36"/>
  <c r="J20" i="42" l="1"/>
  <c r="J19" i="42"/>
  <c r="J18" i="42"/>
  <c r="J17" i="42"/>
  <c r="J16" i="42"/>
  <c r="I20" i="42"/>
  <c r="I19" i="42"/>
  <c r="I18" i="42"/>
  <c r="I17" i="42"/>
  <c r="I16" i="42"/>
  <c r="H20" i="42"/>
  <c r="H19" i="42"/>
  <c r="H18" i="42"/>
  <c r="H17" i="42"/>
  <c r="H16" i="42"/>
  <c r="G20" i="42"/>
  <c r="G19" i="42"/>
  <c r="G18" i="42"/>
  <c r="G17" i="42"/>
  <c r="G16" i="42"/>
  <c r="F20" i="42"/>
  <c r="F19" i="42"/>
  <c r="F18" i="42"/>
  <c r="F17" i="42"/>
  <c r="F16" i="42"/>
  <c r="E17" i="42"/>
  <c r="E18" i="42"/>
  <c r="E19" i="42"/>
  <c r="E20" i="42"/>
  <c r="E16" i="42"/>
  <c r="F26" i="36" l="1"/>
  <c r="F25" i="36"/>
  <c r="F24" i="36"/>
  <c r="F23" i="36"/>
  <c r="F22" i="36"/>
  <c r="G26" i="36"/>
  <c r="G25" i="36"/>
  <c r="G24" i="36"/>
  <c r="G23" i="36"/>
  <c r="G22" i="36"/>
  <c r="H26" i="36"/>
  <c r="H25" i="36"/>
  <c r="H24" i="36"/>
  <c r="H23" i="36"/>
  <c r="H22" i="36"/>
  <c r="I26" i="36"/>
  <c r="I25" i="36"/>
  <c r="I24" i="36"/>
  <c r="I23" i="36"/>
  <c r="I22" i="36"/>
  <c r="J26" i="36"/>
  <c r="J25" i="36"/>
  <c r="J24" i="36"/>
  <c r="J23" i="36"/>
  <c r="J22" i="36"/>
  <c r="E23" i="36"/>
  <c r="E24" i="36"/>
  <c r="E25" i="36"/>
  <c r="E26" i="36"/>
  <c r="E22" i="36"/>
  <c r="E51" i="22" l="1"/>
  <c r="D20" i="43"/>
  <c r="D19" i="43"/>
  <c r="D18" i="43"/>
  <c r="D17" i="43"/>
  <c r="D16" i="43"/>
  <c r="B26" i="40"/>
  <c r="B25" i="40"/>
  <c r="B24" i="40"/>
  <c r="B23" i="40"/>
  <c r="B19" i="40"/>
  <c r="I20" i="43" l="1"/>
  <c r="I19" i="43"/>
  <c r="I18" i="43"/>
  <c r="I17" i="43"/>
  <c r="I16" i="43"/>
  <c r="H20" i="43"/>
  <c r="H19" i="43"/>
  <c r="H18" i="43"/>
  <c r="H17" i="43"/>
  <c r="H16" i="43"/>
  <c r="G20" i="43"/>
  <c r="G19" i="43"/>
  <c r="G18" i="43"/>
  <c r="G17" i="43"/>
  <c r="G16" i="43"/>
  <c r="F20" i="43"/>
  <c r="F19" i="43"/>
  <c r="F18" i="43"/>
  <c r="F17" i="43"/>
  <c r="F16" i="43"/>
  <c r="E20" i="43"/>
  <c r="E19" i="43"/>
  <c r="E18" i="43"/>
  <c r="E17" i="43"/>
  <c r="E16" i="43"/>
  <c r="J51" i="22"/>
  <c r="I51" i="22"/>
  <c r="H51" i="22"/>
  <c r="G51" i="22"/>
  <c r="F51" i="22"/>
  <c r="L17" i="43" l="1"/>
  <c r="L33" i="43" s="1"/>
  <c r="K16" i="43"/>
  <c r="K32" i="43" s="1"/>
  <c r="B55" i="43"/>
  <c r="C55" i="43" s="1"/>
  <c r="I45" i="43"/>
  <c r="H45" i="43"/>
  <c r="G45" i="43"/>
  <c r="F45" i="43"/>
  <c r="E45" i="43"/>
  <c r="D45" i="43"/>
  <c r="I36" i="43"/>
  <c r="H36" i="43"/>
  <c r="G36" i="43"/>
  <c r="F36" i="43"/>
  <c r="E36" i="43"/>
  <c r="D36" i="43"/>
  <c r="C36" i="43"/>
  <c r="C43" i="43" s="1"/>
  <c r="C35" i="43"/>
  <c r="C42" i="43" s="1"/>
  <c r="H34" i="43"/>
  <c r="G34" i="43"/>
  <c r="F34" i="43"/>
  <c r="E34" i="43"/>
  <c r="D34" i="43"/>
  <c r="C34" i="43"/>
  <c r="C41" i="43" s="1"/>
  <c r="C33" i="43"/>
  <c r="C40" i="43" s="1"/>
  <c r="D32" i="43"/>
  <c r="C32" i="43"/>
  <c r="C39" i="43" s="1"/>
  <c r="L20" i="43"/>
  <c r="L36" i="43" s="1"/>
  <c r="K20" i="43"/>
  <c r="K36" i="43" s="1"/>
  <c r="J20" i="43"/>
  <c r="L19" i="43"/>
  <c r="L35" i="43" s="1"/>
  <c r="K19" i="43"/>
  <c r="K35" i="43" s="1"/>
  <c r="J19" i="43"/>
  <c r="J35" i="43" s="1"/>
  <c r="I35" i="43"/>
  <c r="H35" i="43"/>
  <c r="G35" i="43"/>
  <c r="F35" i="43"/>
  <c r="E35" i="43"/>
  <c r="D35" i="43"/>
  <c r="L18" i="43"/>
  <c r="L34" i="43" s="1"/>
  <c r="K18" i="43"/>
  <c r="K34" i="43" s="1"/>
  <c r="J18" i="43"/>
  <c r="J34" i="43" s="1"/>
  <c r="I34" i="43"/>
  <c r="I33" i="43"/>
  <c r="H33" i="43"/>
  <c r="G33" i="43"/>
  <c r="F33" i="43"/>
  <c r="E33" i="43"/>
  <c r="D33" i="43"/>
  <c r="J16" i="43"/>
  <c r="J32" i="43" s="1"/>
  <c r="I32" i="43"/>
  <c r="H32" i="43"/>
  <c r="G32" i="43"/>
  <c r="F32" i="43"/>
  <c r="K13" i="43"/>
  <c r="J13" i="43"/>
  <c r="I13" i="43"/>
  <c r="H13" i="43"/>
  <c r="G13" i="43"/>
  <c r="F13" i="43"/>
  <c r="E13" i="43"/>
  <c r="D13" i="43"/>
  <c r="L12" i="43"/>
  <c r="K12" i="43"/>
  <c r="J12" i="43"/>
  <c r="I12" i="43"/>
  <c r="H12" i="43"/>
  <c r="G12" i="43"/>
  <c r="F12" i="43"/>
  <c r="E12" i="43"/>
  <c r="D12" i="43"/>
  <c r="C11" i="43"/>
  <c r="B11" i="43"/>
  <c r="G8" i="43"/>
  <c r="E8" i="43"/>
  <c r="G7" i="43"/>
  <c r="E7" i="43"/>
  <c r="G6" i="43"/>
  <c r="E6" i="43"/>
  <c r="G5" i="43"/>
  <c r="E5" i="43"/>
  <c r="G4" i="43"/>
  <c r="E4" i="43"/>
  <c r="A1" i="43"/>
  <c r="E195" i="28"/>
  <c r="D195" i="28"/>
  <c r="D188" i="28" s="1"/>
  <c r="D189" i="28" s="1"/>
  <c r="C195" i="28"/>
  <c r="F194" i="28"/>
  <c r="F193" i="28"/>
  <c r="F191" i="28"/>
  <c r="E188" i="28"/>
  <c r="E189" i="28" s="1"/>
  <c r="C188" i="28"/>
  <c r="C189" i="28" s="1"/>
  <c r="F187" i="28"/>
  <c r="B147" i="28"/>
  <c r="F146" i="28"/>
  <c r="F144" i="28"/>
  <c r="B140" i="28"/>
  <c r="B141" i="28" s="1"/>
  <c r="F139" i="28"/>
  <c r="B158" i="28"/>
  <c r="B157" i="28"/>
  <c r="B156" i="28"/>
  <c r="B155" i="28"/>
  <c r="B151" i="28"/>
  <c r="L16" i="43" l="1"/>
  <c r="L32" i="43" s="1"/>
  <c r="J17" i="43"/>
  <c r="J33" i="43" s="1"/>
  <c r="G193" i="28"/>
  <c r="G194" i="28"/>
  <c r="G146" i="28"/>
  <c r="G144" i="28"/>
  <c r="K17" i="43"/>
  <c r="K33" i="43" s="1"/>
  <c r="B195" i="28"/>
  <c r="F192" i="28"/>
  <c r="D8" i="43"/>
  <c r="F8" i="43" s="1"/>
  <c r="J36" i="43"/>
  <c r="D6" i="43"/>
  <c r="F6" i="43" s="1"/>
  <c r="D4" i="43"/>
  <c r="F4" i="43" s="1"/>
  <c r="D7" i="43"/>
  <c r="F7" i="43" s="1"/>
  <c r="G9" i="43"/>
  <c r="D40" i="43"/>
  <c r="D48" i="43"/>
  <c r="D39" i="43"/>
  <c r="D47" i="43"/>
  <c r="D42" i="43"/>
  <c r="D50" i="43"/>
  <c r="D41" i="43"/>
  <c r="D49" i="43"/>
  <c r="D51" i="43"/>
  <c r="D43" i="43"/>
  <c r="E32" i="43"/>
  <c r="E9" i="43"/>
  <c r="G187" i="28"/>
  <c r="G191" i="28"/>
  <c r="E147" i="28"/>
  <c r="F143" i="28"/>
  <c r="G143" i="28" s="1"/>
  <c r="D147" i="28"/>
  <c r="C147" i="28"/>
  <c r="C140" i="28" s="1"/>
  <c r="C141" i="28" s="1"/>
  <c r="G139" i="28"/>
  <c r="F145" i="28"/>
  <c r="K30" i="36"/>
  <c r="L30" i="36"/>
  <c r="M30" i="36"/>
  <c r="K31" i="36"/>
  <c r="L31" i="36"/>
  <c r="M31" i="36"/>
  <c r="K32" i="36"/>
  <c r="L32" i="36"/>
  <c r="M32" i="36"/>
  <c r="K33" i="36"/>
  <c r="L33" i="36"/>
  <c r="M33" i="36"/>
  <c r="D5" i="43" l="1"/>
  <c r="D9" i="43" s="1"/>
  <c r="G192" i="28"/>
  <c r="B188" i="28"/>
  <c r="G145" i="28"/>
  <c r="G147" i="28" s="1"/>
  <c r="G140" i="28" s="1"/>
  <c r="G141" i="28" s="1"/>
  <c r="E140" i="28"/>
  <c r="D140" i="28"/>
  <c r="F140" i="28" s="1"/>
  <c r="F141" i="28" s="1"/>
  <c r="G195" i="28"/>
  <c r="G188" i="28" s="1"/>
  <c r="G189" i="28" s="1"/>
  <c r="F195" i="28"/>
  <c r="F5" i="43"/>
  <c r="F9" i="43" s="1"/>
  <c r="E43" i="43"/>
  <c r="E51" i="43"/>
  <c r="D55" i="43"/>
  <c r="E49" i="43"/>
  <c r="E41" i="43"/>
  <c r="E42" i="43"/>
  <c r="E50" i="43"/>
  <c r="E47" i="43"/>
  <c r="E39" i="43"/>
  <c r="D53" i="43"/>
  <c r="E48" i="43"/>
  <c r="E40" i="43"/>
  <c r="F147" i="28"/>
  <c r="F188" i="28" l="1"/>
  <c r="F189" i="28" s="1"/>
  <c r="B189" i="28"/>
  <c r="E141" i="28"/>
  <c r="D141" i="28"/>
  <c r="F48" i="43"/>
  <c r="F40" i="43"/>
  <c r="F39" i="43"/>
  <c r="F47" i="43"/>
  <c r="E53" i="43"/>
  <c r="F50" i="43"/>
  <c r="F42" i="43"/>
  <c r="F41" i="43"/>
  <c r="F49" i="43"/>
  <c r="D52" i="43"/>
  <c r="E55" i="43"/>
  <c r="F51" i="43"/>
  <c r="F43" i="43"/>
  <c r="F53" i="43" l="1"/>
  <c r="G40" i="43"/>
  <c r="G48" i="43"/>
  <c r="G39" i="43"/>
  <c r="G47" i="43"/>
  <c r="G43" i="43"/>
  <c r="G51" i="43"/>
  <c r="E52" i="43"/>
  <c r="F55" i="43"/>
  <c r="G41" i="43"/>
  <c r="G49" i="43"/>
  <c r="G42" i="43"/>
  <c r="G50" i="43"/>
  <c r="H42" i="43" l="1"/>
  <c r="H50" i="43"/>
  <c r="H41" i="43"/>
  <c r="H49" i="43"/>
  <c r="G53" i="43"/>
  <c r="H48" i="43"/>
  <c r="H40" i="43"/>
  <c r="F52" i="43"/>
  <c r="G55" i="43"/>
  <c r="H43" i="43"/>
  <c r="H51" i="43"/>
  <c r="H47" i="43"/>
  <c r="H39" i="43"/>
  <c r="H53" i="43" l="1"/>
  <c r="I51" i="43"/>
  <c r="I43" i="43"/>
  <c r="G52" i="43"/>
  <c r="H55" i="43"/>
  <c r="I48" i="43"/>
  <c r="I40" i="43"/>
  <c r="I49" i="43"/>
  <c r="I41" i="43"/>
  <c r="I39" i="43"/>
  <c r="I47" i="43"/>
  <c r="I50" i="43"/>
  <c r="I42" i="43"/>
  <c r="I53" i="43" l="1"/>
  <c r="J41" i="43"/>
  <c r="H52" i="43"/>
  <c r="I55" i="43"/>
  <c r="J42" i="43"/>
  <c r="J39" i="43"/>
  <c r="J40" i="43"/>
  <c r="J43" i="43"/>
  <c r="B135" i="28"/>
  <c r="I52" i="43" l="1"/>
  <c r="B128" i="28"/>
  <c r="C135" i="28"/>
  <c r="F132" i="28"/>
  <c r="F134" i="28"/>
  <c r="G134" i="28" l="1"/>
  <c r="G132" i="28"/>
  <c r="C128" i="28"/>
  <c r="B129" i="28"/>
  <c r="A1" i="32" l="1"/>
  <c r="A2" i="40" l="1"/>
  <c r="E183" i="28" l="1"/>
  <c r="D183" i="28"/>
  <c r="C183" i="28"/>
  <c r="C176" i="28" s="1"/>
  <c r="F182" i="28"/>
  <c r="G182" i="28" s="1"/>
  <c r="F181" i="28"/>
  <c r="G181" i="28" s="1"/>
  <c r="F180" i="28"/>
  <c r="G180" i="28" s="1"/>
  <c r="F179" i="28"/>
  <c r="G179" i="28" s="1"/>
  <c r="C177" i="28"/>
  <c r="F175" i="28" l="1"/>
  <c r="G175" i="28" s="1"/>
  <c r="D176" i="28"/>
  <c r="D177" i="28" s="1"/>
  <c r="E176" i="28"/>
  <c r="E177" i="28" s="1"/>
  <c r="F183" i="28"/>
  <c r="G183" i="28"/>
  <c r="G176" i="28" s="1"/>
  <c r="B183" i="28"/>
  <c r="B176" i="28" l="1"/>
  <c r="B177" i="28"/>
  <c r="F176" i="28" l="1"/>
  <c r="G177" i="28"/>
  <c r="F177" i="28"/>
  <c r="C7" i="38" l="1"/>
  <c r="B17" i="30"/>
  <c r="E12" i="30"/>
  <c r="F51" i="36"/>
  <c r="E51" i="36"/>
  <c r="C7" i="19" l="1"/>
  <c r="B123" i="28" l="1"/>
  <c r="B116" i="28" l="1"/>
  <c r="A1" i="5"/>
  <c r="B117" i="28" l="1"/>
  <c r="C11" i="31"/>
  <c r="B11" i="31"/>
  <c r="C11" i="29"/>
  <c r="B11" i="29"/>
  <c r="C11" i="42"/>
  <c r="B11" i="42"/>
  <c r="C11" i="24"/>
  <c r="B11" i="24"/>
  <c r="C11" i="22"/>
  <c r="B11" i="22"/>
  <c r="B62" i="42" l="1"/>
  <c r="C62" i="42" s="1"/>
  <c r="J43" i="42"/>
  <c r="I43" i="42"/>
  <c r="H43" i="42"/>
  <c r="D43" i="42"/>
  <c r="C43" i="42"/>
  <c r="C50" i="42" s="1"/>
  <c r="D50" i="42" s="1"/>
  <c r="J42" i="42"/>
  <c r="G42" i="42"/>
  <c r="D42" i="42"/>
  <c r="C42" i="42"/>
  <c r="C49" i="42" s="1"/>
  <c r="D49" i="42" s="1"/>
  <c r="G41" i="42"/>
  <c r="D41" i="42"/>
  <c r="C41" i="42"/>
  <c r="C48" i="42" s="1"/>
  <c r="D40" i="42"/>
  <c r="C40" i="42"/>
  <c r="C47" i="42" s="1"/>
  <c r="D47" i="42" s="1"/>
  <c r="J39" i="42"/>
  <c r="I39" i="42"/>
  <c r="H39" i="42"/>
  <c r="G39" i="42"/>
  <c r="D39" i="42"/>
  <c r="C39" i="42"/>
  <c r="C46" i="42" s="1"/>
  <c r="D46" i="42" s="1"/>
  <c r="L13" i="42"/>
  <c r="P34" i="42"/>
  <c r="G43" i="42"/>
  <c r="P33" i="42"/>
  <c r="I42" i="42"/>
  <c r="G7" i="42"/>
  <c r="F42" i="42"/>
  <c r="P32" i="42"/>
  <c r="I41" i="42"/>
  <c r="H41" i="42"/>
  <c r="F41" i="42"/>
  <c r="P31" i="42"/>
  <c r="J13" i="42"/>
  <c r="I13" i="42"/>
  <c r="G40" i="42"/>
  <c r="P27" i="42"/>
  <c r="N27" i="42"/>
  <c r="F8" i="42" s="1"/>
  <c r="P26" i="42"/>
  <c r="N26" i="42"/>
  <c r="F7" i="42" s="1"/>
  <c r="P25" i="42"/>
  <c r="P24" i="42"/>
  <c r="N24" i="42"/>
  <c r="F5" i="42" s="1"/>
  <c r="P23" i="42"/>
  <c r="N23" i="42"/>
  <c r="F4" i="42" s="1"/>
  <c r="J40" i="42"/>
  <c r="E12" i="42"/>
  <c r="I8" i="42"/>
  <c r="G8" i="42"/>
  <c r="I7" i="42"/>
  <c r="I6" i="42"/>
  <c r="I5" i="42"/>
  <c r="I4" i="42"/>
  <c r="A1" i="42"/>
  <c r="A2" i="30"/>
  <c r="A1" i="31"/>
  <c r="A1" i="30"/>
  <c r="A1" i="29"/>
  <c r="A1" i="40"/>
  <c r="A1" i="24"/>
  <c r="A1" i="38"/>
  <c r="A1" i="36"/>
  <c r="A1" i="22"/>
  <c r="D12" i="31"/>
  <c r="E12" i="29"/>
  <c r="E12" i="24"/>
  <c r="E12" i="22"/>
  <c r="F12" i="36"/>
  <c r="G12" i="36" s="1"/>
  <c r="H12" i="36" s="1"/>
  <c r="I12" i="36" s="1"/>
  <c r="J12" i="36" s="1"/>
  <c r="K12" i="36" s="1"/>
  <c r="L12" i="36" s="1"/>
  <c r="M12" i="36" s="1"/>
  <c r="M12" i="24" s="1"/>
  <c r="K51" i="22"/>
  <c r="J45" i="43" s="1"/>
  <c r="F45" i="31"/>
  <c r="E45" i="31"/>
  <c r="D45" i="31"/>
  <c r="D62" i="42" l="1"/>
  <c r="J49" i="43"/>
  <c r="J50" i="43"/>
  <c r="J47" i="43"/>
  <c r="J29" i="43"/>
  <c r="J51" i="43"/>
  <c r="J48" i="43"/>
  <c r="H52" i="24"/>
  <c r="L51" i="22"/>
  <c r="K45" i="43" s="1"/>
  <c r="J12" i="24"/>
  <c r="F12" i="31"/>
  <c r="G12" i="31"/>
  <c r="F12" i="22"/>
  <c r="F12" i="29"/>
  <c r="G12" i="22"/>
  <c r="H12" i="29"/>
  <c r="I12" i="29"/>
  <c r="K12" i="22"/>
  <c r="K12" i="29"/>
  <c r="H12" i="42"/>
  <c r="I12" i="24"/>
  <c r="E12" i="31"/>
  <c r="L12" i="42"/>
  <c r="G12" i="29"/>
  <c r="H12" i="22"/>
  <c r="J12" i="31"/>
  <c r="J12" i="22"/>
  <c r="L12" i="22"/>
  <c r="L12" i="29"/>
  <c r="I12" i="42"/>
  <c r="L12" i="24"/>
  <c r="I12" i="31"/>
  <c r="I12" i="22"/>
  <c r="K12" i="31"/>
  <c r="F12" i="42"/>
  <c r="L12" i="31"/>
  <c r="F12" i="24"/>
  <c r="M12" i="22"/>
  <c r="G12" i="24"/>
  <c r="M12" i="29"/>
  <c r="J12" i="42"/>
  <c r="M12" i="42"/>
  <c r="K12" i="24"/>
  <c r="H12" i="31"/>
  <c r="J12" i="29"/>
  <c r="G12" i="42"/>
  <c r="H12" i="24"/>
  <c r="K12" i="42"/>
  <c r="D48" i="42"/>
  <c r="J52" i="24"/>
  <c r="I45" i="31"/>
  <c r="F45" i="29"/>
  <c r="G45" i="31"/>
  <c r="I52" i="24"/>
  <c r="E45" i="29"/>
  <c r="H45" i="31"/>
  <c r="H45" i="29"/>
  <c r="F52" i="42"/>
  <c r="G52" i="42"/>
  <c r="E52" i="42"/>
  <c r="L52" i="24"/>
  <c r="I45" i="29"/>
  <c r="G51" i="36"/>
  <c r="J45" i="29"/>
  <c r="H51" i="36"/>
  <c r="H52" i="42"/>
  <c r="I52" i="42"/>
  <c r="J51" i="36"/>
  <c r="J52" i="42"/>
  <c r="K52" i="24"/>
  <c r="K45" i="29"/>
  <c r="K52" i="42"/>
  <c r="J45" i="31"/>
  <c r="I51" i="36"/>
  <c r="G45" i="29"/>
  <c r="E52" i="24"/>
  <c r="K51" i="36"/>
  <c r="F52" i="24"/>
  <c r="G52" i="24"/>
  <c r="G4" i="42"/>
  <c r="E13" i="42"/>
  <c r="F39" i="42"/>
  <c r="F13" i="42"/>
  <c r="I9" i="42"/>
  <c r="H42" i="42"/>
  <c r="G5" i="42"/>
  <c r="I40" i="42"/>
  <c r="G6" i="42"/>
  <c r="F40" i="42"/>
  <c r="J41" i="42"/>
  <c r="P30" i="42"/>
  <c r="K13" i="42"/>
  <c r="N25" i="42"/>
  <c r="F6" i="42" s="1"/>
  <c r="F9" i="42" s="1"/>
  <c r="F43" i="42"/>
  <c r="G13" i="42"/>
  <c r="H13" i="42"/>
  <c r="H40" i="42"/>
  <c r="L45" i="29" l="1"/>
  <c r="L51" i="36"/>
  <c r="K45" i="31"/>
  <c r="K48" i="43"/>
  <c r="H5" i="43" s="1"/>
  <c r="I5" i="43" s="1"/>
  <c r="AF23" i="5" s="1"/>
  <c r="K40" i="43"/>
  <c r="K51" i="43"/>
  <c r="H8" i="43" s="1"/>
  <c r="I8" i="43" s="1"/>
  <c r="AF26" i="5" s="1"/>
  <c r="K43" i="43"/>
  <c r="K42" i="43"/>
  <c r="K50" i="43"/>
  <c r="H7" i="43" s="1"/>
  <c r="I7" i="43" s="1"/>
  <c r="AF25" i="5" s="1"/>
  <c r="K29" i="43"/>
  <c r="J53" i="43"/>
  <c r="K47" i="43"/>
  <c r="J55" i="43"/>
  <c r="J52" i="43" s="1"/>
  <c r="K39" i="43"/>
  <c r="K49" i="43"/>
  <c r="H6" i="43" s="1"/>
  <c r="I6" i="43" s="1"/>
  <c r="K41" i="43"/>
  <c r="L52" i="42"/>
  <c r="P13" i="42"/>
  <c r="G9" i="42"/>
  <c r="L49" i="43" l="1"/>
  <c r="O49" i="43" s="1"/>
  <c r="L41" i="43"/>
  <c r="J6" i="43" s="1"/>
  <c r="L47" i="43"/>
  <c r="L39" i="43"/>
  <c r="H4" i="43"/>
  <c r="K53" i="43"/>
  <c r="K55" i="43"/>
  <c r="K52" i="43" s="1"/>
  <c r="AF24" i="5"/>
  <c r="L50" i="43"/>
  <c r="O50" i="43" s="1"/>
  <c r="L42" i="43"/>
  <c r="J7" i="43" s="1"/>
  <c r="L51" i="43"/>
  <c r="O51" i="43" s="1"/>
  <c r="L43" i="43"/>
  <c r="J8" i="43" s="1"/>
  <c r="L48" i="43"/>
  <c r="O48" i="43" s="1"/>
  <c r="L40" i="43"/>
  <c r="J5" i="43" s="1"/>
  <c r="M22" i="22"/>
  <c r="J24" i="22"/>
  <c r="H22" i="22"/>
  <c r="L53" i="43" l="1"/>
  <c r="L55" i="43"/>
  <c r="L52" i="43" s="1"/>
  <c r="O47" i="43"/>
  <c r="H9" i="43"/>
  <c r="I4" i="43"/>
  <c r="F22" i="22"/>
  <c r="H24" i="22"/>
  <c r="J26" i="22"/>
  <c r="H26" i="22"/>
  <c r="G22" i="22"/>
  <c r="I22" i="22"/>
  <c r="F24" i="22"/>
  <c r="F26" i="22"/>
  <c r="I23" i="22"/>
  <c r="G23" i="22"/>
  <c r="F23" i="22"/>
  <c r="G25" i="22"/>
  <c r="J22" i="22"/>
  <c r="I24" i="22"/>
  <c r="I25" i="22"/>
  <c r="G26" i="22"/>
  <c r="J23" i="22"/>
  <c r="G24" i="22"/>
  <c r="F25" i="22"/>
  <c r="I26" i="22"/>
  <c r="H23" i="22"/>
  <c r="J25" i="22"/>
  <c r="H25" i="22"/>
  <c r="K22" i="22"/>
  <c r="L22" i="22"/>
  <c r="AF22" i="5" l="1"/>
  <c r="I9" i="43"/>
  <c r="J4" i="43"/>
  <c r="E171" i="28"/>
  <c r="D171" i="28"/>
  <c r="C171" i="28"/>
  <c r="C164" i="28" l="1"/>
  <c r="C165" i="28" s="1"/>
  <c r="D164" i="28"/>
  <c r="D165" i="28" s="1"/>
  <c r="E164" i="28"/>
  <c r="E165" i="28" s="1"/>
  <c r="E24" i="22"/>
  <c r="E25" i="22"/>
  <c r="E22" i="22"/>
  <c r="E23" i="22"/>
  <c r="E26" i="22"/>
  <c r="E42" i="42" l="1"/>
  <c r="E41" i="42" l="1"/>
  <c r="E43" i="42"/>
  <c r="E57" i="42"/>
  <c r="E49" i="42"/>
  <c r="E39" i="42" l="1"/>
  <c r="F57" i="42"/>
  <c r="F49" i="42"/>
  <c r="E50" i="42"/>
  <c r="E58" i="42"/>
  <c r="E48" i="42"/>
  <c r="E56" i="42"/>
  <c r="E40" i="42"/>
  <c r="F56" i="42" l="1"/>
  <c r="F48" i="42"/>
  <c r="F50" i="42"/>
  <c r="F58" i="42"/>
  <c r="G57" i="42"/>
  <c r="G49" i="42"/>
  <c r="E54" i="42"/>
  <c r="E46" i="42"/>
  <c r="E55" i="42"/>
  <c r="E47" i="42"/>
  <c r="E60" i="42" l="1"/>
  <c r="E62" i="42"/>
  <c r="E59" i="42" s="1"/>
  <c r="F55" i="42"/>
  <c r="F47" i="42"/>
  <c r="F54" i="42"/>
  <c r="F46" i="42"/>
  <c r="H57" i="42"/>
  <c r="H49" i="42"/>
  <c r="G50" i="42"/>
  <c r="G58" i="42"/>
  <c r="G56" i="42"/>
  <c r="G48" i="42"/>
  <c r="H56" i="42" l="1"/>
  <c r="H48" i="42"/>
  <c r="H50" i="42"/>
  <c r="H58" i="42"/>
  <c r="I49" i="42"/>
  <c r="I57" i="42"/>
  <c r="G46" i="42"/>
  <c r="G54" i="42"/>
  <c r="F60" i="42"/>
  <c r="F62" i="42"/>
  <c r="F59" i="42" s="1"/>
  <c r="G47" i="42"/>
  <c r="G55" i="42"/>
  <c r="H47" i="42" l="1"/>
  <c r="H55" i="42"/>
  <c r="I50" i="42"/>
  <c r="I58" i="42"/>
  <c r="I48" i="42"/>
  <c r="I56" i="42"/>
  <c r="G62" i="42"/>
  <c r="G59" i="42" s="1"/>
  <c r="G60" i="42"/>
  <c r="H54" i="42"/>
  <c r="H46" i="42"/>
  <c r="J49" i="42"/>
  <c r="J57" i="42"/>
  <c r="H62" i="42" l="1"/>
  <c r="H59" i="42" s="1"/>
  <c r="H60" i="42"/>
  <c r="I46" i="42"/>
  <c r="I54" i="42"/>
  <c r="J48" i="42"/>
  <c r="J56" i="42"/>
  <c r="J58" i="42"/>
  <c r="J50" i="42"/>
  <c r="I47" i="42"/>
  <c r="I55" i="42"/>
  <c r="J55" i="42" l="1"/>
  <c r="J47" i="42"/>
  <c r="I60" i="42"/>
  <c r="I62" i="42"/>
  <c r="I59" i="42" s="1"/>
  <c r="J54" i="42"/>
  <c r="J46" i="42"/>
  <c r="J60" i="42" l="1"/>
  <c r="J62" i="42"/>
  <c r="J59" i="42" l="1"/>
  <c r="A13" i="39" l="1"/>
  <c r="A1" i="39" l="1"/>
  <c r="B5" i="39"/>
  <c r="A1" i="28"/>
  <c r="A2" i="28"/>
  <c r="B111" i="28" l="1"/>
  <c r="B104" i="28" l="1"/>
  <c r="E18" i="20"/>
  <c r="E17" i="20"/>
  <c r="E16" i="20"/>
  <c r="E15" i="20"/>
  <c r="E14" i="20"/>
  <c r="B105" i="28" l="1"/>
  <c r="A2" i="38"/>
  <c r="E51" i="40" l="1"/>
  <c r="E44" i="40" s="1"/>
  <c r="D51" i="40"/>
  <c r="D44" i="40" s="1"/>
  <c r="C51" i="40"/>
  <c r="C44" i="40" s="1"/>
  <c r="B51" i="40"/>
  <c r="B44" i="40" s="1"/>
  <c r="F50" i="40"/>
  <c r="G50" i="40" s="1"/>
  <c r="F49" i="40"/>
  <c r="G49" i="40" s="1"/>
  <c r="F48" i="40"/>
  <c r="G48" i="40" s="1"/>
  <c r="F47" i="40"/>
  <c r="G47" i="40" s="1"/>
  <c r="E45" i="40"/>
  <c r="D45" i="40"/>
  <c r="C45" i="40"/>
  <c r="B45" i="40"/>
  <c r="F43" i="40"/>
  <c r="G43" i="40" s="1"/>
  <c r="E39" i="40"/>
  <c r="E32" i="40" s="1"/>
  <c r="D39" i="40"/>
  <c r="D32" i="40" s="1"/>
  <c r="D33" i="40" s="1"/>
  <c r="C39" i="40"/>
  <c r="C32" i="40" s="1"/>
  <c r="C33" i="40" s="1"/>
  <c r="B39" i="40"/>
  <c r="B32" i="40" s="1"/>
  <c r="F32" i="40" s="1"/>
  <c r="F38" i="40"/>
  <c r="G38" i="40" s="1"/>
  <c r="F37" i="40"/>
  <c r="G37" i="40" s="1"/>
  <c r="F36" i="40"/>
  <c r="G36" i="40" s="1"/>
  <c r="F35" i="40"/>
  <c r="G35" i="40" s="1"/>
  <c r="E33" i="40"/>
  <c r="F31" i="40"/>
  <c r="G31" i="40" s="1"/>
  <c r="F44" i="40" l="1"/>
  <c r="F33" i="40"/>
  <c r="B33" i="40"/>
  <c r="F45" i="40"/>
  <c r="G51" i="40"/>
  <c r="G44" i="40" s="1"/>
  <c r="F51" i="40"/>
  <c r="G39" i="40"/>
  <c r="G32" i="40" s="1"/>
  <c r="F39" i="40"/>
  <c r="G33" i="40"/>
  <c r="B14" i="40"/>
  <c r="B7" i="40"/>
  <c r="E14" i="40"/>
  <c r="D14" i="40"/>
  <c r="C14" i="40"/>
  <c r="E13" i="40"/>
  <c r="E12" i="40"/>
  <c r="D12" i="40"/>
  <c r="E11" i="40"/>
  <c r="D7" i="40"/>
  <c r="F26" i="40"/>
  <c r="G26" i="40" s="1"/>
  <c r="F24" i="40"/>
  <c r="E27" i="40"/>
  <c r="E20" i="40" s="1"/>
  <c r="E21" i="40" s="1"/>
  <c r="D27" i="40"/>
  <c r="D20" i="40" s="1"/>
  <c r="B27" i="40"/>
  <c r="B20" i="40" s="1"/>
  <c r="B21" i="40" s="1"/>
  <c r="F19" i="40"/>
  <c r="G19" i="40" s="1"/>
  <c r="C13" i="40"/>
  <c r="C12" i="40"/>
  <c r="B12" i="40"/>
  <c r="B11" i="40"/>
  <c r="E7" i="40"/>
  <c r="G24" i="40" l="1"/>
  <c r="G12" i="40" s="1"/>
  <c r="AE15" i="5" s="1"/>
  <c r="G45" i="40"/>
  <c r="F14" i="40"/>
  <c r="F12" i="40"/>
  <c r="D13" i="40"/>
  <c r="B13" i="40"/>
  <c r="E15" i="40"/>
  <c r="E8" i="40" s="1"/>
  <c r="E9" i="40" s="1"/>
  <c r="C11" i="40"/>
  <c r="C27" i="40"/>
  <c r="C20" i="40" s="1"/>
  <c r="C21" i="40" s="1"/>
  <c r="D11" i="40"/>
  <c r="D21" i="40"/>
  <c r="F23" i="40"/>
  <c r="G23" i="40" s="1"/>
  <c r="F25" i="40"/>
  <c r="G14" i="40"/>
  <c r="AE17" i="5" s="1"/>
  <c r="C7" i="40"/>
  <c r="G25" i="40" l="1"/>
  <c r="G13" i="40" s="1"/>
  <c r="AE16" i="5" s="1"/>
  <c r="F20" i="40"/>
  <c r="F21" i="40" s="1"/>
  <c r="C15" i="40"/>
  <c r="C8" i="40" s="1"/>
  <c r="F27" i="40"/>
  <c r="F13" i="40"/>
  <c r="F11" i="40"/>
  <c r="F15" i="40" s="1"/>
  <c r="B15" i="40"/>
  <c r="B8" i="40" s="1"/>
  <c r="B9" i="40" s="1"/>
  <c r="D15" i="40"/>
  <c r="D8" i="40" s="1"/>
  <c r="D9" i="40" s="1"/>
  <c r="G7" i="40"/>
  <c r="F7" i="40"/>
  <c r="F8" i="40" l="1"/>
  <c r="F9" i="40" s="1"/>
  <c r="C9" i="40"/>
  <c r="G11" i="40"/>
  <c r="AE14" i="5" s="1"/>
  <c r="G27" i="40"/>
  <c r="G20" i="40" s="1"/>
  <c r="G21" i="40" s="1"/>
  <c r="G15" i="40" l="1"/>
  <c r="G8" i="40" s="1"/>
  <c r="G9" i="40" l="1"/>
  <c r="D5" i="38"/>
  <c r="C10" i="38" l="1"/>
  <c r="C8" i="38"/>
  <c r="C9" i="38"/>
  <c r="B11" i="38" l="1"/>
  <c r="D11" i="38" l="1"/>
  <c r="C6" i="38"/>
  <c r="C11" i="38" l="1"/>
  <c r="C8" i="19" l="1"/>
  <c r="C6" i="19"/>
  <c r="D15" i="5" l="1"/>
  <c r="D13" i="5"/>
  <c r="C10" i="19"/>
  <c r="C9" i="19"/>
  <c r="D14" i="5" l="1"/>
  <c r="D16" i="5"/>
  <c r="D17" i="5"/>
  <c r="F158" i="28" l="1"/>
  <c r="F157" i="28"/>
  <c r="E159" i="28"/>
  <c r="E152" i="28" s="1"/>
  <c r="D159" i="28"/>
  <c r="D152" i="28" s="1"/>
  <c r="C159" i="28"/>
  <c r="B159" i="28"/>
  <c r="F151" i="28"/>
  <c r="G151" i="28" l="1"/>
  <c r="B152" i="28"/>
  <c r="G157" i="28"/>
  <c r="G158" i="28"/>
  <c r="C152" i="28"/>
  <c r="F152" i="28" s="1"/>
  <c r="B153" i="28"/>
  <c r="D153" i="28"/>
  <c r="F156" i="28"/>
  <c r="F155" i="28"/>
  <c r="B99" i="28"/>
  <c r="G156" i="28" l="1"/>
  <c r="G155" i="28"/>
  <c r="B92" i="28"/>
  <c r="C153" i="28"/>
  <c r="E153" i="28"/>
  <c r="F159" i="28"/>
  <c r="B93" i="28" l="1"/>
  <c r="F153" i="28"/>
  <c r="G159" i="28"/>
  <c r="G152" i="28" s="1"/>
  <c r="G153" i="28" l="1"/>
  <c r="F11" i="19"/>
  <c r="B61" i="36" l="1"/>
  <c r="C61" i="36" s="1"/>
  <c r="M59" i="36"/>
  <c r="D42" i="36"/>
  <c r="C42" i="36"/>
  <c r="C49" i="36" s="1"/>
  <c r="D41" i="36"/>
  <c r="C41" i="36"/>
  <c r="C48" i="36" s="1"/>
  <c r="J40" i="36"/>
  <c r="D40" i="36"/>
  <c r="C40" i="36"/>
  <c r="C47" i="36" s="1"/>
  <c r="I39" i="36"/>
  <c r="D39" i="36"/>
  <c r="C39" i="36"/>
  <c r="C46" i="36" s="1"/>
  <c r="J38" i="36"/>
  <c r="I38" i="36"/>
  <c r="H38" i="36"/>
  <c r="D38" i="36"/>
  <c r="C38" i="36"/>
  <c r="C45" i="36" s="1"/>
  <c r="J42" i="36"/>
  <c r="I42" i="36"/>
  <c r="H42" i="36"/>
  <c r="G42" i="36"/>
  <c r="P18" i="36"/>
  <c r="J41" i="36"/>
  <c r="I41" i="36"/>
  <c r="H41" i="36"/>
  <c r="G41" i="36"/>
  <c r="E41" i="36"/>
  <c r="I40" i="36"/>
  <c r="H40" i="36"/>
  <c r="E40" i="36"/>
  <c r="J39" i="36"/>
  <c r="H39" i="36"/>
  <c r="G39" i="36"/>
  <c r="P15" i="36"/>
  <c r="G38" i="36"/>
  <c r="E38" i="36"/>
  <c r="I8" i="36"/>
  <c r="I7" i="36"/>
  <c r="I6" i="36"/>
  <c r="I5" i="36"/>
  <c r="I4" i="36"/>
  <c r="E55" i="36" l="1"/>
  <c r="E56" i="36"/>
  <c r="E53" i="36"/>
  <c r="D46" i="36"/>
  <c r="D45" i="36"/>
  <c r="E45" i="36" s="1"/>
  <c r="D48" i="36"/>
  <c r="E48" i="36" s="1"/>
  <c r="I9" i="36"/>
  <c r="D47" i="36"/>
  <c r="E47" i="36" s="1"/>
  <c r="P17" i="36"/>
  <c r="G40" i="36"/>
  <c r="D49" i="36"/>
  <c r="D61" i="36"/>
  <c r="P16" i="36"/>
  <c r="E39" i="36"/>
  <c r="E54" i="36" s="1"/>
  <c r="E42" i="36"/>
  <c r="E57" i="36" s="1"/>
  <c r="P19" i="36"/>
  <c r="E49" i="36" l="1"/>
  <c r="E46" i="36"/>
  <c r="E59" i="36" l="1"/>
  <c r="E61" i="36"/>
  <c r="E58" i="36" s="1"/>
  <c r="P19" i="22" l="1"/>
  <c r="B62" i="28" l="1"/>
  <c r="F62" i="28" s="1"/>
  <c r="B61" i="28"/>
  <c r="F61" i="28" s="1"/>
  <c r="B60" i="28"/>
  <c r="F60" i="28" s="1"/>
  <c r="E63" i="28"/>
  <c r="E56" i="28" s="1"/>
  <c r="D63" i="28"/>
  <c r="D56" i="28" s="1"/>
  <c r="C63" i="28"/>
  <c r="B59" i="28"/>
  <c r="B55" i="28"/>
  <c r="C56" i="28" l="1"/>
  <c r="B63" i="28"/>
  <c r="B56" i="28" s="1"/>
  <c r="F56" i="28" s="1"/>
  <c r="C57" i="28"/>
  <c r="G60" i="28"/>
  <c r="G61" i="28"/>
  <c r="G62" i="28"/>
  <c r="F59" i="28"/>
  <c r="B57" i="28"/>
  <c r="D57" i="28"/>
  <c r="E57" i="28"/>
  <c r="F55" i="28"/>
  <c r="G55" i="28" l="1"/>
  <c r="G59" i="28"/>
  <c r="G63" i="28" s="1"/>
  <c r="G56" i="28" s="1"/>
  <c r="F63" i="28"/>
  <c r="F57" i="28"/>
  <c r="G57" i="28" l="1"/>
  <c r="P15" i="22"/>
  <c r="P17" i="22"/>
  <c r="P16" i="22"/>
  <c r="P18" i="22"/>
  <c r="F17" i="5" l="1"/>
  <c r="F16" i="5"/>
  <c r="F15" i="5"/>
  <c r="F14" i="5"/>
  <c r="F13" i="5"/>
  <c r="B50" i="28" l="1"/>
  <c r="B49" i="28"/>
  <c r="B48" i="28"/>
  <c r="B47" i="28"/>
  <c r="B43" i="28"/>
  <c r="B51" i="28" l="1"/>
  <c r="B44" i="28" s="1"/>
  <c r="B45" i="28" l="1"/>
  <c r="D51" i="28" l="1"/>
  <c r="D44" i="28" s="1"/>
  <c r="D45" i="28" l="1"/>
  <c r="F49" i="28" l="1"/>
  <c r="F48" i="28"/>
  <c r="F50" i="28"/>
  <c r="C51" i="28"/>
  <c r="C44" i="28" l="1"/>
  <c r="G48" i="28"/>
  <c r="G50" i="28"/>
  <c r="G49" i="28"/>
  <c r="F43" i="28"/>
  <c r="C45" i="28"/>
  <c r="G43" i="28" l="1"/>
  <c r="E51" i="28"/>
  <c r="F47" i="28"/>
  <c r="E44" i="28" l="1"/>
  <c r="G47" i="28"/>
  <c r="F51" i="28"/>
  <c r="E45" i="28"/>
  <c r="F44" i="28" l="1"/>
  <c r="G51" i="28"/>
  <c r="F45" i="28"/>
  <c r="G44" i="28" l="1"/>
  <c r="B87" i="28"/>
  <c r="B80" i="28" s="1"/>
  <c r="B75" i="28"/>
  <c r="F74" i="28"/>
  <c r="F73" i="28"/>
  <c r="F72" i="28"/>
  <c r="F67" i="28"/>
  <c r="B68" i="28" l="1"/>
  <c r="G45" i="28"/>
  <c r="G67" i="28"/>
  <c r="G72" i="28"/>
  <c r="G73" i="28"/>
  <c r="G74" i="28"/>
  <c r="B81" i="28"/>
  <c r="B69" i="28"/>
  <c r="C75" i="28"/>
  <c r="C68" i="28" s="1"/>
  <c r="E75" i="28"/>
  <c r="E68" i="28" s="1"/>
  <c r="F71" i="28"/>
  <c r="D75" i="28"/>
  <c r="D68" i="28" s="1"/>
  <c r="D69" i="28" s="1"/>
  <c r="F68" i="28" l="1"/>
  <c r="G71" i="28"/>
  <c r="G75" i="28" s="1"/>
  <c r="G68" i="28" s="1"/>
  <c r="C69" i="28"/>
  <c r="E69" i="28"/>
  <c r="F75" i="28"/>
  <c r="G69" i="28" l="1"/>
  <c r="F69" i="28"/>
  <c r="E7" i="31" l="1"/>
  <c r="E6" i="31"/>
  <c r="E5" i="31"/>
  <c r="E35" i="31"/>
  <c r="G34" i="31"/>
  <c r="F34" i="31"/>
  <c r="I33" i="31"/>
  <c r="H33" i="31"/>
  <c r="G33" i="31"/>
  <c r="I35" i="31"/>
  <c r="H35" i="31"/>
  <c r="G35" i="31"/>
  <c r="F35" i="31"/>
  <c r="D35" i="31"/>
  <c r="C35" i="31"/>
  <c r="I34" i="31"/>
  <c r="H34" i="31"/>
  <c r="E34" i="31"/>
  <c r="D34" i="31"/>
  <c r="C34" i="31"/>
  <c r="F33" i="31"/>
  <c r="E33" i="31"/>
  <c r="D33" i="31"/>
  <c r="C33" i="31"/>
  <c r="C11" i="30" l="1"/>
  <c r="B6" i="30" l="1"/>
  <c r="C12" i="30" s="1"/>
  <c r="C36" i="31" l="1"/>
  <c r="C32" i="31"/>
  <c r="I36" i="31"/>
  <c r="H36" i="31"/>
  <c r="G36" i="31"/>
  <c r="F36" i="31"/>
  <c r="E36" i="31"/>
  <c r="I32" i="31"/>
  <c r="H32" i="31"/>
  <c r="G32" i="31"/>
  <c r="F32" i="31"/>
  <c r="E32" i="31"/>
  <c r="K13" i="31"/>
  <c r="J13" i="31"/>
  <c r="I13" i="31"/>
  <c r="H13" i="31"/>
  <c r="G13" i="31"/>
  <c r="F13" i="31"/>
  <c r="E13" i="31"/>
  <c r="D13" i="31"/>
  <c r="E8" i="31"/>
  <c r="E4" i="31"/>
  <c r="E10" i="30"/>
  <c r="D11" i="30"/>
  <c r="B7" i="30" s="1"/>
  <c r="B11" i="30"/>
  <c r="B5" i="30" s="1"/>
  <c r="E9" i="31" l="1"/>
  <c r="B12" i="30"/>
  <c r="D12" i="30"/>
  <c r="E9" i="30"/>
  <c r="D32" i="31"/>
  <c r="D36" i="31"/>
  <c r="E11" i="30" l="1"/>
  <c r="G4" i="31" l="1"/>
  <c r="C39" i="31"/>
  <c r="D39" i="31" s="1"/>
  <c r="H8" i="29" l="1"/>
  <c r="H7" i="29"/>
  <c r="H6" i="29"/>
  <c r="H5" i="29"/>
  <c r="B55" i="29"/>
  <c r="C55" i="29" s="1"/>
  <c r="C36" i="29"/>
  <c r="C43" i="29" s="1"/>
  <c r="C35" i="29"/>
  <c r="C42" i="29" s="1"/>
  <c r="C34" i="29"/>
  <c r="C41" i="29" s="1"/>
  <c r="C33" i="29"/>
  <c r="C40" i="29" s="1"/>
  <c r="C32" i="29"/>
  <c r="C39" i="29" s="1"/>
  <c r="H4" i="29"/>
  <c r="H9" i="29" l="1"/>
  <c r="D47" i="31" l="1"/>
  <c r="E39" i="31" l="1"/>
  <c r="E47" i="31"/>
  <c r="F47" i="31" l="1"/>
  <c r="F39" i="31"/>
  <c r="G47" i="31" l="1"/>
  <c r="G39" i="31"/>
  <c r="H47" i="31" l="1"/>
  <c r="H39" i="31"/>
  <c r="I39" i="31" l="1"/>
  <c r="I47" i="31"/>
  <c r="B14" i="30" l="1"/>
  <c r="B15" i="30"/>
  <c r="B16" i="30"/>
  <c r="B18" i="30" l="1"/>
  <c r="D18" i="30"/>
  <c r="C41" i="31" l="1"/>
  <c r="G6" i="31"/>
  <c r="C40" i="31"/>
  <c r="G5" i="31"/>
  <c r="B55" i="31"/>
  <c r="C55" i="31" s="1"/>
  <c r="G8" i="31"/>
  <c r="C43" i="31"/>
  <c r="G7" i="31"/>
  <c r="C42" i="31"/>
  <c r="D43" i="31" l="1"/>
  <c r="D51" i="31"/>
  <c r="D40" i="31"/>
  <c r="D48" i="31"/>
  <c r="G9" i="31"/>
  <c r="D42" i="31"/>
  <c r="D50" i="31"/>
  <c r="D41" i="31"/>
  <c r="D49" i="31"/>
  <c r="D53" i="31" l="1"/>
  <c r="E40" i="31"/>
  <c r="E48" i="31"/>
  <c r="E50" i="31"/>
  <c r="E42" i="31"/>
  <c r="E51" i="31"/>
  <c r="E43" i="31"/>
  <c r="E41" i="31"/>
  <c r="E49" i="31"/>
  <c r="D55" i="31"/>
  <c r="F41" i="31" l="1"/>
  <c r="F49" i="31"/>
  <c r="F51" i="31"/>
  <c r="F43" i="31"/>
  <c r="F42" i="31"/>
  <c r="F50" i="31"/>
  <c r="F48" i="31"/>
  <c r="F40" i="31"/>
  <c r="E53" i="31"/>
  <c r="D52" i="31"/>
  <c r="E55" i="31"/>
  <c r="G48" i="31" l="1"/>
  <c r="G50" i="31"/>
  <c r="G51" i="31"/>
  <c r="G49" i="31"/>
  <c r="F53" i="31"/>
  <c r="G42" i="31"/>
  <c r="E52" i="31"/>
  <c r="F55" i="31"/>
  <c r="G40" i="31"/>
  <c r="G43" i="31"/>
  <c r="G41" i="31"/>
  <c r="H51" i="31" l="1"/>
  <c r="H50" i="31"/>
  <c r="H48" i="31"/>
  <c r="H49" i="31"/>
  <c r="H43" i="31"/>
  <c r="F52" i="31"/>
  <c r="G55" i="31"/>
  <c r="H40" i="31"/>
  <c r="G53" i="31"/>
  <c r="H42" i="31"/>
  <c r="H41" i="31"/>
  <c r="H53" i="31" l="1"/>
  <c r="I42" i="31"/>
  <c r="I50" i="31"/>
  <c r="G52" i="31"/>
  <c r="H55" i="31"/>
  <c r="I40" i="31"/>
  <c r="I48" i="31"/>
  <c r="I49" i="31"/>
  <c r="I41" i="31"/>
  <c r="I51" i="31"/>
  <c r="I43" i="31"/>
  <c r="H52" i="31" l="1"/>
  <c r="I55" i="31"/>
  <c r="I53" i="31"/>
  <c r="I52" i="31" l="1"/>
  <c r="B38" i="28"/>
  <c r="B37" i="28"/>
  <c r="B36" i="28"/>
  <c r="B35" i="28"/>
  <c r="B31" i="28"/>
  <c r="F26" i="28"/>
  <c r="F24" i="28"/>
  <c r="E27" i="28"/>
  <c r="E20" i="28" s="1"/>
  <c r="D27" i="28"/>
  <c r="D20" i="28" s="1"/>
  <c r="C27" i="28"/>
  <c r="C20" i="28" s="1"/>
  <c r="F23" i="28"/>
  <c r="F19" i="28"/>
  <c r="G19" i="28" l="1"/>
  <c r="G23" i="28"/>
  <c r="G26" i="28"/>
  <c r="G24" i="28"/>
  <c r="D21" i="28"/>
  <c r="E21" i="28"/>
  <c r="C21" i="28"/>
  <c r="D39" i="28"/>
  <c r="D32" i="28" s="1"/>
  <c r="C39" i="28"/>
  <c r="F36" i="28"/>
  <c r="E39" i="28"/>
  <c r="E32" i="28" s="1"/>
  <c r="F35" i="28"/>
  <c r="F31" i="28"/>
  <c r="F38" i="28"/>
  <c r="F37" i="28"/>
  <c r="F25" i="28"/>
  <c r="B27" i="28"/>
  <c r="B39" i="28"/>
  <c r="B32" i="28" s="1"/>
  <c r="B20" i="28" l="1"/>
  <c r="C32" i="28"/>
  <c r="F32" i="28"/>
  <c r="G36" i="28"/>
  <c r="G31" i="28"/>
  <c r="G37" i="28"/>
  <c r="G38" i="28"/>
  <c r="G35" i="28"/>
  <c r="E33" i="28"/>
  <c r="C33" i="28"/>
  <c r="D33" i="28"/>
  <c r="G25" i="28"/>
  <c r="F27" i="28"/>
  <c r="F39" i="28"/>
  <c r="B33" i="28"/>
  <c r="F20" i="28" l="1"/>
  <c r="F21" i="28" s="1"/>
  <c r="B21" i="28"/>
  <c r="G39" i="28"/>
  <c r="G27" i="28"/>
  <c r="G20" i="28" s="1"/>
  <c r="F33" i="28"/>
  <c r="G32" i="28" l="1"/>
  <c r="G21" i="28"/>
  <c r="G33" i="28" l="1"/>
  <c r="D42" i="22"/>
  <c r="D41" i="22"/>
  <c r="D40" i="22"/>
  <c r="D39" i="22"/>
  <c r="D38" i="22"/>
  <c r="B61" i="22" l="1"/>
  <c r="Q16" i="22" l="1"/>
  <c r="Q18" i="22" l="1"/>
  <c r="Q17" i="22"/>
  <c r="Q19" i="22"/>
  <c r="B62" i="24" l="1"/>
  <c r="I7" i="24" l="1"/>
  <c r="I6" i="24"/>
  <c r="I5" i="24"/>
  <c r="C43" i="24" l="1"/>
  <c r="C50" i="24" s="1"/>
  <c r="C42" i="24"/>
  <c r="C49" i="24" s="1"/>
  <c r="C41" i="24"/>
  <c r="C48" i="24" s="1"/>
  <c r="C40" i="24"/>
  <c r="C47" i="24" s="1"/>
  <c r="C39" i="24"/>
  <c r="D43" i="24"/>
  <c r="D42" i="24"/>
  <c r="D41" i="24"/>
  <c r="D40" i="24"/>
  <c r="D48" i="24" l="1"/>
  <c r="D47" i="24"/>
  <c r="D49" i="24"/>
  <c r="D50" i="24"/>
  <c r="I7" i="22"/>
  <c r="I6" i="22"/>
  <c r="I5" i="22"/>
  <c r="I41" i="22" l="1"/>
  <c r="H41" i="22"/>
  <c r="G41" i="22"/>
  <c r="F41" i="22"/>
  <c r="E41" i="22"/>
  <c r="C41" i="22"/>
  <c r="C48" i="22" s="1"/>
  <c r="E56" i="22" s="1"/>
  <c r="I40" i="22"/>
  <c r="H40" i="22"/>
  <c r="G40" i="22"/>
  <c r="F40" i="22"/>
  <c r="E40" i="22"/>
  <c r="C40" i="22"/>
  <c r="C47" i="22" s="1"/>
  <c r="I39" i="22"/>
  <c r="H39" i="22"/>
  <c r="G39" i="22"/>
  <c r="F39" i="22"/>
  <c r="E39" i="22"/>
  <c r="C39" i="22"/>
  <c r="C46" i="22" s="1"/>
  <c r="E54" i="22" s="1"/>
  <c r="E55" i="22" l="1"/>
  <c r="D47" i="22"/>
  <c r="D46" i="22"/>
  <c r="D48" i="22"/>
  <c r="E48" i="22" s="1"/>
  <c r="F56" i="22" s="1"/>
  <c r="E46" i="22"/>
  <c r="F54" i="22" s="1"/>
  <c r="E47" i="22"/>
  <c r="F55" i="22" l="1"/>
  <c r="C62" i="24"/>
  <c r="D39" i="24"/>
  <c r="C46" i="24"/>
  <c r="D46" i="24" s="1"/>
  <c r="I8" i="24"/>
  <c r="I4" i="24"/>
  <c r="D62" i="24" l="1"/>
  <c r="I9" i="24"/>
  <c r="C61" i="22" l="1"/>
  <c r="M59" i="22"/>
  <c r="C42" i="22"/>
  <c r="C49" i="22" s="1"/>
  <c r="H42" i="22"/>
  <c r="G42" i="22"/>
  <c r="G38" i="22"/>
  <c r="F38" i="22"/>
  <c r="I8" i="22"/>
  <c r="I4" i="22"/>
  <c r="D61" i="22" l="1"/>
  <c r="D49" i="22"/>
  <c r="I9" i="22"/>
  <c r="H38" i="22"/>
  <c r="I38" i="22"/>
  <c r="F42" i="22"/>
  <c r="I42" i="22"/>
  <c r="E42" i="22"/>
  <c r="C38" i="22"/>
  <c r="C45" i="22" s="1"/>
  <c r="E38" i="22"/>
  <c r="E49" i="22" l="1"/>
  <c r="E53" i="22"/>
  <c r="E57" i="22"/>
  <c r="F57" i="22" s="1"/>
  <c r="D45" i="22"/>
  <c r="E45" i="22" s="1"/>
  <c r="F53" i="22" s="1"/>
  <c r="E61" i="22" l="1"/>
  <c r="E58" i="22" s="1"/>
  <c r="F48" i="22"/>
  <c r="G56" i="22" s="1"/>
  <c r="F46" i="22"/>
  <c r="G54" i="22" s="1"/>
  <c r="F47" i="22"/>
  <c r="G55" i="22" s="1"/>
  <c r="E59" i="22"/>
  <c r="F45" i="22"/>
  <c r="G53" i="22" s="1"/>
  <c r="F49" i="22"/>
  <c r="G57" i="22" s="1"/>
  <c r="J42" i="22" l="1"/>
  <c r="J41" i="22" l="1"/>
  <c r="G4" i="22"/>
  <c r="J38" i="22"/>
  <c r="G8" i="22"/>
  <c r="G7" i="22" l="1"/>
  <c r="J40" i="22"/>
  <c r="J39" i="22" l="1"/>
  <c r="G5" i="22"/>
  <c r="G6" i="22"/>
  <c r="G9" i="22" l="1"/>
  <c r="E41" i="24" l="1"/>
  <c r="E39" i="24"/>
  <c r="E43" i="24"/>
  <c r="F43" i="24"/>
  <c r="F42" i="24"/>
  <c r="E42" i="24" l="1"/>
  <c r="E50" i="24"/>
  <c r="E58" i="24"/>
  <c r="F39" i="24"/>
  <c r="E46" i="24"/>
  <c r="E54" i="24"/>
  <c r="E48" i="24"/>
  <c r="E56" i="24"/>
  <c r="G43" i="24"/>
  <c r="G42" i="24"/>
  <c r="E40" i="24" l="1"/>
  <c r="E13" i="24"/>
  <c r="F41" i="24"/>
  <c r="F48" i="24" s="1"/>
  <c r="F50" i="24"/>
  <c r="G39" i="24"/>
  <c r="E49" i="24"/>
  <c r="E57" i="24"/>
  <c r="F46" i="24"/>
  <c r="H43" i="24"/>
  <c r="G41" i="24"/>
  <c r="H42" i="24"/>
  <c r="H39" i="24" l="1"/>
  <c r="F49" i="24"/>
  <c r="F40" i="24"/>
  <c r="F13" i="24"/>
  <c r="E47" i="24"/>
  <c r="E55" i="24"/>
  <c r="E60" i="24" s="1"/>
  <c r="I43" i="24"/>
  <c r="I41" i="24"/>
  <c r="I42" i="24"/>
  <c r="H41" i="24"/>
  <c r="E62" i="24" l="1"/>
  <c r="E59" i="24" s="1"/>
  <c r="G40" i="24"/>
  <c r="G13" i="24"/>
  <c r="F47" i="24"/>
  <c r="J43" i="24"/>
  <c r="J42" i="24"/>
  <c r="I39" i="24" l="1"/>
  <c r="H40" i="24"/>
  <c r="H13" i="24"/>
  <c r="J39" i="24"/>
  <c r="I40" i="24"/>
  <c r="I13" i="24" l="1"/>
  <c r="J41" i="24"/>
  <c r="J40" i="24" l="1"/>
  <c r="J13" i="24"/>
  <c r="F58" i="24" l="1"/>
  <c r="F54" i="24"/>
  <c r="F57" i="24"/>
  <c r="F56" i="24"/>
  <c r="F55" i="24"/>
  <c r="G49" i="22" l="1"/>
  <c r="H57" i="22" s="1"/>
  <c r="F60" i="24"/>
  <c r="G47" i="24"/>
  <c r="G55" i="24"/>
  <c r="G47" i="22"/>
  <c r="H55" i="22" s="1"/>
  <c r="G56" i="24"/>
  <c r="G48" i="24"/>
  <c r="G46" i="22"/>
  <c r="H54" i="22" s="1"/>
  <c r="G57" i="24"/>
  <c r="G49" i="24"/>
  <c r="G45" i="22"/>
  <c r="H53" i="22" s="1"/>
  <c r="F59" i="22"/>
  <c r="F61" i="22"/>
  <c r="F58" i="22" s="1"/>
  <c r="G54" i="24"/>
  <c r="G46" i="24"/>
  <c r="F62" i="24"/>
  <c r="F59" i="24" s="1"/>
  <c r="G48" i="22"/>
  <c r="H56" i="22" s="1"/>
  <c r="G58" i="24"/>
  <c r="G50" i="24"/>
  <c r="G60" i="24" l="1"/>
  <c r="H46" i="22"/>
  <c r="I54" i="22" s="1"/>
  <c r="H55" i="24"/>
  <c r="H47" i="24"/>
  <c r="H49" i="22"/>
  <c r="I57" i="22" s="1"/>
  <c r="H46" i="24"/>
  <c r="H54" i="24"/>
  <c r="H47" i="22"/>
  <c r="I55" i="22" s="1"/>
  <c r="H45" i="22"/>
  <c r="I53" i="22" s="1"/>
  <c r="H58" i="24"/>
  <c r="H50" i="24"/>
  <c r="H49" i="24"/>
  <c r="H57" i="24"/>
  <c r="G61" i="22"/>
  <c r="G58" i="22" s="1"/>
  <c r="G59" i="22"/>
  <c r="H48" i="24"/>
  <c r="H56" i="24"/>
  <c r="H48" i="22"/>
  <c r="I56" i="22" s="1"/>
  <c r="G62" i="24"/>
  <c r="G59" i="24" s="1"/>
  <c r="I46" i="22" l="1"/>
  <c r="J54" i="22" s="1"/>
  <c r="I49" i="24"/>
  <c r="I57" i="24"/>
  <c r="I48" i="22"/>
  <c r="J56" i="22" s="1"/>
  <c r="I46" i="24"/>
  <c r="I54" i="24"/>
  <c r="I45" i="22"/>
  <c r="J53" i="22" s="1"/>
  <c r="I49" i="22"/>
  <c r="J57" i="22" s="1"/>
  <c r="H62" i="24"/>
  <c r="H59" i="24" s="1"/>
  <c r="I58" i="24"/>
  <c r="I50" i="24"/>
  <c r="I47" i="22"/>
  <c r="J55" i="22" s="1"/>
  <c r="I47" i="24"/>
  <c r="I55" i="24"/>
  <c r="H61" i="22"/>
  <c r="H58" i="22" s="1"/>
  <c r="H59" i="22"/>
  <c r="I56" i="24"/>
  <c r="I48" i="24"/>
  <c r="H60" i="24"/>
  <c r="J57" i="24" l="1"/>
  <c r="J49" i="24"/>
  <c r="J45" i="22"/>
  <c r="I62" i="24"/>
  <c r="I59" i="24" s="1"/>
  <c r="I60" i="24"/>
  <c r="J58" i="24"/>
  <c r="J50" i="24"/>
  <c r="J56" i="24"/>
  <c r="J48" i="24"/>
  <c r="J47" i="24"/>
  <c r="J55" i="24"/>
  <c r="J49" i="22"/>
  <c r="J48" i="22"/>
  <c r="J46" i="22"/>
  <c r="J46" i="24"/>
  <c r="J54" i="24"/>
  <c r="J47" i="22"/>
  <c r="I59" i="22"/>
  <c r="I61" i="22"/>
  <c r="I58" i="22" s="1"/>
  <c r="J62" i="24" l="1"/>
  <c r="J60" i="24"/>
  <c r="J61" i="22"/>
  <c r="J59" i="22"/>
  <c r="J58" i="22" l="1"/>
  <c r="J59" i="24"/>
  <c r="D11" i="19"/>
  <c r="N25" i="24" l="1"/>
  <c r="F6" i="24" s="1"/>
  <c r="N24" i="24"/>
  <c r="F5" i="24" s="1"/>
  <c r="N23" i="24" l="1"/>
  <c r="F4" i="24" s="1"/>
  <c r="P23" i="24"/>
  <c r="P25" i="24"/>
  <c r="P24" i="24"/>
  <c r="N27" i="24"/>
  <c r="F8" i="24" s="1"/>
  <c r="N26" i="24"/>
  <c r="F7" i="24" s="1"/>
  <c r="P27" i="24" l="1"/>
  <c r="P26" i="24"/>
  <c r="F9" i="24"/>
  <c r="P31" i="24" l="1"/>
  <c r="P33" i="24"/>
  <c r="G5" i="24"/>
  <c r="P30" i="24"/>
  <c r="K13" i="24"/>
  <c r="P32" i="24" l="1"/>
  <c r="P34" i="24"/>
  <c r="G6" i="24"/>
  <c r="G4" i="24"/>
  <c r="G7" i="24"/>
  <c r="G8" i="24" l="1"/>
  <c r="L13" i="24"/>
  <c r="P13" i="24" l="1"/>
  <c r="G9" i="24"/>
  <c r="B11" i="19" l="1"/>
  <c r="C11" i="19" l="1"/>
  <c r="E11" i="19"/>
  <c r="G5" i="36" l="1"/>
  <c r="F39" i="36"/>
  <c r="F54" i="36" s="1"/>
  <c r="G7" i="36"/>
  <c r="F41" i="36"/>
  <c r="F56" i="36" s="1"/>
  <c r="F40" i="36"/>
  <c r="F55" i="36" s="1"/>
  <c r="G6" i="36"/>
  <c r="G4" i="36"/>
  <c r="F38" i="36"/>
  <c r="F53" i="36" s="1"/>
  <c r="F48" i="36" l="1"/>
  <c r="G56" i="36" s="1"/>
  <c r="F45" i="36"/>
  <c r="G53" i="36" s="1"/>
  <c r="F46" i="36"/>
  <c r="G54" i="36" s="1"/>
  <c r="F47" i="36"/>
  <c r="G55" i="36" s="1"/>
  <c r="G46" i="36" l="1"/>
  <c r="H54" i="36" s="1"/>
  <c r="G45" i="36"/>
  <c r="H53" i="36" s="1"/>
  <c r="G47" i="36"/>
  <c r="H55" i="36" s="1"/>
  <c r="G48" i="36"/>
  <c r="H56" i="36" s="1"/>
  <c r="Q19" i="36"/>
  <c r="F42" i="36"/>
  <c r="F57" i="36" s="1"/>
  <c r="G8" i="36"/>
  <c r="Q17" i="36"/>
  <c r="Q16" i="36"/>
  <c r="Q18" i="36"/>
  <c r="H48" i="36" l="1"/>
  <c r="I56" i="36" s="1"/>
  <c r="H47" i="36"/>
  <c r="I55" i="36" s="1"/>
  <c r="H45" i="36"/>
  <c r="I53" i="36" s="1"/>
  <c r="G9" i="36"/>
  <c r="F49" i="36"/>
  <c r="G57" i="36" s="1"/>
  <c r="H46" i="36"/>
  <c r="I54" i="36" s="1"/>
  <c r="I45" i="36" l="1"/>
  <c r="J53" i="36" s="1"/>
  <c r="I46" i="36"/>
  <c r="J54" i="36" s="1"/>
  <c r="I47" i="36"/>
  <c r="J55" i="36" s="1"/>
  <c r="G49" i="36"/>
  <c r="H57" i="36" s="1"/>
  <c r="F59" i="36"/>
  <c r="F61" i="36"/>
  <c r="F58" i="36" s="1"/>
  <c r="I48" i="36"/>
  <c r="J56" i="36" s="1"/>
  <c r="G59" i="36" l="1"/>
  <c r="G61" i="36"/>
  <c r="G58" i="36" s="1"/>
  <c r="J46" i="36"/>
  <c r="H49" i="36"/>
  <c r="I57" i="36" s="1"/>
  <c r="J47" i="36"/>
  <c r="J45" i="36"/>
  <c r="J48" i="36"/>
  <c r="H59" i="36" l="1"/>
  <c r="H61" i="36"/>
  <c r="H58" i="36" s="1"/>
  <c r="I49" i="36"/>
  <c r="J57" i="36" s="1"/>
  <c r="I59" i="36" l="1"/>
  <c r="I61" i="36"/>
  <c r="I58" i="36" s="1"/>
  <c r="J49" i="36"/>
  <c r="J61" i="36" l="1"/>
  <c r="J59" i="36"/>
  <c r="J58" i="36" l="1"/>
  <c r="AE13" i="5" l="1"/>
  <c r="AD13" i="5"/>
  <c r="Y13" i="5"/>
  <c r="AA13" i="5"/>
  <c r="D14" i="20" l="1"/>
  <c r="F4" i="36"/>
  <c r="P22" i="36"/>
  <c r="P22" i="22"/>
  <c r="F4" i="22"/>
  <c r="F163" i="28" l="1"/>
  <c r="B7" i="28"/>
  <c r="G163" i="28" l="1"/>
  <c r="F168" i="28"/>
  <c r="B12" i="28"/>
  <c r="F167" i="28"/>
  <c r="B171" i="28"/>
  <c r="B11" i="28"/>
  <c r="F170" i="28"/>
  <c r="B14" i="28"/>
  <c r="F169" i="28"/>
  <c r="B13" i="28"/>
  <c r="B164" i="28" l="1"/>
  <c r="G169" i="28"/>
  <c r="G170" i="28"/>
  <c r="G167" i="28"/>
  <c r="G168" i="28"/>
  <c r="B15" i="28"/>
  <c r="B8" i="28" s="1"/>
  <c r="B165" i="28"/>
  <c r="F171" i="28"/>
  <c r="F164" i="28" l="1"/>
  <c r="G171" i="28"/>
  <c r="G164" i="28" s="1"/>
  <c r="G165" i="28"/>
  <c r="F165" i="28"/>
  <c r="B9" i="28"/>
  <c r="M23" i="22" l="1"/>
  <c r="M30" i="22" s="1"/>
  <c r="M24" i="22"/>
  <c r="M31" i="22" s="1"/>
  <c r="L24" i="22"/>
  <c r="L31" i="22" s="1"/>
  <c r="L25" i="22"/>
  <c r="L32" i="22" s="1"/>
  <c r="M25" i="22"/>
  <c r="M32" i="22" s="1"/>
  <c r="K24" i="22"/>
  <c r="K31" i="22" s="1"/>
  <c r="P24" i="36"/>
  <c r="F6" i="36"/>
  <c r="P24" i="22" l="1"/>
  <c r="F6" i="22"/>
  <c r="K23" i="22"/>
  <c r="K30" i="22" s="1"/>
  <c r="P23" i="36"/>
  <c r="F5" i="36"/>
  <c r="K26" i="22"/>
  <c r="K33" i="22" s="1"/>
  <c r="F8" i="36"/>
  <c r="P26" i="36"/>
  <c r="K25" i="22"/>
  <c r="K32" i="22" s="1"/>
  <c r="P25" i="36"/>
  <c r="F7" i="36"/>
  <c r="L26" i="22"/>
  <c r="L33" i="22" s="1"/>
  <c r="M26" i="22"/>
  <c r="M33" i="22" s="1"/>
  <c r="L23" i="22"/>
  <c r="L30" i="22" s="1"/>
  <c r="AA16" i="5" l="1"/>
  <c r="AD16" i="5"/>
  <c r="Y16" i="5"/>
  <c r="F9" i="36"/>
  <c r="B6" i="39"/>
  <c r="AA14" i="5"/>
  <c r="AD14" i="5"/>
  <c r="Y14" i="5"/>
  <c r="F7" i="22"/>
  <c r="P25" i="22"/>
  <c r="F8" i="22"/>
  <c r="P26" i="22"/>
  <c r="B9" i="39"/>
  <c r="AA17" i="5"/>
  <c r="Y17" i="5"/>
  <c r="AD17" i="5"/>
  <c r="F5" i="22"/>
  <c r="P23" i="22"/>
  <c r="B8" i="39"/>
  <c r="B7" i="39"/>
  <c r="Y15" i="5"/>
  <c r="AA15" i="5"/>
  <c r="AD15" i="5"/>
  <c r="F9" i="22" l="1"/>
  <c r="D18" i="20"/>
  <c r="D17" i="20"/>
  <c r="B10" i="39"/>
  <c r="D15" i="20"/>
  <c r="D16" i="20"/>
  <c r="D99" i="28" l="1"/>
  <c r="D92" i="28" l="1"/>
  <c r="D93" i="28" s="1"/>
  <c r="C99" i="28"/>
  <c r="C92" i="28" l="1"/>
  <c r="C93" i="28"/>
  <c r="D111" i="28" l="1"/>
  <c r="D104" i="28" l="1"/>
  <c r="D105" i="28" s="1"/>
  <c r="C111" i="28"/>
  <c r="C104" i="28" l="1"/>
  <c r="C129" i="28"/>
  <c r="C7" i="28"/>
  <c r="C87" i="28"/>
  <c r="D87" i="28"/>
  <c r="D80" i="28" s="1"/>
  <c r="D81" i="28" s="1"/>
  <c r="C80" i="28" l="1"/>
  <c r="C105" i="28"/>
  <c r="C12" i="28"/>
  <c r="D13" i="28"/>
  <c r="C13" i="28"/>
  <c r="C81" i="28"/>
  <c r="D7" i="28" l="1"/>
  <c r="D12" i="28"/>
  <c r="C14" i="28"/>
  <c r="D14" i="28"/>
  <c r="D135" i="28" l="1"/>
  <c r="D128" i="28" l="1"/>
  <c r="D129" i="28"/>
  <c r="C123" i="28" l="1"/>
  <c r="C11" i="28"/>
  <c r="F79" i="28"/>
  <c r="C116" i="28" l="1"/>
  <c r="D123" i="28"/>
  <c r="D11" i="28"/>
  <c r="G79" i="28"/>
  <c r="C15" i="28"/>
  <c r="C8" i="28" s="1"/>
  <c r="C117" i="28"/>
  <c r="D116" i="28" l="1"/>
  <c r="D117" i="28" s="1"/>
  <c r="C9" i="28"/>
  <c r="D15" i="28"/>
  <c r="D8" i="28" s="1"/>
  <c r="D9" i="28" s="1"/>
  <c r="F86" i="28" l="1"/>
  <c r="F84" i="28"/>
  <c r="G84" i="28" l="1"/>
  <c r="G86" i="28"/>
  <c r="F85" i="28"/>
  <c r="G85" i="28" l="1"/>
  <c r="F91" i="28"/>
  <c r="E87" i="28" l="1"/>
  <c r="F83" i="28"/>
  <c r="G91" i="28"/>
  <c r="E80" i="28" l="1"/>
  <c r="F87" i="28"/>
  <c r="G83" i="28"/>
  <c r="E81" i="28"/>
  <c r="F80" i="28" l="1"/>
  <c r="G87" i="28"/>
  <c r="G80" i="28" s="1"/>
  <c r="G81" i="28" s="1"/>
  <c r="F81" i="28"/>
  <c r="F98" i="28"/>
  <c r="F96" i="28" l="1"/>
  <c r="F97" i="28"/>
  <c r="G98" i="28"/>
  <c r="G97" i="28" l="1"/>
  <c r="G96" i="28"/>
  <c r="F103" i="28" l="1"/>
  <c r="G103" i="28" l="1"/>
  <c r="E99" i="28"/>
  <c r="F95" i="28"/>
  <c r="E92" i="28" l="1"/>
  <c r="G95" i="28"/>
  <c r="F99" i="28"/>
  <c r="E93" i="28"/>
  <c r="F110" i="28"/>
  <c r="F92" i="28" l="1"/>
  <c r="F93" i="28" s="1"/>
  <c r="G110" i="28"/>
  <c r="F108" i="28"/>
  <c r="G99" i="28"/>
  <c r="G92" i="28" s="1"/>
  <c r="G93" i="28"/>
  <c r="G108" i="28" l="1"/>
  <c r="F109" i="28"/>
  <c r="G109" i="28" l="1"/>
  <c r="F127" i="28" l="1"/>
  <c r="F115" i="28"/>
  <c r="G127" i="28" l="1"/>
  <c r="G115" i="28"/>
  <c r="I23" i="29"/>
  <c r="J23" i="29"/>
  <c r="L23" i="29"/>
  <c r="K23" i="29"/>
  <c r="H23" i="29"/>
  <c r="G23" i="29"/>
  <c r="G32" i="29" s="1"/>
  <c r="F23" i="29"/>
  <c r="F32" i="29" s="1"/>
  <c r="E23" i="29"/>
  <c r="E32" i="29" s="1"/>
  <c r="E7" i="28"/>
  <c r="E111" i="28"/>
  <c r="F107" i="28"/>
  <c r="E104" i="28" l="1"/>
  <c r="F7" i="28"/>
  <c r="G107" i="28"/>
  <c r="E47" i="29"/>
  <c r="E39" i="29"/>
  <c r="H32" i="29"/>
  <c r="F4" i="29"/>
  <c r="J32" i="29"/>
  <c r="F111" i="28"/>
  <c r="F122" i="28"/>
  <c r="E14" i="28"/>
  <c r="E105" i="28"/>
  <c r="I32" i="29"/>
  <c r="P23" i="29"/>
  <c r="F104" i="28" l="1"/>
  <c r="F105" i="28" s="1"/>
  <c r="F14" i="28"/>
  <c r="G122" i="28"/>
  <c r="H27" i="29"/>
  <c r="I27" i="29"/>
  <c r="L27" i="29"/>
  <c r="J27" i="29"/>
  <c r="K27" i="29"/>
  <c r="E27" i="29"/>
  <c r="E36" i="29" s="1"/>
  <c r="F27" i="29"/>
  <c r="F36" i="29" s="1"/>
  <c r="G27" i="29"/>
  <c r="G36" i="29" s="1"/>
  <c r="F47" i="29"/>
  <c r="F39" i="29"/>
  <c r="F131" i="28"/>
  <c r="G7" i="28"/>
  <c r="I36" i="29"/>
  <c r="J36" i="29"/>
  <c r="G111" i="28"/>
  <c r="G131" i="28" l="1"/>
  <c r="G47" i="29"/>
  <c r="G39" i="29"/>
  <c r="E51" i="29"/>
  <c r="E43" i="29"/>
  <c r="E13" i="5"/>
  <c r="Z13" i="5"/>
  <c r="G104" i="28"/>
  <c r="H36" i="29"/>
  <c r="F8" i="29"/>
  <c r="P27" i="29"/>
  <c r="F120" i="28"/>
  <c r="E12" i="28"/>
  <c r="G105" i="28" l="1"/>
  <c r="F12" i="28"/>
  <c r="F43" i="29"/>
  <c r="F51" i="29"/>
  <c r="H39" i="29"/>
  <c r="H47" i="29"/>
  <c r="G120" i="28"/>
  <c r="H25" i="29"/>
  <c r="L25" i="29"/>
  <c r="I25" i="29"/>
  <c r="I34" i="29" s="1"/>
  <c r="J25" i="29"/>
  <c r="J34" i="29" s="1"/>
  <c r="K25" i="29"/>
  <c r="F25" i="29"/>
  <c r="F34" i="29" s="1"/>
  <c r="E25" i="29"/>
  <c r="E34" i="29" s="1"/>
  <c r="G25" i="29"/>
  <c r="G34" i="29" s="1"/>
  <c r="F121" i="28"/>
  <c r="G121" i="28" l="1"/>
  <c r="F26" i="29"/>
  <c r="F35" i="29" s="1"/>
  <c r="G26" i="29"/>
  <c r="G35" i="29" s="1"/>
  <c r="E26" i="29"/>
  <c r="E35" i="29" s="1"/>
  <c r="E49" i="29"/>
  <c r="E41" i="29"/>
  <c r="I47" i="29"/>
  <c r="I39" i="29"/>
  <c r="G43" i="29"/>
  <c r="G51" i="29"/>
  <c r="P25" i="29"/>
  <c r="H34" i="29"/>
  <c r="F6" i="29"/>
  <c r="J47" i="29" l="1"/>
  <c r="J39" i="29"/>
  <c r="H51" i="29"/>
  <c r="H43" i="29"/>
  <c r="F49" i="29"/>
  <c r="F41" i="29"/>
  <c r="E42" i="29"/>
  <c r="E50" i="29"/>
  <c r="F50" i="29" l="1"/>
  <c r="F42" i="29"/>
  <c r="G41" i="29"/>
  <c r="G49" i="29"/>
  <c r="I43" i="29"/>
  <c r="I51" i="29"/>
  <c r="E123" i="28"/>
  <c r="F119" i="28"/>
  <c r="E116" i="28" l="1"/>
  <c r="E117" i="28" s="1"/>
  <c r="G119" i="28"/>
  <c r="L24" i="29"/>
  <c r="K24" i="29"/>
  <c r="J24" i="29"/>
  <c r="H24" i="29"/>
  <c r="I24" i="29"/>
  <c r="E24" i="29"/>
  <c r="F24" i="29"/>
  <c r="G24" i="29"/>
  <c r="J43" i="29"/>
  <c r="J51" i="29"/>
  <c r="H49" i="29"/>
  <c r="H41" i="29"/>
  <c r="G42" i="29"/>
  <c r="G50" i="29"/>
  <c r="F133" i="28"/>
  <c r="E135" i="28"/>
  <c r="E13" i="28"/>
  <c r="E11" i="28"/>
  <c r="F123" i="28"/>
  <c r="E128" i="28" l="1"/>
  <c r="F116" i="28"/>
  <c r="F117" i="28" s="1"/>
  <c r="F13" i="28"/>
  <c r="F11" i="28"/>
  <c r="F15" i="28" s="1"/>
  <c r="I49" i="29"/>
  <c r="I41" i="29"/>
  <c r="G133" i="28"/>
  <c r="G135" i="28" s="1"/>
  <c r="J26" i="29"/>
  <c r="J35" i="29" s="1"/>
  <c r="I26" i="29"/>
  <c r="I35" i="29" s="1"/>
  <c r="L26" i="29"/>
  <c r="L13" i="29" s="1"/>
  <c r="K26" i="29"/>
  <c r="H26" i="29"/>
  <c r="H13" i="29" s="1"/>
  <c r="G33" i="29"/>
  <c r="G13" i="29"/>
  <c r="E33" i="29"/>
  <c r="E13" i="29"/>
  <c r="F33" i="29"/>
  <c r="F13" i="29"/>
  <c r="E15" i="28"/>
  <c r="E129" i="28"/>
  <c r="F135" i="28"/>
  <c r="P24" i="29"/>
  <c r="G123" i="28"/>
  <c r="G116" i="28" s="1"/>
  <c r="G11" i="28"/>
  <c r="J33" i="29"/>
  <c r="H33" i="29"/>
  <c r="F5" i="29"/>
  <c r="I33" i="29"/>
  <c r="P26" i="29" l="1"/>
  <c r="I13" i="29"/>
  <c r="J13" i="29"/>
  <c r="F128" i="28"/>
  <c r="F129" i="28" s="1"/>
  <c r="E8" i="28"/>
  <c r="J41" i="29"/>
  <c r="J49" i="29"/>
  <c r="E48" i="29"/>
  <c r="E53" i="29" s="1"/>
  <c r="E40" i="29"/>
  <c r="F7" i="29"/>
  <c r="F9" i="29" s="1"/>
  <c r="H35" i="29"/>
  <c r="K13" i="29"/>
  <c r="P13" i="29" s="1"/>
  <c r="E14" i="5"/>
  <c r="G128" i="28"/>
  <c r="G129" i="28" s="1"/>
  <c r="E9" i="28"/>
  <c r="G117" i="28"/>
  <c r="G14" i="28"/>
  <c r="G12" i="28"/>
  <c r="G13" i="28"/>
  <c r="E15" i="5" l="1"/>
  <c r="F8" i="28"/>
  <c r="F9" i="28" s="1"/>
  <c r="F48" i="29"/>
  <c r="F53" i="29" s="1"/>
  <c r="F40" i="29"/>
  <c r="H42" i="29"/>
  <c r="H50" i="29"/>
  <c r="E55" i="29"/>
  <c r="E16" i="5"/>
  <c r="E17" i="5"/>
  <c r="Z15" i="5"/>
  <c r="G15" i="28"/>
  <c r="G8" i="28" l="1"/>
  <c r="G40" i="29"/>
  <c r="G48" i="29"/>
  <c r="G53" i="29" s="1"/>
  <c r="E52" i="29"/>
  <c r="F55" i="29"/>
  <c r="I50" i="29"/>
  <c r="I42" i="29"/>
  <c r="G9" i="28" l="1"/>
  <c r="J42" i="29"/>
  <c r="J50" i="29"/>
  <c r="F52" i="29"/>
  <c r="G55" i="29"/>
  <c r="H40" i="29"/>
  <c r="H48" i="29"/>
  <c r="H53" i="29" s="1"/>
  <c r="I40" i="29" l="1"/>
  <c r="I48" i="29"/>
  <c r="I53" i="29" s="1"/>
  <c r="G52" i="29"/>
  <c r="H55" i="29"/>
  <c r="H52" i="29" l="1"/>
  <c r="I55" i="29"/>
  <c r="J40" i="29"/>
  <c r="J48" i="29"/>
  <c r="J53" i="29" s="1"/>
  <c r="J16" i="31"/>
  <c r="K16" i="31"/>
  <c r="L16" i="31"/>
  <c r="K29" i="36"/>
  <c r="L29" i="36"/>
  <c r="M29" i="36"/>
  <c r="M38" i="36" s="1"/>
  <c r="M29" i="22"/>
  <c r="L29" i="22"/>
  <c r="K29" i="22"/>
  <c r="J55" i="29" l="1"/>
  <c r="I52" i="29"/>
  <c r="O16" i="31"/>
  <c r="M38" i="22"/>
  <c r="L38" i="22"/>
  <c r="L38" i="36"/>
  <c r="E4" i="22"/>
  <c r="K38" i="22"/>
  <c r="P29" i="22"/>
  <c r="E4" i="36"/>
  <c r="K38" i="36"/>
  <c r="P29" i="36"/>
  <c r="L32" i="31"/>
  <c r="J32" i="31"/>
  <c r="D4" i="31"/>
  <c r="K32" i="31"/>
  <c r="J52" i="29" l="1"/>
  <c r="H4" i="22"/>
  <c r="H4" i="36"/>
  <c r="K53" i="22"/>
  <c r="K45" i="22"/>
  <c r="F4" i="31"/>
  <c r="J39" i="31"/>
  <c r="J47" i="31"/>
  <c r="K53" i="36"/>
  <c r="K45" i="36"/>
  <c r="K39" i="31" l="1"/>
  <c r="K47" i="31"/>
  <c r="L53" i="22"/>
  <c r="J4" i="22" s="1"/>
  <c r="L45" i="22"/>
  <c r="L53" i="36"/>
  <c r="J4" i="36" s="1"/>
  <c r="L45" i="36"/>
  <c r="P53" i="36" l="1"/>
  <c r="P53" i="22"/>
  <c r="M45" i="36"/>
  <c r="K4" i="22"/>
  <c r="M45" i="22"/>
  <c r="K4" i="36"/>
  <c r="H4" i="31"/>
  <c r="L39" i="31"/>
  <c r="L47" i="31"/>
  <c r="L4" i="36" l="1"/>
  <c r="AC22" i="5"/>
  <c r="I4" i="31"/>
  <c r="F22" i="5" s="1"/>
  <c r="C22" i="5"/>
  <c r="O47" i="31"/>
  <c r="L4" i="22"/>
  <c r="X22" i="5"/>
  <c r="B5" i="20" l="1"/>
  <c r="AA22" i="5"/>
  <c r="J4" i="31"/>
  <c r="L18" i="31" l="1"/>
  <c r="L34" i="31" s="1"/>
  <c r="K18" i="31"/>
  <c r="K34" i="31" s="1"/>
  <c r="J18" i="31"/>
  <c r="E5" i="20"/>
  <c r="M4" i="5"/>
  <c r="AA28" i="5" s="1"/>
  <c r="F4" i="5"/>
  <c r="K19" i="31"/>
  <c r="K35" i="31" s="1"/>
  <c r="L19" i="31"/>
  <c r="L35" i="31" s="1"/>
  <c r="J19" i="31"/>
  <c r="K20" i="31"/>
  <c r="K36" i="31" s="1"/>
  <c r="L20" i="31"/>
  <c r="L36" i="31" s="1"/>
  <c r="J20" i="31"/>
  <c r="O20" i="31" l="1"/>
  <c r="O19" i="31"/>
  <c r="O18" i="31"/>
  <c r="E23" i="20"/>
  <c r="E29" i="20" s="1"/>
  <c r="J34" i="31"/>
  <c r="D6" i="31"/>
  <c r="F6" i="31" s="1"/>
  <c r="L17" i="31"/>
  <c r="K17" i="31"/>
  <c r="J17" i="31"/>
  <c r="D8" i="31"/>
  <c r="F8" i="31" s="1"/>
  <c r="J36" i="31"/>
  <c r="D7" i="31"/>
  <c r="F7" i="31" s="1"/>
  <c r="J35" i="31"/>
  <c r="O17" i="31" l="1"/>
  <c r="L41" i="22"/>
  <c r="J51" i="31"/>
  <c r="J43" i="31"/>
  <c r="D5" i="31"/>
  <c r="J33" i="31"/>
  <c r="K33" i="31"/>
  <c r="L33" i="31"/>
  <c r="M41" i="36"/>
  <c r="L41" i="36"/>
  <c r="J42" i="31"/>
  <c r="J50" i="31"/>
  <c r="J41" i="31"/>
  <c r="J49" i="31"/>
  <c r="K41" i="22"/>
  <c r="P32" i="22"/>
  <c r="E7" i="22"/>
  <c r="H7" i="22" s="1"/>
  <c r="M41" i="22"/>
  <c r="M40" i="36" l="1"/>
  <c r="L40" i="36"/>
  <c r="M39" i="36"/>
  <c r="K56" i="22"/>
  <c r="K48" i="22"/>
  <c r="M42" i="36"/>
  <c r="L42" i="36"/>
  <c r="K49" i="31"/>
  <c r="H6" i="31" s="1"/>
  <c r="I6" i="31" s="1"/>
  <c r="F24" i="5" s="1"/>
  <c r="K41" i="31"/>
  <c r="J48" i="31"/>
  <c r="J40" i="31"/>
  <c r="J29" i="31"/>
  <c r="F5" i="31"/>
  <c r="D9" i="31"/>
  <c r="K50" i="31"/>
  <c r="H7" i="31" s="1"/>
  <c r="I7" i="31" s="1"/>
  <c r="F25" i="5" s="1"/>
  <c r="K42" i="31"/>
  <c r="K51" i="31"/>
  <c r="H8" i="31" s="1"/>
  <c r="I8" i="31" s="1"/>
  <c r="F26" i="5" s="1"/>
  <c r="K43" i="31"/>
  <c r="E7" i="36"/>
  <c r="H7" i="36" s="1"/>
  <c r="P32" i="36"/>
  <c r="K41" i="36"/>
  <c r="L42" i="22"/>
  <c r="K42" i="22"/>
  <c r="E8" i="22"/>
  <c r="H8" i="22" s="1"/>
  <c r="P33" i="22"/>
  <c r="M42" i="22"/>
  <c r="K29" i="31" l="1"/>
  <c r="O29" i="31" s="1"/>
  <c r="K39" i="22"/>
  <c r="E5" i="22"/>
  <c r="P30" i="22"/>
  <c r="E8" i="36"/>
  <c r="H8" i="36" s="1"/>
  <c r="K42" i="36"/>
  <c r="P33" i="36"/>
  <c r="K56" i="36"/>
  <c r="K48" i="36"/>
  <c r="E6" i="22"/>
  <c r="H6" i="22" s="1"/>
  <c r="K40" i="22"/>
  <c r="P31" i="22"/>
  <c r="M39" i="22"/>
  <c r="L40" i="22"/>
  <c r="L56" i="22"/>
  <c r="J7" i="22" s="1"/>
  <c r="K7" i="22" s="1"/>
  <c r="L48" i="22"/>
  <c r="L43" i="31"/>
  <c r="J8" i="31" s="1"/>
  <c r="L51" i="31"/>
  <c r="O51" i="31" s="1"/>
  <c r="M40" i="22"/>
  <c r="L39" i="36"/>
  <c r="AA26" i="5"/>
  <c r="E5" i="36"/>
  <c r="K39" i="36"/>
  <c r="P30" i="36"/>
  <c r="L42" i="31"/>
  <c r="J7" i="31" s="1"/>
  <c r="L50" i="31"/>
  <c r="O50" i="31" s="1"/>
  <c r="K48" i="31"/>
  <c r="H5" i="31" s="1"/>
  <c r="K40" i="31"/>
  <c r="J53" i="31"/>
  <c r="J55" i="31"/>
  <c r="J52" i="31" s="1"/>
  <c r="L41" i="31"/>
  <c r="J6" i="31" s="1"/>
  <c r="L49" i="31"/>
  <c r="O49" i="31" s="1"/>
  <c r="AA25" i="5"/>
  <c r="F9" i="31"/>
  <c r="P31" i="36"/>
  <c r="E6" i="36"/>
  <c r="H6" i="36" s="1"/>
  <c r="K40" i="36"/>
  <c r="AA24" i="5"/>
  <c r="K57" i="22"/>
  <c r="K49" i="22"/>
  <c r="L39" i="22"/>
  <c r="K35" i="36" l="1"/>
  <c r="M48" i="22"/>
  <c r="L7" i="22" s="1"/>
  <c r="H9" i="31"/>
  <c r="I5" i="31"/>
  <c r="F23" i="5" s="1"/>
  <c r="B8" i="20"/>
  <c r="L56" i="36"/>
  <c r="J7" i="36" s="1"/>
  <c r="K7" i="36" s="1"/>
  <c r="L48" i="36"/>
  <c r="M7" i="5"/>
  <c r="AA31" i="5" s="1"/>
  <c r="F7" i="5"/>
  <c r="L57" i="22"/>
  <c r="P57" i="22" s="1"/>
  <c r="L49" i="22"/>
  <c r="K57" i="36"/>
  <c r="K49" i="36"/>
  <c r="K46" i="36"/>
  <c r="K54" i="36"/>
  <c r="F6" i="5"/>
  <c r="M6" i="5"/>
  <c r="AA30" i="5" s="1"/>
  <c r="H5" i="36"/>
  <c r="E9" i="36"/>
  <c r="P56" i="22"/>
  <c r="E8" i="20"/>
  <c r="E7" i="20"/>
  <c r="M8" i="5"/>
  <c r="AA32" i="5" s="1"/>
  <c r="F8" i="5"/>
  <c r="K55" i="36"/>
  <c r="K47" i="36"/>
  <c r="E9" i="20"/>
  <c r="H5" i="22"/>
  <c r="E9" i="22"/>
  <c r="K54" i="22"/>
  <c r="K46" i="22"/>
  <c r="K35" i="22"/>
  <c r="L40" i="31"/>
  <c r="L48" i="31"/>
  <c r="K55" i="22"/>
  <c r="K47" i="22"/>
  <c r="K53" i="31"/>
  <c r="K55" i="31"/>
  <c r="K52" i="31" s="1"/>
  <c r="L35" i="36" l="1"/>
  <c r="P56" i="36"/>
  <c r="P35" i="36"/>
  <c r="H9" i="36"/>
  <c r="AC25" i="5"/>
  <c r="C25" i="5"/>
  <c r="L54" i="22"/>
  <c r="J5" i="22" s="1"/>
  <c r="L46" i="22"/>
  <c r="L35" i="22"/>
  <c r="L53" i="31"/>
  <c r="L55" i="31"/>
  <c r="L52" i="31" s="1"/>
  <c r="P54" i="22"/>
  <c r="K59" i="22"/>
  <c r="K61" i="22"/>
  <c r="K58" i="22" s="1"/>
  <c r="J8" i="22"/>
  <c r="K8" i="22" s="1"/>
  <c r="H9" i="22"/>
  <c r="E25" i="20"/>
  <c r="E31" i="20" s="1"/>
  <c r="M48" i="36"/>
  <c r="L7" i="36" s="1"/>
  <c r="E27" i="20"/>
  <c r="E33" i="20" s="1"/>
  <c r="K59" i="36"/>
  <c r="K61" i="36"/>
  <c r="K58" i="36" s="1"/>
  <c r="L46" i="36"/>
  <c r="L54" i="36"/>
  <c r="P54" i="36" s="1"/>
  <c r="O48" i="31"/>
  <c r="AA23" i="5"/>
  <c r="J5" i="31"/>
  <c r="I9" i="31"/>
  <c r="E26" i="20"/>
  <c r="E32" i="20" s="1"/>
  <c r="L57" i="36"/>
  <c r="P57" i="36" s="1"/>
  <c r="L49" i="36"/>
  <c r="L55" i="22"/>
  <c r="P55" i="22" s="1"/>
  <c r="L47" i="22"/>
  <c r="L55" i="36"/>
  <c r="J6" i="36" s="1"/>
  <c r="K6" i="36" s="1"/>
  <c r="L47" i="36"/>
  <c r="M49" i="22"/>
  <c r="M47" i="22" l="1"/>
  <c r="M46" i="36"/>
  <c r="J8" i="36"/>
  <c r="K8" i="36" s="1"/>
  <c r="AC26" i="5" s="1"/>
  <c r="M49" i="36"/>
  <c r="AC24" i="5"/>
  <c r="M47" i="36"/>
  <c r="L6" i="36" s="1"/>
  <c r="M46" i="22"/>
  <c r="L59" i="22"/>
  <c r="L61" i="22"/>
  <c r="M61" i="22" s="1"/>
  <c r="L59" i="36"/>
  <c r="L61" i="36"/>
  <c r="M61" i="36" s="1"/>
  <c r="P35" i="22"/>
  <c r="K5" i="22"/>
  <c r="P55" i="36"/>
  <c r="L8" i="22"/>
  <c r="J6" i="22"/>
  <c r="K6" i="22" s="1"/>
  <c r="E6" i="20"/>
  <c r="J5" i="36"/>
  <c r="M5" i="5"/>
  <c r="AA29" i="5" s="1"/>
  <c r="F5" i="5"/>
  <c r="C26" i="5" l="1"/>
  <c r="L8" i="36"/>
  <c r="M58" i="22"/>
  <c r="M58" i="36"/>
  <c r="J9" i="36"/>
  <c r="K5" i="36"/>
  <c r="E24" i="20"/>
  <c r="E30" i="20" s="1"/>
  <c r="L5" i="22"/>
  <c r="K9" i="22"/>
  <c r="L6" i="22"/>
  <c r="L58" i="36"/>
  <c r="B9" i="20"/>
  <c r="J9" i="22"/>
  <c r="L58" i="22"/>
  <c r="C24" i="5"/>
  <c r="B7" i="20" l="1"/>
  <c r="B6" i="20"/>
  <c r="L5" i="36"/>
  <c r="C23" i="5"/>
  <c r="K9" i="36"/>
  <c r="L18" i="29" l="1"/>
  <c r="L34" i="29" s="1"/>
  <c r="K18" i="29"/>
  <c r="M18" i="29"/>
  <c r="M34" i="29" s="1"/>
  <c r="L19" i="29"/>
  <c r="L35" i="29" s="1"/>
  <c r="M19" i="29"/>
  <c r="M35" i="29" s="1"/>
  <c r="K19" i="29"/>
  <c r="K20" i="29"/>
  <c r="M20" i="29"/>
  <c r="M36" i="29" s="1"/>
  <c r="L20" i="29"/>
  <c r="L36" i="29" s="1"/>
  <c r="E8" i="29" l="1"/>
  <c r="G8" i="29" s="1"/>
  <c r="P20" i="29"/>
  <c r="K36" i="29"/>
  <c r="P19" i="29"/>
  <c r="E7" i="29"/>
  <c r="G7" i="29" s="1"/>
  <c r="K35" i="29"/>
  <c r="M16" i="29"/>
  <c r="L16" i="29"/>
  <c r="K16" i="29"/>
  <c r="P18" i="29"/>
  <c r="E6" i="29"/>
  <c r="G6" i="29" s="1"/>
  <c r="K34" i="29"/>
  <c r="E4" i="29" l="1"/>
  <c r="P16" i="29"/>
  <c r="K32" i="29"/>
  <c r="L32" i="29"/>
  <c r="M32" i="29"/>
  <c r="K50" i="29"/>
  <c r="K42" i="29"/>
  <c r="K51" i="29"/>
  <c r="K43" i="29"/>
  <c r="K49" i="29"/>
  <c r="K41" i="29"/>
  <c r="M17" i="29"/>
  <c r="M33" i="29" s="1"/>
  <c r="K17" i="29"/>
  <c r="L17" i="29"/>
  <c r="L33" i="29" s="1"/>
  <c r="L43" i="29" l="1"/>
  <c r="L51" i="29"/>
  <c r="I8" i="29" s="1"/>
  <c r="J8" i="29" s="1"/>
  <c r="K39" i="29"/>
  <c r="K47" i="29"/>
  <c r="L50" i="29"/>
  <c r="I7" i="29" s="1"/>
  <c r="J7" i="29" s="1"/>
  <c r="L42" i="29"/>
  <c r="E5" i="29"/>
  <c r="G5" i="29" s="1"/>
  <c r="P17" i="29"/>
  <c r="K33" i="29"/>
  <c r="L41" i="29"/>
  <c r="L49" i="29"/>
  <c r="I6" i="29" s="1"/>
  <c r="J6" i="29" s="1"/>
  <c r="E24" i="5" s="1"/>
  <c r="G4" i="29"/>
  <c r="E25" i="5" l="1"/>
  <c r="Z25" i="5"/>
  <c r="Z26" i="5"/>
  <c r="E26" i="5"/>
  <c r="K40" i="29"/>
  <c r="K48" i="29"/>
  <c r="K55" i="29" s="1"/>
  <c r="K52" i="29" s="1"/>
  <c r="M49" i="29"/>
  <c r="P49" i="29" s="1"/>
  <c r="M41" i="29"/>
  <c r="K6" i="29" s="1"/>
  <c r="L47" i="29"/>
  <c r="L39" i="29"/>
  <c r="M42" i="29"/>
  <c r="K7" i="29" s="1"/>
  <c r="M50" i="29"/>
  <c r="P50" i="29" s="1"/>
  <c r="G9" i="29"/>
  <c r="E9" i="29"/>
  <c r="M51" i="29"/>
  <c r="P51" i="29" s="1"/>
  <c r="M43" i="29"/>
  <c r="K8" i="29" s="1"/>
  <c r="K29" i="29"/>
  <c r="Z24" i="5"/>
  <c r="L29" i="29" l="1"/>
  <c r="P29" i="29" s="1"/>
  <c r="D7" i="20"/>
  <c r="M47" i="29"/>
  <c r="P47" i="29" s="1"/>
  <c r="M39" i="29"/>
  <c r="I4" i="29"/>
  <c r="K53" i="29"/>
  <c r="D8" i="20"/>
  <c r="E7" i="5"/>
  <c r="L7" i="5"/>
  <c r="Z31" i="5" s="1"/>
  <c r="E8" i="5"/>
  <c r="L8" i="5"/>
  <c r="Z32" i="5" s="1"/>
  <c r="D9" i="20"/>
  <c r="L6" i="5"/>
  <c r="Z30" i="5" s="1"/>
  <c r="E6" i="5"/>
  <c r="L40" i="29"/>
  <c r="L48" i="29"/>
  <c r="L53" i="29" s="1"/>
  <c r="M40" i="29" l="1"/>
  <c r="M48" i="29"/>
  <c r="M53" i="29" s="1"/>
  <c r="D26" i="20"/>
  <c r="I5" i="29"/>
  <c r="J5" i="29" s="1"/>
  <c r="D27" i="20"/>
  <c r="L55" i="29"/>
  <c r="M55" i="29" s="1"/>
  <c r="P48" i="29"/>
  <c r="J4" i="29"/>
  <c r="D25" i="20"/>
  <c r="M52" i="29" l="1"/>
  <c r="E22" i="5"/>
  <c r="Z22" i="5"/>
  <c r="Z23" i="5"/>
  <c r="E23" i="5"/>
  <c r="L52" i="29"/>
  <c r="D33" i="20"/>
  <c r="D32" i="20"/>
  <c r="K5" i="29"/>
  <c r="D31" i="20"/>
  <c r="K4" i="29"/>
  <c r="J9" i="29"/>
  <c r="I9" i="29"/>
  <c r="L5" i="5" l="1"/>
  <c r="Z29" i="5" s="1"/>
  <c r="E5" i="5"/>
  <c r="D5" i="20"/>
  <c r="L4" i="5"/>
  <c r="Z28" i="5" s="1"/>
  <c r="E4" i="5"/>
  <c r="D6" i="20"/>
  <c r="D23" i="20" l="1"/>
  <c r="D24" i="20"/>
  <c r="D30" i="20" l="1"/>
  <c r="D29" i="20"/>
  <c r="L16" i="42" l="1"/>
  <c r="L39" i="42" s="1"/>
  <c r="M16" i="42"/>
  <c r="M39" i="42" s="1"/>
  <c r="K16" i="42"/>
  <c r="P16" i="42" l="1"/>
  <c r="K39" i="42"/>
  <c r="E4" i="42"/>
  <c r="K46" i="42" l="1"/>
  <c r="K54" i="42"/>
  <c r="H4" i="42"/>
  <c r="L54" i="42" l="1"/>
  <c r="J4" i="42" s="1"/>
  <c r="K4" i="42" s="1"/>
  <c r="L46" i="42"/>
  <c r="M54" i="42" l="1"/>
  <c r="P54" i="42" s="1"/>
  <c r="M46" i="42"/>
  <c r="L4" i="42" s="1"/>
  <c r="K16" i="24"/>
  <c r="M16" i="24"/>
  <c r="M39" i="24" s="1"/>
  <c r="L16" i="24"/>
  <c r="L39" i="24" s="1"/>
  <c r="AD22" i="5"/>
  <c r="C14" i="20" l="1"/>
  <c r="E4" i="24"/>
  <c r="K39" i="24"/>
  <c r="P16" i="24"/>
  <c r="H4" i="24" l="1"/>
  <c r="K54" i="24"/>
  <c r="K46" i="24"/>
  <c r="L54" i="24" l="1"/>
  <c r="J4" i="24" s="1"/>
  <c r="L46" i="24"/>
  <c r="M54" i="24" l="1"/>
  <c r="P54" i="24" s="1"/>
  <c r="M46" i="24"/>
  <c r="K4" i="24"/>
  <c r="D22" i="5" s="1"/>
  <c r="L4" i="24" l="1"/>
  <c r="M20" i="42"/>
  <c r="M43" i="42" s="1"/>
  <c r="K20" i="42"/>
  <c r="L20" i="42"/>
  <c r="L43" i="42" s="1"/>
  <c r="L19" i="42"/>
  <c r="L42" i="42" s="1"/>
  <c r="M19" i="42"/>
  <c r="M42" i="42" s="1"/>
  <c r="K19" i="42"/>
  <c r="Y22" i="5"/>
  <c r="C5" i="20" l="1"/>
  <c r="E7" i="42"/>
  <c r="H7" i="42" s="1"/>
  <c r="P19" i="42"/>
  <c r="K42" i="42"/>
  <c r="K43" i="42"/>
  <c r="P20" i="42"/>
  <c r="E8" i="42"/>
  <c r="H8" i="42" s="1"/>
  <c r="D4" i="5"/>
  <c r="K4" i="5"/>
  <c r="Y28" i="5" s="1"/>
  <c r="K18" i="42"/>
  <c r="M18" i="42"/>
  <c r="M41" i="42" s="1"/>
  <c r="L18" i="42"/>
  <c r="L41" i="42" s="1"/>
  <c r="K57" i="42" l="1"/>
  <c r="K49" i="42"/>
  <c r="K41" i="42"/>
  <c r="E6" i="42"/>
  <c r="H6" i="42" s="1"/>
  <c r="P18" i="42"/>
  <c r="M17" i="42"/>
  <c r="M40" i="42" s="1"/>
  <c r="K17" i="42"/>
  <c r="L17" i="42"/>
  <c r="L40" i="42" s="1"/>
  <c r="K58" i="42"/>
  <c r="K50" i="42"/>
  <c r="F5" i="20"/>
  <c r="C23" i="20"/>
  <c r="P17" i="42" l="1"/>
  <c r="K40" i="42"/>
  <c r="E5" i="42"/>
  <c r="K56" i="42"/>
  <c r="K48" i="42"/>
  <c r="C29" i="20"/>
  <c r="L58" i="42"/>
  <c r="J8" i="42" s="1"/>
  <c r="K8" i="42" s="1"/>
  <c r="L50" i="42"/>
  <c r="L49" i="42"/>
  <c r="L57" i="42"/>
  <c r="J7" i="42" s="1"/>
  <c r="K7" i="42" s="1"/>
  <c r="M49" i="42" l="1"/>
  <c r="L7" i="42" s="1"/>
  <c r="AD25" i="5"/>
  <c r="M50" i="42"/>
  <c r="L8" i="42" s="1"/>
  <c r="M58" i="42"/>
  <c r="M60" i="42" s="1"/>
  <c r="K19" i="24"/>
  <c r="M19" i="24"/>
  <c r="M42" i="24" s="1"/>
  <c r="L19" i="24"/>
  <c r="L42" i="24" s="1"/>
  <c r="L48" i="42"/>
  <c r="L56" i="42"/>
  <c r="J6" i="42" s="1"/>
  <c r="K6" i="42" s="1"/>
  <c r="H5" i="42"/>
  <c r="E9" i="42"/>
  <c r="K47" i="42"/>
  <c r="K55" i="42"/>
  <c r="K36" i="42"/>
  <c r="AD26" i="5"/>
  <c r="K20" i="24"/>
  <c r="M20" i="24"/>
  <c r="M43" i="24" s="1"/>
  <c r="L20" i="24"/>
  <c r="L43" i="24" s="1"/>
  <c r="P57" i="42"/>
  <c r="L18" i="24"/>
  <c r="L41" i="24" s="1"/>
  <c r="K18" i="24"/>
  <c r="M18" i="24"/>
  <c r="M41" i="24" s="1"/>
  <c r="C18" i="20" l="1"/>
  <c r="H9" i="42"/>
  <c r="E6" i="24"/>
  <c r="H6" i="24" s="1"/>
  <c r="P18" i="24"/>
  <c r="K41" i="24"/>
  <c r="P19" i="24"/>
  <c r="E7" i="24"/>
  <c r="H7" i="24" s="1"/>
  <c r="K42" i="24"/>
  <c r="K60" i="42"/>
  <c r="L55" i="42"/>
  <c r="P55" i="42" s="1"/>
  <c r="L47" i="42"/>
  <c r="L36" i="42"/>
  <c r="C17" i="20"/>
  <c r="K62" i="42"/>
  <c r="M48" i="42"/>
  <c r="L6" i="42" s="1"/>
  <c r="P56" i="42"/>
  <c r="E8" i="24"/>
  <c r="H8" i="24" s="1"/>
  <c r="P20" i="24"/>
  <c r="K43" i="24"/>
  <c r="P58" i="42"/>
  <c r="J5" i="42" l="1"/>
  <c r="J9" i="42" s="1"/>
  <c r="L60" i="42"/>
  <c r="M47" i="42"/>
  <c r="C16" i="20"/>
  <c r="M17" i="24"/>
  <c r="M40" i="24" s="1"/>
  <c r="L17" i="24"/>
  <c r="L40" i="24" s="1"/>
  <c r="K17" i="24"/>
  <c r="K59" i="42"/>
  <c r="L62" i="42"/>
  <c r="P36" i="42"/>
  <c r="K49" i="24"/>
  <c r="K57" i="24"/>
  <c r="K56" i="24"/>
  <c r="K48" i="24"/>
  <c r="K50" i="24"/>
  <c r="K58" i="24"/>
  <c r="K5" i="42" l="1"/>
  <c r="AD23" i="5" s="1"/>
  <c r="L56" i="24"/>
  <c r="J6" i="24" s="1"/>
  <c r="K6" i="24" s="1"/>
  <c r="D24" i="5" s="1"/>
  <c r="L48" i="24"/>
  <c r="L59" i="42"/>
  <c r="M62" i="42"/>
  <c r="M59" i="42" s="1"/>
  <c r="P17" i="24"/>
  <c r="E5" i="24"/>
  <c r="K40" i="24"/>
  <c r="L58" i="24"/>
  <c r="J8" i="24" s="1"/>
  <c r="K8" i="24" s="1"/>
  <c r="L50" i="24"/>
  <c r="L57" i="24"/>
  <c r="J7" i="24" s="1"/>
  <c r="K7" i="24" s="1"/>
  <c r="L49" i="24"/>
  <c r="K9" i="42" l="1"/>
  <c r="L5" i="42"/>
  <c r="Y26" i="5"/>
  <c r="D26" i="5"/>
  <c r="Y25" i="5"/>
  <c r="D25" i="5"/>
  <c r="Y24" i="5"/>
  <c r="K55" i="24"/>
  <c r="K47" i="24"/>
  <c r="K36" i="24"/>
  <c r="H5" i="24"/>
  <c r="E9" i="24"/>
  <c r="P56" i="24"/>
  <c r="M49" i="24"/>
  <c r="L7" i="24" s="1"/>
  <c r="M58" i="24"/>
  <c r="M50" i="24"/>
  <c r="L8" i="24" s="1"/>
  <c r="C15" i="20"/>
  <c r="P57" i="24"/>
  <c r="M48" i="24"/>
  <c r="L6" i="24" s="1"/>
  <c r="L36" i="24" l="1"/>
  <c r="K60" i="24"/>
  <c r="C8" i="20"/>
  <c r="K62" i="24"/>
  <c r="M60" i="24"/>
  <c r="P58" i="24"/>
  <c r="D8" i="5"/>
  <c r="K8" i="5"/>
  <c r="Y32" i="5" s="1"/>
  <c r="D7" i="5"/>
  <c r="K7" i="5"/>
  <c r="Y31" i="5" s="1"/>
  <c r="C9" i="20"/>
  <c r="L55" i="24"/>
  <c r="P55" i="24" s="1"/>
  <c r="L47" i="24"/>
  <c r="K6" i="5"/>
  <c r="Y30" i="5" s="1"/>
  <c r="D6" i="5"/>
  <c r="H9" i="24"/>
  <c r="C7" i="20"/>
  <c r="M47" i="24" l="1"/>
  <c r="P36" i="24"/>
  <c r="L60" i="24"/>
  <c r="K59" i="24"/>
  <c r="L62" i="24"/>
  <c r="F9" i="20"/>
  <c r="C27" i="20"/>
  <c r="J5" i="24"/>
  <c r="C26" i="20"/>
  <c r="F8" i="20"/>
  <c r="F7" i="20"/>
  <c r="C25" i="20"/>
  <c r="C32" i="20" l="1"/>
  <c r="C31" i="20"/>
  <c r="M62" i="24"/>
  <c r="M59" i="24" s="1"/>
  <c r="L59" i="24"/>
  <c r="C33" i="20"/>
  <c r="J9" i="24"/>
  <c r="K5" i="24"/>
  <c r="D23" i="5" s="1"/>
  <c r="Y23" i="5" l="1"/>
  <c r="L5" i="24"/>
  <c r="K9" i="24"/>
  <c r="K5" i="5" l="1"/>
  <c r="Y29" i="5" s="1"/>
  <c r="D5" i="5"/>
  <c r="C6" i="20"/>
  <c r="C24" i="20" l="1"/>
  <c r="F6" i="20"/>
  <c r="C30" i="20" l="1"/>
  <c r="D6" i="39" l="1"/>
  <c r="C6" i="39" s="1"/>
  <c r="D9" i="39"/>
  <c r="C9" i="39" s="1"/>
  <c r="D8" i="39"/>
  <c r="C8" i="39" s="1"/>
  <c r="D7" i="39"/>
  <c r="C7" i="39" s="1"/>
  <c r="C16" i="5" l="1"/>
  <c r="AC16" i="5"/>
  <c r="AC17" i="5"/>
  <c r="C17" i="5"/>
  <c r="C15" i="5"/>
  <c r="J6" i="5" s="1"/>
  <c r="AC15" i="5"/>
  <c r="C14" i="5"/>
  <c r="AC14" i="5"/>
  <c r="B18" i="20" l="1"/>
  <c r="AG17" i="5"/>
  <c r="D5" i="39"/>
  <c r="B15" i="20"/>
  <c r="AG14" i="5"/>
  <c r="J5" i="5"/>
  <c r="X29" i="5" s="1"/>
  <c r="C5" i="5"/>
  <c r="H5" i="5" s="1"/>
  <c r="B16" i="20"/>
  <c r="AG15" i="5"/>
  <c r="X30" i="5"/>
  <c r="C6" i="5"/>
  <c r="H6" i="5" s="1"/>
  <c r="J8" i="5"/>
  <c r="X32" i="5" s="1"/>
  <c r="C8" i="5"/>
  <c r="H8" i="5" s="1"/>
  <c r="B17" i="20"/>
  <c r="AG16" i="5"/>
  <c r="J7" i="5"/>
  <c r="X31" i="5" s="1"/>
  <c r="C7" i="5"/>
  <c r="H7" i="5" s="1"/>
  <c r="N5" i="5" l="1"/>
  <c r="B24" i="20"/>
  <c r="F15" i="20"/>
  <c r="C5" i="39"/>
  <c r="D10" i="39"/>
  <c r="N6" i="5"/>
  <c r="B27" i="20"/>
  <c r="F18" i="20"/>
  <c r="N8" i="5"/>
  <c r="N7" i="5"/>
  <c r="B25" i="20"/>
  <c r="F16" i="20"/>
  <c r="B26" i="20"/>
  <c r="F17" i="20"/>
  <c r="B31" i="20" l="1"/>
  <c r="F25" i="20"/>
  <c r="G25" i="20" s="1"/>
  <c r="B33" i="20"/>
  <c r="F27" i="20"/>
  <c r="G27" i="20" s="1"/>
  <c r="B32" i="20"/>
  <c r="F26" i="20"/>
  <c r="G26" i="20" s="1"/>
  <c r="C13" i="5"/>
  <c r="C10" i="39"/>
  <c r="AC13" i="5"/>
  <c r="B30" i="20"/>
  <c r="F24" i="20"/>
  <c r="G24" i="20" s="1"/>
  <c r="B14" i="20" l="1"/>
  <c r="AG13" i="5"/>
  <c r="C4" i="5"/>
  <c r="H4" i="5" s="1"/>
  <c r="J4" i="5"/>
  <c r="X28" i="5" s="1"/>
  <c r="N4" i="5" l="1"/>
  <c r="B23" i="20"/>
  <c r="F14" i="20"/>
  <c r="B29" i="20" l="1"/>
  <c r="F23" i="20"/>
  <c r="G23" i="20" s="1"/>
</calcChain>
</file>

<file path=xl/sharedStrings.xml><?xml version="1.0" encoding="utf-8"?>
<sst xmlns="http://schemas.openxmlformats.org/spreadsheetml/2006/main" count="908" uniqueCount="280">
  <si>
    <t>Allocated Program Costs</t>
  </si>
  <si>
    <t>Over/(Under)</t>
  </si>
  <si>
    <t>PCR</t>
  </si>
  <si>
    <t>Total</t>
  </si>
  <si>
    <t>PPC</t>
  </si>
  <si>
    <t>Service Class</t>
  </si>
  <si>
    <t>FORECASTED</t>
  </si>
  <si>
    <t>TDR</t>
  </si>
  <si>
    <t>Interest</t>
  </si>
  <si>
    <t>INPUTS</t>
  </si>
  <si>
    <t>Starting Balance</t>
  </si>
  <si>
    <t>Program Cost Rate</t>
  </si>
  <si>
    <t>4. Total Interest</t>
  </si>
  <si>
    <t>5. Total Interest</t>
  </si>
  <si>
    <t>PTD</t>
  </si>
  <si>
    <t>OA</t>
  </si>
  <si>
    <t>OAR</t>
  </si>
  <si>
    <t>NPC</t>
  </si>
  <si>
    <t>NTD</t>
  </si>
  <si>
    <t>NOA</t>
  </si>
  <si>
    <t>cumulative check</t>
  </si>
  <si>
    <t>monthly GL interest check</t>
  </si>
  <si>
    <t>Residential</t>
  </si>
  <si>
    <t>Non-Residential</t>
  </si>
  <si>
    <t>2. PPC</t>
  </si>
  <si>
    <t>DSIM($/kWh)</t>
  </si>
  <si>
    <t>2. PTD</t>
  </si>
  <si>
    <t xml:space="preserve">INPUTS </t>
  </si>
  <si>
    <t>ACTUAL</t>
  </si>
  <si>
    <t>3. Actual/Forecasted Revenues - Program Costs Only</t>
  </si>
  <si>
    <t>Regulatory Asset/(Liability) (calculated)</t>
  </si>
  <si>
    <t>Interest Carrying Cost (calculated)</t>
  </si>
  <si>
    <t>PE (kWh)</t>
  </si>
  <si>
    <t>Defined Terms</t>
  </si>
  <si>
    <t>EP = Effective Period (six months beginning July 2014) and each six month period thereafter</t>
  </si>
  <si>
    <t>PCR = Program Costs Reconciliation for the current EP</t>
  </si>
  <si>
    <t>OA = Ordered Adjustment</t>
  </si>
  <si>
    <t>RP = Recovery Period (six months beginning August 2014) and each six month period thereafter</t>
  </si>
  <si>
    <t>1. PE - Recovery Period Forecasted Billed kWh Sales</t>
  </si>
  <si>
    <t>Billed kWh Sales</t>
  </si>
  <si>
    <t>Billed Revenues</t>
  </si>
  <si>
    <t>2. Actual/Forecasted Billed KWh Sales - Reduced for Opt-Out</t>
  </si>
  <si>
    <t>TDR = Throughput Disincentive Reconciliation in the current EP</t>
  </si>
  <si>
    <t>5. Short-Term Interest Rate</t>
  </si>
  <si>
    <t>6. Current Tariff Rate</t>
  </si>
  <si>
    <t>6. Actual program cost rate component of the tariff rate</t>
  </si>
  <si>
    <t>(Over)/Under (calculated)</t>
  </si>
  <si>
    <t>Cumulative (Over)/Under (calculated)</t>
  </si>
  <si>
    <t>TD</t>
  </si>
  <si>
    <t>Beginning Over/(Under)</t>
  </si>
  <si>
    <t>TD Rate</t>
  </si>
  <si>
    <t>NEO</t>
  </si>
  <si>
    <t>EO</t>
  </si>
  <si>
    <t>EOR</t>
  </si>
  <si>
    <t>2. Actual Revenues - TD Only</t>
  </si>
  <si>
    <t>1. Actual/Forecasted TD</t>
  </si>
  <si>
    <t>1. Forecasted kWh Sales Impact</t>
  </si>
  <si>
    <t>3. kWh Sales Impact</t>
  </si>
  <si>
    <t>7. Current Tariff Rate</t>
  </si>
  <si>
    <t>4. Actual/Forecasted TD</t>
  </si>
  <si>
    <t>7. Actual TD rate component of the tariff rate</t>
  </si>
  <si>
    <t>Cumulative kWh Sales Impact</t>
  </si>
  <si>
    <t>EO Rate</t>
  </si>
  <si>
    <t>OA Rate</t>
  </si>
  <si>
    <t>PPC-cycle 1</t>
  </si>
  <si>
    <t>PTD-cycle 1</t>
  </si>
  <si>
    <t>PPC-cycle 2</t>
  </si>
  <si>
    <t>PTD-cycle 2</t>
  </si>
  <si>
    <t>PCR-cycle 1</t>
  </si>
  <si>
    <t>TDR-cycle 1</t>
  </si>
  <si>
    <t>PCR-cycle 2</t>
  </si>
  <si>
    <t>TDR-cycle 2</t>
  </si>
  <si>
    <t>EO-cycle 1</t>
  </si>
  <si>
    <t>EOR-cycle 1</t>
  </si>
  <si>
    <t>2. Carrying Costs on OA</t>
  </si>
  <si>
    <t>1. Actual/Forecasted Earnings Opportunity</t>
  </si>
  <si>
    <t>2. Actual Revenues - EO Only</t>
  </si>
  <si>
    <t>3. Actual/Forecasted EO Amortization</t>
  </si>
  <si>
    <t>2. Actual Revenues - OA Only</t>
  </si>
  <si>
    <t>1. Actual/Forecasted Ordered Adjustments</t>
  </si>
  <si>
    <t>3. Actual/Forecasted Ordered Adjustments</t>
  </si>
  <si>
    <t>OA-cycle 2</t>
  </si>
  <si>
    <t>OAR-cycle 2</t>
  </si>
  <si>
    <t>6. Actual EO rate component of the tariff rate</t>
  </si>
  <si>
    <t>5. Total Earnings Opportunity plus Carrying Costs</t>
  </si>
  <si>
    <t>1. Total Earnings Opportunity</t>
  </si>
  <si>
    <t>2. EO TD Ex Post Gross Adjustment</t>
  </si>
  <si>
    <t>4. Carrying Costs @ AFUDC Rate</t>
  </si>
  <si>
    <t>EO-cycle 2</t>
  </si>
  <si>
    <t>3. EO TD NTG Adjustment</t>
  </si>
  <si>
    <t>EOR-cycle 2</t>
  </si>
  <si>
    <t>Non-Residential SGS</t>
  </si>
  <si>
    <t>Non-Residential MGS</t>
  </si>
  <si>
    <t>Non-Residential LGS</t>
  </si>
  <si>
    <t>Non-Residential LPS</t>
  </si>
  <si>
    <t>Total Non-Residential</t>
  </si>
  <si>
    <t>Cycle 3 Projected Throughput Disincentive (PTD) TD Calculation</t>
  </si>
  <si>
    <t>PPC-cycle 3</t>
  </si>
  <si>
    <t>PTD-cycle 3</t>
  </si>
  <si>
    <t>EO-cycle 3</t>
  </si>
  <si>
    <t>OA-cycle 3</t>
  </si>
  <si>
    <t>PCR-cycle 3</t>
  </si>
  <si>
    <t>TDR-cycle 3</t>
  </si>
  <si>
    <t>EOR-cycle 3</t>
  </si>
  <si>
    <t>OAR-cycle 3</t>
  </si>
  <si>
    <t>6. Short-Term Interest Rate</t>
  </si>
  <si>
    <t>6. Actual OA rate component of the tariff rate</t>
  </si>
  <si>
    <t>Cycle 3</t>
  </si>
  <si>
    <t>Total DSIM</t>
  </si>
  <si>
    <t>NOA ($/kWh)</t>
  </si>
  <si>
    <t>NEO ($/kWh)</t>
  </si>
  <si>
    <t>NTD ($/kWh)</t>
  </si>
  <si>
    <t>NPC ($/kWh)</t>
  </si>
  <si>
    <t>Rate Schedule</t>
  </si>
  <si>
    <t>Non-Residential - SGS</t>
  </si>
  <si>
    <t>Non-Residential - MGS</t>
  </si>
  <si>
    <t>Non-Residential - LGS</t>
  </si>
  <si>
    <t>Non-Residential - LPS</t>
  </si>
  <si>
    <t>Cycle 3 Program Costs Reconciliation (PCR) Calculation</t>
  </si>
  <si>
    <t>1. Allocated Actual Program Costs</t>
  </si>
  <si>
    <t>Cycle 3 Throughput Disincentive TD Reconciliation (TDR) Calculation</t>
  </si>
  <si>
    <t>PTD = Projected Throughput Disincentive in the upcoming EP plus the succeeding EP</t>
  </si>
  <si>
    <t>PPC = Projected Program Costs in the upcoming EP plus the succeeding EP</t>
  </si>
  <si>
    <t>EO = Earnings Opportunity amortized in the upcoming EP plus the succeeding EP</t>
  </si>
  <si>
    <t>EOR = Earnings Opportunity Reconciliation in the current EP</t>
  </si>
  <si>
    <t>OAR = Ordered Adjustment Reconciliation in the current EP</t>
  </si>
  <si>
    <t>NTD = Net Throughput Disincentive for the upcoming EP plus the succeeding EP (PTD + TDR)</t>
  </si>
  <si>
    <t>NPC = Net Program Costs for the upcoming EP plus the succeeding EP (PPC + PCR)</t>
  </si>
  <si>
    <t>NEO = Net Earnings Opportunity for the upcoming EP plus the succeeding EP (EO + EOR)</t>
  </si>
  <si>
    <t>Res</t>
  </si>
  <si>
    <t>SGS</t>
  </si>
  <si>
    <t>MGS</t>
  </si>
  <si>
    <t>LGS</t>
  </si>
  <si>
    <t>LPS</t>
  </si>
  <si>
    <t>DSIM ($/kWh)</t>
  </si>
  <si>
    <t>5. Total Earnings Opportunity plus Carrying Costs - Source: Sum of Columns 1. through 4.</t>
  </si>
  <si>
    <t>1.  Actual monthly EO - Source: Sum of Line 3.
    Forecasted monthly EO - Source: Sum of Line 3.</t>
  </si>
  <si>
    <t>Cycle 3 - Total</t>
  </si>
  <si>
    <t>Cycle 3 Earnings Opportunity (EO) Calculation</t>
  </si>
  <si>
    <t>6. Amortization Over 12 Month Recovery Period</t>
  </si>
  <si>
    <t>Cycle 3 - Program Year 1 (including EO TD Adjustments through October 2021) (Amortize February 2022-January 2023)</t>
  </si>
  <si>
    <t>Cycle 3 Earnings Opportunity Reconciliation (EOR) Calculation</t>
  </si>
  <si>
    <t>Cycle 3 - Program Year 1 EO TD Adjustments November 2021 - April 2022 (Amortize August 2022 - July 2023)</t>
  </si>
  <si>
    <t>Cycle 3 Ordered Adjustment (OA) Calculation</t>
  </si>
  <si>
    <t>Cycle 3 Ordered Adjustments Reconciliation (OAR) Calculation</t>
  </si>
  <si>
    <t>1. Ordered Adjustment - Program Costs</t>
  </si>
  <si>
    <t>2. Ordered Adjustment - Throughput Disincentive</t>
  </si>
  <si>
    <t>3. Carrying Costs on OA</t>
  </si>
  <si>
    <t>Cycle 3 - Program Year 1 EO TD Adjustments May 2022 - November 2022 (Amortize February 2023 - January 2024)</t>
  </si>
  <si>
    <t>Allocation</t>
  </si>
  <si>
    <t>Cycle 3 - Program Year 2 (including EO TD Adjustments through December 2022) (Amortize August 2023-July 2024)</t>
  </si>
  <si>
    <t>3. Actual/Forecasted EO Amortization - Source:  EO Cycle 3 tab column G divided by remaining months on EO Cycle 3 tab.</t>
  </si>
  <si>
    <t>NOA = Net Ordered Adjustment for the upcoming EP plus the succeeding EP (OA + OAR)</t>
  </si>
  <si>
    <t xml:space="preserve">PE = Projected Energy, in kWh to be delivered during the upcoming RP plus the succeeding RP </t>
  </si>
  <si>
    <t>Tab</t>
  </si>
  <si>
    <t>Tariff Tables</t>
  </si>
  <si>
    <t>Summary Description</t>
  </si>
  <si>
    <t>Summary of Sources</t>
  </si>
  <si>
    <t>Program Costs, Throughput Disincentive, Earnings Opportunity and Ordered Adjustments from subsidiary tabs listed below</t>
  </si>
  <si>
    <t>DSIM Cycle Tables</t>
  </si>
  <si>
    <t>Analysis of DSIM rates by Customer Class by MEEIA Cycle and Cost Components</t>
  </si>
  <si>
    <t>Tariff Tables tab</t>
  </si>
  <si>
    <t>PCR Cycle 3</t>
  </si>
  <si>
    <t>PTD Cycle 3</t>
  </si>
  <si>
    <t>TDR Cycle 3</t>
  </si>
  <si>
    <t>The Company analyzes monthly DSIM rider revenues billed by MEEIA Cycle, customer class and DSIM cost component per the DSIM tariffs (PPC, PCR, PTD, TDR, EO, EOR, OA and OAR). Each month the Company analyzes actual program costs by program which are mapped or allocated to customer classes.  Monthly DSIM rider revenues billed are compared to actual Program Costs to determine current over or under recovery which is accumulated by customer class.  Interest is calculated on the over or under recovered Program Costs at the short-term borrowing rates defined in the DSIM tariffs.</t>
  </si>
  <si>
    <t>EO Cycle 3</t>
  </si>
  <si>
    <t>EOR Cycle 3</t>
  </si>
  <si>
    <t>OA Cycle 3</t>
  </si>
  <si>
    <t>OAR Cycle 3</t>
  </si>
  <si>
    <t>The Company analyzes monthly DSIM rider revenues billed by customer class and DSIM cost component per the DSIM tariffs (PPC, PCR, PTD, TDR, EO, EOR, OA and OAR). Interest is calculated on the over or under recovered Ordered Adjustments at the short-term borrowing rates defined in the DSIM tariffs.</t>
  </si>
  <si>
    <t>The Company analyzes monthly DSIM rider revenues billed by customer class and DSIM cost component per the DSIM tariffs (PPC, PCR, PTD, TDR, EO, EOR, OA and OAR). Pursuant to the DSIM tariffs Earnings Opportunity, including EO TD Adjustments are amortized over 12 months. Interest is calculated on the over or under recovered Earnings Opportunity at the short-term borrowing rates defined in the DSIM tariffs.</t>
  </si>
  <si>
    <t>1. Ordered Adjustment - Program Costs - Source: None</t>
  </si>
  <si>
    <t>2. Ordered Adjustment - Throughput Disincentive - Source: None</t>
  </si>
  <si>
    <t>3. Carrying Costs on OA - Source: None</t>
  </si>
  <si>
    <t>Cycle 3 - Program Year 1 EO TD Adjustments December 2022 - April 2023 (Amortize February 2024 - January 2025)</t>
  </si>
  <si>
    <t>Cycle 3 - Program Year 3 (including EO TD Adjustments through October 2023) (Amortize February 2024 -January 2025)</t>
  </si>
  <si>
    <t>For next rider filing, reversal of Forecast to input in column C</t>
  </si>
  <si>
    <t>PPC-cycle 4</t>
  </si>
  <si>
    <t>PTD-cycle 4</t>
  </si>
  <si>
    <t>EO-cycle 4</t>
  </si>
  <si>
    <t>OA-cycle 4</t>
  </si>
  <si>
    <t>Cycle 4</t>
  </si>
  <si>
    <t>PCR-cycle 4</t>
  </si>
  <si>
    <t>TDR-cycle 4</t>
  </si>
  <si>
    <t>EOR-cycle 4</t>
  </si>
  <si>
    <t>OAR-cycle 4</t>
  </si>
  <si>
    <t>PCR Cycle 4</t>
  </si>
  <si>
    <t>Cycle 3 - Program Year 3 EO TD Adjustments November 2023 through April 2024 (Amortize August 2024 - July 2025)</t>
  </si>
  <si>
    <t>Cycle 4 Program Costs Reconciliation (PCR) Calculation</t>
  </si>
  <si>
    <t>4. Total monthly interest - Source: calculated</t>
  </si>
  <si>
    <t>5. Total monthly interest - Source: calculated</t>
  </si>
  <si>
    <t>2. Forecasted Throughput Disincentive -Sum of 3., 4., and 5.</t>
  </si>
  <si>
    <t>2. Forecasted program costs by customer class - Source: Sum of 3.</t>
  </si>
  <si>
    <t>Cycle 4 Projected Throughput Disincentive (PTD) TD Calculation</t>
  </si>
  <si>
    <t>Cycle 4 Projected Program Costs (PPC) Calculation</t>
  </si>
  <si>
    <t>Cycle 4 - Total</t>
  </si>
  <si>
    <t>Cycle 4 Earnings Opportunity (EO) Calculation</t>
  </si>
  <si>
    <t xml:space="preserve">2. EO TD Ex Post Gross Adjustment -  Source: </t>
  </si>
  <si>
    <t xml:space="preserve">3. EO TD NTG Adjustment -  Source: </t>
  </si>
  <si>
    <t xml:space="preserve">4. Carrying Costs @ AFUDC Rate -  Source: </t>
  </si>
  <si>
    <t>PPC Cycle 4</t>
  </si>
  <si>
    <t>PTD Cycle 4</t>
  </si>
  <si>
    <t>The Company creates a forecast of program costs and throughput disincentive, among other items, based on modeled assumptions used for the MEEIA 4 filing (EO-2023-0369). Program costs by customer class is summarized from that forecast. Projected billed kWh sales by customer class (net of opt outs) are extracted from the Company budget.</t>
  </si>
  <si>
    <t>Cycle 3 - Program Year 3 EO TD Adjustments May 2024 through Oct 2024 (Amortize February 2025 - January 2026)</t>
  </si>
  <si>
    <t>2. Forecasted Throughput Disincentive -Sum of 3.</t>
  </si>
  <si>
    <t>1. Forecasted kWh savings by customer classes: Residential, Small General Service, Medium General Service, Large General Service and Large Power Service - Source: Metro Cycle 3 Monthly TD Calc 032025 03252025.xlsx</t>
  </si>
  <si>
    <t>3. Forecasted Throughput Disincentive - Source: Metro Cycle 3 Monthly TD Calc 032025 03252025.xlsx</t>
  </si>
  <si>
    <t>4. Forecasted Throughput Disincentive - Source: Metro Cycle 3 Monthly TD Calc 032025 03252025.xlsx</t>
  </si>
  <si>
    <t>5. Forecasted Throughput Disincentive - Source: Metro Cycle 3 Monthly TD Calc 032025 03252025.xlsx</t>
  </si>
  <si>
    <t>1. &amp; 4. Actual monthly TD - Source: Metro Cycle 3 Monthly TD Calc 032025 03252025.xlsx
    Forecasted monthly TD  - Source: Metro Cycle 3 Monthly TD Calc 032025 03252025.xlsx</t>
  </si>
  <si>
    <t>3 &amp; 4. Actual kWh Sales Impact and TD - Source: Metro Cycle 3 Monthly TD Calc 032025 03252025.xlsx
    Forecasted kWh Sales Impact and TD - Source: Metro Cycle 3 Monthly TD Calc 032025 03252025.xlsx</t>
  </si>
  <si>
    <t>Cycle 3 - Program Year 5 through April 2025 (Amortize August 2025 -July 2026)</t>
  </si>
  <si>
    <t>TDR Cycle 4</t>
  </si>
  <si>
    <t>The Company analyzes monthly DSIM rider revenues billed by customer class and DSIM cost component per the DSIM tariffs (PPC, PCR, PTD, TDR, EO, EOR, OA and OAR). Pursuant to DSIM tariffs the Company calculates monthly Throughput Disincentive for Cycle 4 based on cumulative reported deemed kWh savings by MEEIA program and customer class, monthly loadshapes per program, current margin rates per customer class and Net to Gross (NTG) Factors in the tariff. Interest is calculated on the over or under recovered Throughput Disincentive at the short-term borrowing rates defined in the DSIM tariffs.</t>
  </si>
  <si>
    <t xml:space="preserve">The Company updates a forecast of program costs and throughput disincentive, among other items, based on program implementer forecast, when available, or modeled assumptions used for the MEEIA 4 filing (EO-2023-0369). Throughput Disincentive by customer class is summarized from that forecast. </t>
  </si>
  <si>
    <t>EO Cycle 4</t>
  </si>
  <si>
    <t>Cycle 3 - Program Year 3 EO TD Adjustments Nov 2024 through Apr 2025 (Amortize August 2025 - July 2026)</t>
  </si>
  <si>
    <t>Cycle 4 Throughput Disincentive TD Reconciliation (TDR) Calculation</t>
  </si>
  <si>
    <t>Cycle 4 - Program Year 1 through April 2026 (Amortize August 2026-July 2027)</t>
  </si>
  <si>
    <t>Cycle 4 - Program Year 2 through April 2027 (Amortize August 2027-July 2028)</t>
  </si>
  <si>
    <t>Cycle 4 - Program Year 3 through April 2028 (Amortize August 2028-July 2029)</t>
  </si>
  <si>
    <t>Earnings Opportunity awards are calculated for Cycle 4 program years 1-3 as follows:
- Demand response program earnings opportunity awards are calculated following the finalization of the Evalution, Measurement &amp; Verification (EM&amp;V) by applying the EO Matrix in the DSIM tariffs to the evaulated, net verified MW participation savings.
- All other programs' earnings opportunity awards are calculated by applying the EO Matrix in the DSIM tariffs based on each program's incentive program costs or total program costs, as applicable.
These calculated amounts are amortized into the DSIM rates over 12 months.</t>
  </si>
  <si>
    <t>Cycle 3 - Program Year 4 through April 2024 (Amortize August 2024 -July 2025)</t>
  </si>
  <si>
    <t>The Company analyzes monthly DSIM rider revenues billed by customer class and DSIM cost component per the DSIM tariffs (PPC, PCR, PTD, TDR, EO, EOR, OA and OAR). Pursuant to DSIM tariffs the Company calculates monthly Throughput Disincentive for Cycle 3 based on cumulative reported deemed kWh savings by MEEIA program and customer class, monthly loadshapes per program, current margin rates per customer class and Net to Gross (NTG) Factors in the tariff. As noted above, Cycle 3 Throughput Disincentive was adjusted after December 2022 to reflect the cumulative kWh savings through the true-up date of the recent rate cases (May 31, 2022) and updated margin rates concurrent with the new rates effective in January 2023. Interest is calculated on the over or under recovered Throughput Disincentive at the short-term borrowing rates defined in the DSIM tariffs.</t>
  </si>
  <si>
    <t>Cycle 3 - Program Year 5 May 2025 through October 2025 (Amortize February 2026 -January 2027)</t>
  </si>
  <si>
    <t>Cycle 3 - Program Year 3 EO TD Adjustments May 2025 through Oct 2025 (Amortize February 2026 - January 2027)</t>
  </si>
  <si>
    <t>Projections for Cycle 4 July 2026 - June 2027 DSIM</t>
  </si>
  <si>
    <t>Cumulative Over/Under Carryover From 12/01/2025 Filing</t>
  </si>
  <si>
    <t>Evergy Metro, Inc. - DSIM Rider Update Filed 06/01/2026</t>
  </si>
  <si>
    <t>Projections for Cycle 3 July 2026 - June 2027 DSIM</t>
  </si>
  <si>
    <t>Cycle 3 - Program Year 3 EO TD Adjustments Nov 2025 through Apr 2026 (Amortize August 2026 - July 2027)</t>
  </si>
  <si>
    <t>Cycle 3 - Program Year 5 November 2025 through April 2026 (Amortize August 2026 -July 2027)</t>
  </si>
  <si>
    <t>6. Amortization Over 12 Month Recovery Period - Source: Column 5
- Program Year 3 EO TD Adjustments November 2024 through April 2025 divided by 12 times 1 month in forecast period
- Program Year 3 EO TD Adjustments May 2025 through October 2025 divided by 12 times 7 month in forecast period
- Program Year 3 EO TD Adjustments November 2025 through April 2026 divided by 12 times 11 month in forecast period
- Program Year 5 through April 2025 divided by 12 times 1 months in forecast period
- Program Year 5 May 2025 through October 2025 divided by 12 times 7 months in forecast period
- Program Year 5 November 2025 through April 2026 divided by 12 times 11 months in forecast period</t>
  </si>
  <si>
    <t>6. Amortization Over 12 Month Recovery Period - Source: Column 5
- Program Year 1 through April 2026 divided by 12 times 11 months in forecast period</t>
  </si>
  <si>
    <t>Cycle 4 Ordered Adjustments Reconciliation (OAR) Calculation</t>
  </si>
  <si>
    <t>OAR Cycle 4</t>
  </si>
  <si>
    <t>5. Monthly Short-Term Borrowing Rate - Source: EMM 2026 ST Int Rate Schedules Nov25-Apr26.xlsx</t>
  </si>
  <si>
    <t>6. Monthly Short-Term Borrowing Rate - Source: EMM 2026 ST Int Rate Schedules Nov25-Apr26.xlsx</t>
  </si>
  <si>
    <t>3. Actual monthly billed revenues by customer classes: Residential, Small General Service, Medium General Service, Large General Service and Large Power Service (program cost revenues only) - Source: Metro MEEIA 2026 Revenue Analysis Nov25-Apr26.xlsx
    Forecasted monthly billed revenues by customer classes: Residential, Small General Service, Medium General Service, Large General Service and Large Power Service (program cost revenues only) - Source: calculated = Forecasted billed kWh sales X tariff rate</t>
  </si>
  <si>
    <t>2. Actual monthly billed revenues by customer classes: Residential, Small General Service, Medium General Service, Large General Service and Large Power Service (TD revenues only) - Source: Metro MEEIA 2026 Revenue Analysis Nov25-Apr26.xlsx
Forecasted monthly billed revenues by customer classes: Residential, Small General Service, Medium General Service, Large General Service and Large Power Service (TD revenues only) - Source: calculated = Forecasted billed kWh sales X tariff rate</t>
  </si>
  <si>
    <t>2. Actual monthly billed revenues by customer classes: Residential, Small General Service, Medium General Service, Large General Service and Large Power Service (EO revenues only) - Source: Metro MEEIA 2026 Revenue Analysis Nov25-Apr26.xlsx
Forecasted monthly billed revenues by customer classes: Residential, Small General Service, Medium General Service, Large General Service and Large Power Service (EO revenues only) - Source: calculated = Forecasted billed kWh sales X tariff rate</t>
  </si>
  <si>
    <t>2. Actual monthly billed revenues by customer classes: Residential, Small General Service, Medium General Service, Large General Service and Large Power Service (OA revenues only)  - Source: Metro MEEIA 2026 Revenue Analysis Nov25-Apr26.xlsx
Forecasted monthly billed revenues by customer classes: Residential, Small General Service, Medium General Service, Large General Service and Large Power Service (OA revenues only) - Source: calculated = Forecasted billed kWh sales X tariff rate</t>
  </si>
  <si>
    <t>1. Total Earnings Opportunity - Source: 042026 C4PY1 Spend (incl EO) Alloc Calc 05082026 FINAL.xlsb</t>
  </si>
  <si>
    <t>1. &amp; 4. Actual monthly TD - Source: Missouri Metro C4 Monthly TD Calc incl forecast- 042026 05152026.xlsx
    Forecasted monthly TD  - Source: Missouri Metro C4 Monthly TD Calc incl forecast- 042026 05152026.xlsx</t>
  </si>
  <si>
    <t>3. Actual kWh Sales Impact - Source: Missouri Metro C4 Monthly TD Calc incl forecast- 042026 05152026.xlsx
    Forecasted kWh Sales Impact - Source: Missouri Metro C4 Monthly TD Calc incl forecast- 042026 05152026.xlsx</t>
  </si>
  <si>
    <t>1. Forecasted kWh savings by customer classes: Residential, Small General Service, Medium General Service, Large General Service and Large Power Service - Source: Missouri Metro C4 Monthly TD Calc incl forecast- 042026 05152026.xlsx</t>
  </si>
  <si>
    <t>3. Forecasted Throughput Disincentive - Source: Missouri Metro C4 Monthly TD Calc incl forecast- 042026 05152026.xlsx</t>
  </si>
  <si>
    <t>3. Cycle 4 - July 2026 - June 2027</t>
  </si>
  <si>
    <t>1. Total Earnings Opportunity - Source: Metro EO Calculated Cycle 3 PY1.xlsx, Metro EO Calculated Cycle 3 PY2.xlsx, Metro EO Calculated Cycle 3 PY3.xlsx, Metro EO Calculated Cycle 3 PY4.xlsx, Metro EO Calculated Cycle 3 PY5.xlsb, CONF_Metro EO PY5 2024 10062025.xlsb, CONF_EO PY5 2024 01072026.xlsb</t>
  </si>
  <si>
    <t>3. Cycle 3 PY5 Extension- July 2026 - December 2026</t>
  </si>
  <si>
    <t>4. Cycle 3 Extension - July 2026 - December 2026</t>
  </si>
  <si>
    <t>5. Cycle 3 Forecast- July 2026 - December 2026</t>
  </si>
  <si>
    <t>1. Actual monthly program costs allocated to customer classes: Residential, Small General Service, Medium General Service, Large General Service and Large Power Service - Source: 12 2025 Metro C3 Spend Allocations Worksheet FINAL.xlsx
    Forecasted monthly program costs allocated to customer classes: Residential, Small General Service, Medium General Service, Large General Service and Large Power Service - Source: n/a</t>
  </si>
  <si>
    <t>Calculation of DSIM Rates by Customer Class Effective August 1, 2026 through July 31, 2027</t>
  </si>
  <si>
    <t>Projected Program Costs for Cycle 4 for the period July 2026 through June 2027 and projected billed kWh sales for the period August 2026 through July 2027.</t>
  </si>
  <si>
    <t>Program Cost Reconciliation for Cycle 3 for the period November 2025 through April 2026 compares the DSIM revenues billed for the Cycle 3 cost components to actual program costs incurred plus the carryforward of under or over recovered Cycle 3 Program Costs.</t>
  </si>
  <si>
    <t>Program Cost Reconciliation for Cycle 4 for the period November 2025 through April 2026 compares the DSIM revenues billed for the Cycle 4 cost components to actual planning and program costs incurred plus the carryforward of under or over recovered Cycle 4 planning costs.</t>
  </si>
  <si>
    <t>Projected Throughput Disincentive for Cycle 3 for the period July 2026 through June 2027</t>
  </si>
  <si>
    <t xml:space="preserve">The Company updates a forecast of program costs and throughput disincentive, among other items, based on actual reported results through April 2026 and forecasted results through the remainder of Cycle 3. Throughput Disincentive by customer class is summarized from that forecast. </t>
  </si>
  <si>
    <t>Projected Throughput Disincentive for Cycle 4 for the period July 2026 through June 2027</t>
  </si>
  <si>
    <t>Throughput Disincentive Reconciliation for Cycle 3 for the period November 2025 through April 2026 compares the DSIM revenues billed for the Cycle 3 cost components to calculated Throughput Disincentive for Cycle 3 and the carryforward of under or over recovered Cycle 3 Throughput Disincentive.</t>
  </si>
  <si>
    <t>Throughput Disincentive Reconciliation for Cycle 4 for the period November 2025 through April 2026 compares the DSIM revenues billed for the Cycle 4 cost components to calculated Throughput Disincentive for Cycle 4 and the carryforward of under or over recovered Cycle 4 Throughput Disincentive.</t>
  </si>
  <si>
    <t>Earnings Opportunity awards are calculated for Cycle 3 program years 1-3 following the finalization of the Evaluation, Measurement &amp; Verification (EM&amp;V) by applying the EO Matrix in the DSIM tariffs to the evaluated, net verified kWh and kW savings and other factors.  Earnings Opportunity awards are calculated for Cycle 3 program years 4-5 by applying the EO Matrix in the DSIM tariffs based on each program year's respective spend and demand response events. Additionally, the EO TD Ex Post Gross and Net to Gross Adjustments are calculated by recomputing Throughput Disincentive using the EM&amp;V reported kWh savings with carrying costs.  These calculated amounts are amortized into the DSIM rates over 12 months. This update includes Cycle 3 Earnings Opportunity for program year 3 (2022) based on the final EM&amp;V results approved in  EO TD Adjustments with carrying costs through April 2026 plus continued amortization of previously reported amounts from prior updates as appropriate.</t>
  </si>
  <si>
    <t>Earnings Opportunity Cycle 3, including EO TD Ex Post Gross and Net to Gross Adjustments (EO TD Adjustments) for the period July 2026 through June 2027</t>
  </si>
  <si>
    <t>Earnings Opportunity Cycle 4 calculated for the period July 2026 through June 2027</t>
  </si>
  <si>
    <t>Earnings Opportunity Reconciliation for Cycle 3 for the period November 2025 through April 2026 compares the DSIM revenues billed for the Cycle 3 cost components to amortization of EO Cycle 3 above and the carryforward of under or over recovered Cycle 3 Earnings Opportunity.</t>
  </si>
  <si>
    <t>Ordered Adjustments for Cycle 3 for the period July 2026 through June 2027</t>
  </si>
  <si>
    <t>None - There were no additional Ordered Adjustments for Cycle 3 for the period July 2026 through June 2027 as of June 1, 2026.</t>
  </si>
  <si>
    <t>Ordered Adjustments Reconciliation for Cycle 3 for the period November 2025 through April 2026 compares the DSIM revenues billed for the Cycle 3 cost components to the carryforward of under or over recovered Cycle 3 Ordered Adjustments.</t>
  </si>
  <si>
    <t>Ordered Adjustments Reconciliation for Cycle 4 for the period November 2025 through April 2026 compares the DSIM revenues billed for the Cycle 4 cost components to the carryforward of under or over recovered Cycle 4 Ordered Adjustments.</t>
  </si>
  <si>
    <t>3. Forecasted program costs by customer class - Source: EMM MEEIA RIDER FORECAST PROGRAM COSTS- 20260518.xlsx</t>
  </si>
  <si>
    <t>1. Actual monthly program costs allocated to customer classes: Residential, Small General Service, Medium General Service, Large General Service and Large Power Service - Source: 112025 C4 Spend (incl EO) Alloc Calc FINAL 12082025.xlsb, 122025 C4 Spend (incl EO) Alloc Calc FINAL 01092026.xlsb, 012026 C4PY1 Spend (incl EO) Alloc Calc FINAL 02092026.xlsb, 012026 C4PY2 Spend (incl EO) Alloc Calc FINAL 02092026.xlsb, 022026 C4PY1 Spend (incl EO) Alloc Calc 03102026 FINAL.xlsb, 022026 C4PY2 Spend (incl EO) Alloc Calc 03102026 FINAL.xlsb, 032026 C4PY1 Spend (incl EO) Alloc Calc 04092026 FINAL.xlsb, 032026 C4PY2 Spend (incl EO) Alloc Calc 04092026 FINAL.xlsb, 042026 C4PY1 Spend (incl EO) Alloc Calc 05082026 FINAL.xlsb, 042026 C4PY2 Spend (incl EO) Alloc Calc 05082026 FINAL.xlsb
    Forecasted monthly program costsallocated to customer classes: Residential, Small General Service, Medium General Service, Large General Service and Large Power Service - Source: EMM MEEIA RIDER FORECAST PROGRAM COSTS- 20260518.xlsx</t>
  </si>
  <si>
    <t>Reverse November 2025 - January 2026 Forecast From 12/01/2025 Filing</t>
  </si>
  <si>
    <t>2. EO TD Ex Post Gross Adjustment -  Source: Metro Cycle 3 PY1 EO TD Adj Calc.xlsx, Metro Cycle 3 PY2 EO TD Adj Calc.xlsx, Metro Cycle 3 PY3 EO TD Adj Calc 2026.xlsx</t>
  </si>
  <si>
    <t>3. EO TD NTG Adjustment -  Source: Metro Cycle 3 PY1 EO TD Adj Calc.xlsx, Metro Cycle 3 PY2 EO TD Adj Calc.xlsx, Metro Cycle 3 PY3 EO TD Adj Calc 2026.xlsx</t>
  </si>
  <si>
    <t>4. Carrying Costs @ AFUDC Rate -  Source: Metro Cycle 3 PY1 EO TD Adj Calc.xlsx, Metro Cycle 3 PY2 EO TD Adj Calc.xlsx, Metro Cycle 3 PY3 EO TD Adj Calc 2026.xlsx</t>
  </si>
  <si>
    <t>1. &amp; 3. Actual monthly Ordered Adjustments - Source: OA plus Int calc- Q0003_ Program Costs 042023-032025 combined MO jurisdictionsv2.xlsb</t>
  </si>
  <si>
    <t>1. Forecasted kWh by  Residential, Small General Service, Medium General Service, Large General Service and Large Power Service (Reduced for Opt-Out) - Source: Billed kWh Budget 2025+- EMM 20260601.xlsx</t>
  </si>
  <si>
    <t>2. Actual monthly kWh billed sales by customer classes: Residential, Small General Service, Medium General Service, Large General Service and Large Power Service (reduced for opt-out) - Source: Metro MEEIA 2026 Revenue Analysis Nov25-Apr26.xlsx
    Forecasted monthly kWh billed sales by customer classes: Residential, Small General Service, Medium General Service, Large General Service and Large Power Service (reduced for opt-out) - Source: Billed kWh Budget 2025+- EMM 20260601.xlsx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</si>
</sst>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00%"/>
    <numFmt numFmtId="169" formatCode="0.0000%"/>
    <numFmt numFmtId="170" formatCode="_(&quot;$&quot;* #,##0.00000_);_(&quot;$&quot;* \(#,##0.00000\);_(&quot;$&quot;* &quot;-&quot;?????_);_(@_)"/>
    <numFmt numFmtId="171" formatCode="0.000000%"/>
    <numFmt numFmtId="172" formatCode="_(&quot;$&quot;* #,##0.0000000_);_(&quot;$&quot;* \(#,##0.0000000\);_(&quot;$&quot;* &quot;-&quot;_);_(@_)"/>
    <numFmt numFmtId="173" formatCode="mm/dd/yy;@"/>
    <numFmt numFmtId="174" formatCode="_(* #,##0.000000_);_(* \(#,##0.000000\);_(* &quot;-&quot;??_);_(@_)"/>
    <numFmt numFmtId="175" formatCode="#,##0.00000_);\(#,##0.00000\)"/>
    <numFmt numFmtId="176" formatCode="0.0%"/>
    <numFmt numFmtId="177" formatCode="_(&quot;$&quot;* #,##0.0000_);_(&quot;$&quot;* \(#,##0.0000\);_(&quot;$&quot;* &quot;-&quot;??_);_(@_)"/>
    <numFmt numFmtId="178" formatCode="_(* #,##0.00000_);_(* \(#,##0.00000\);_(* &quot;-&quot;??_);_(@_)"/>
    <numFmt numFmtId="179" formatCode="_(&quot;$&quot;* #,##0.00_);_(&quot;$&quot;* \(#,##0.00\);_(&quot;$&quot;* &quot;-&quot;_);_(@_)"/>
  </numFmts>
  <fonts count="5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10"/>
      <color theme="1"/>
      <name val="Courier New"/>
      <family val="3"/>
    </font>
    <font>
      <b/>
      <u/>
      <sz val="10"/>
      <color theme="1"/>
      <name val="Courier New"/>
      <family val="3"/>
    </font>
    <font>
      <b/>
      <sz val="11"/>
      <color rgb="FF9C0006"/>
      <name val="Calibri"/>
      <family val="2"/>
      <scheme val="minor"/>
    </font>
    <font>
      <b/>
      <sz val="11"/>
      <name val="Calibri"/>
      <family val="2"/>
      <scheme val="minor"/>
    </font>
    <font>
      <b/>
      <i/>
      <sz val="10"/>
      <name val="Arial"/>
      <family val="2"/>
    </font>
    <font>
      <i/>
      <sz val="10"/>
      <name val="Arial"/>
      <family val="2"/>
    </font>
    <font>
      <sz val="10"/>
      <name val="Courier New"/>
      <family val="3"/>
    </font>
    <font>
      <u val="singleAccounting"/>
      <sz val="11"/>
      <color theme="1"/>
      <name val="Calibri"/>
      <family val="2"/>
      <scheme val="minor"/>
    </font>
    <font>
      <sz val="11"/>
      <name val="Calibri"/>
      <family val="2"/>
      <scheme val="minor"/>
    </font>
    <font>
      <b/>
      <sz val="10"/>
      <name val="Courier New"/>
      <family val="3"/>
    </font>
    <font>
      <sz val="10"/>
      <color rgb="FFFF00FF"/>
      <name val="Courier New"/>
      <family val="3"/>
    </font>
    <font>
      <sz val="8"/>
      <name val="Calibri"/>
      <family val="2"/>
      <scheme val="minor"/>
    </font>
    <font>
      <b/>
      <sz val="11"/>
      <color rgb="FF0000FF"/>
      <name val="Calibri"/>
      <family val="2"/>
      <scheme val="minor"/>
    </font>
    <font>
      <sz val="10"/>
      <color rgb="FF006600"/>
      <name val="Courier New"/>
      <family val="3"/>
    </font>
    <font>
      <sz val="11"/>
      <color rgb="FF0000CC"/>
      <name val="Calibri"/>
      <family val="2"/>
      <scheme val="minor"/>
    </font>
    <font>
      <sz val="11"/>
      <color rgb="FFC00000"/>
      <name val="Calibri"/>
      <family val="2"/>
      <scheme val="minor"/>
    </font>
    <font>
      <b/>
      <sz val="11"/>
      <color rgb="FF0000CC"/>
      <name val="Calibri"/>
      <family val="2"/>
      <scheme val="minor"/>
    </font>
    <font>
      <b/>
      <sz val="11"/>
      <color rgb="FFC00000"/>
      <name val="Calibri"/>
      <family val="2"/>
      <scheme val="minor"/>
    </font>
    <font>
      <sz val="11"/>
      <color rgb="FFFF00FF"/>
      <name val="Calibri"/>
      <family val="2"/>
      <scheme val="minor"/>
    </font>
    <font>
      <sz val="11"/>
      <color rgb="FF00B050"/>
      <name val="Calibri"/>
      <family val="2"/>
      <scheme val="minor"/>
    </font>
    <font>
      <sz val="10"/>
      <color rgb="FF0000CC"/>
      <name val="Courier New"/>
      <family val="3"/>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CC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rgb="FFFFFF00"/>
        <bgColor indexed="64"/>
      </patternFill>
    </fill>
  </fills>
  <borders count="76">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double">
        <color rgb="FF3F3F3F"/>
      </left>
      <right style="medium">
        <color indexed="64"/>
      </right>
      <top style="double">
        <color rgb="FF3F3F3F"/>
      </top>
      <bottom style="double">
        <color rgb="FF3F3F3F"/>
      </bottom>
      <diagonal/>
    </border>
    <border>
      <left/>
      <right/>
      <top/>
      <bottom style="double">
        <color rgb="FFFF80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medium">
        <color indexed="64"/>
      </right>
      <top style="thin">
        <color rgb="FF7F7F7F"/>
      </top>
      <bottom style="thin">
        <color rgb="FF7F7F7F"/>
      </bottom>
      <diagonal/>
    </border>
    <border>
      <left style="double">
        <color rgb="FF3F3F3F"/>
      </left>
      <right/>
      <top style="double">
        <color rgb="FF3F3F3F"/>
      </top>
      <bottom style="double">
        <color rgb="FF3F3F3F"/>
      </bottom>
      <diagonal/>
    </border>
    <border>
      <left style="medium">
        <color indexed="64"/>
      </left>
      <right style="double">
        <color rgb="FF3F3F3F"/>
      </right>
      <top style="double">
        <color rgb="FF3F3F3F"/>
      </top>
      <bottom style="double">
        <color rgb="FF3F3F3F"/>
      </bottom>
      <diagonal/>
    </border>
    <border>
      <left/>
      <right/>
      <top/>
      <bottom style="thin">
        <color rgb="FF7F7F7F"/>
      </bottom>
      <diagonal/>
    </border>
    <border>
      <left/>
      <right style="medium">
        <color indexed="64"/>
      </right>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right style="medium">
        <color indexed="64"/>
      </right>
      <top style="medium">
        <color indexed="64"/>
      </top>
      <bottom style="thin">
        <color theme="0" tint="-0.34998626667073579"/>
      </bottom>
      <diagonal/>
    </border>
    <border>
      <left style="double">
        <color rgb="FF3F3F3F"/>
      </left>
      <right style="medium">
        <color rgb="FF3F3F3F"/>
      </right>
      <top style="double">
        <color rgb="FF3F3F3F"/>
      </top>
      <bottom style="double">
        <color rgb="FF3F3F3F"/>
      </bottom>
      <diagonal/>
    </border>
    <border>
      <left style="thin">
        <color rgb="FF7F7F7F"/>
      </left>
      <right/>
      <top style="thin">
        <color rgb="FF7F7F7F"/>
      </top>
      <bottom style="medium">
        <color indexed="64"/>
      </bottom>
      <diagonal/>
    </border>
    <border>
      <left style="medium">
        <color auto="1"/>
      </left>
      <right style="thin">
        <color rgb="FF7F7F7F"/>
      </right>
      <top style="thin">
        <color rgb="FF7F7F7F"/>
      </top>
      <bottom style="double">
        <color rgb="FF3F3F3F"/>
      </bottom>
      <diagonal/>
    </border>
    <border>
      <left style="medium">
        <color auto="1"/>
      </left>
      <right style="medium">
        <color indexed="64"/>
      </right>
      <top style="medium">
        <color auto="1"/>
      </top>
      <bottom style="thin">
        <color rgb="FF7F7F7F"/>
      </bottom>
      <diagonal/>
    </border>
    <border>
      <left style="medium">
        <color auto="1"/>
      </left>
      <right style="medium">
        <color indexed="64"/>
      </right>
      <top style="thin">
        <color rgb="FF7F7F7F"/>
      </top>
      <bottom style="medium">
        <color auto="1"/>
      </bottom>
      <diagonal/>
    </border>
    <border>
      <left style="medium">
        <color auto="1"/>
      </left>
      <right/>
      <top style="thin">
        <color rgb="FF7F7F7F"/>
      </top>
      <bottom/>
      <diagonal/>
    </border>
    <border>
      <left/>
      <right style="thin">
        <color rgb="FF7F7F7F"/>
      </right>
      <top style="thin">
        <color rgb="FF7F7F7F"/>
      </top>
      <bottom style="medium">
        <color indexed="64"/>
      </bottom>
      <diagonal/>
    </border>
    <border>
      <left style="medium">
        <color indexed="64"/>
      </left>
      <right style="double">
        <color rgb="FF3F3F3F"/>
      </right>
      <top/>
      <bottom style="double">
        <color rgb="FF3F3F3F"/>
      </bottom>
      <diagonal/>
    </border>
    <border>
      <left style="thin">
        <color theme="0" tint="-0.34998626667073579"/>
      </left>
      <right/>
      <top style="thin">
        <color theme="0" tint="-0.34998626667073579"/>
      </top>
      <bottom style="thin">
        <color theme="0" tint="-0.34998626667073579"/>
      </bottom>
      <diagonal/>
    </border>
    <border>
      <left/>
      <right/>
      <top style="thin">
        <color rgb="FF7F7F7F"/>
      </top>
      <bottom style="thin">
        <color rgb="FF7F7F7F"/>
      </bottom>
      <diagonal/>
    </border>
    <border>
      <left style="thin">
        <color theme="0" tint="-0.34998626667073579"/>
      </left>
      <right/>
      <top style="thin">
        <color theme="0" tint="-0.34998626667073579"/>
      </top>
      <bottom style="medium">
        <color indexed="64"/>
      </bottom>
      <diagonal/>
    </border>
    <border>
      <left style="medium">
        <color rgb="FF3F3F3F"/>
      </left>
      <right style="double">
        <color rgb="FF3F3F3F"/>
      </right>
      <top style="double">
        <color rgb="FF3F3F3F"/>
      </top>
      <bottom style="double">
        <color rgb="FF3F3F3F"/>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medium">
        <color indexed="64"/>
      </right>
      <top style="thin">
        <color rgb="FF7F7F7F"/>
      </top>
      <bottom style="medium">
        <color indexed="64"/>
      </bottom>
      <diagonal/>
    </border>
    <border>
      <left style="medium">
        <color indexed="64"/>
      </left>
      <right/>
      <top style="thin">
        <color rgb="FF7F7F7F"/>
      </top>
      <bottom style="thin">
        <color rgb="FF7F7F7F"/>
      </bottom>
      <diagonal/>
    </border>
    <border>
      <left style="thin">
        <color theme="0" tint="-0.24994659260841701"/>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64"/>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rgb="FF7F7F7F"/>
      </right>
      <top style="thin">
        <color rgb="FF7F7F7F"/>
      </top>
      <bottom style="medium">
        <color indexed="64"/>
      </bottom>
      <diagonal/>
    </border>
    <border>
      <left style="thin">
        <color indexed="64"/>
      </left>
      <right/>
      <top style="medium">
        <color indexed="64"/>
      </top>
      <bottom style="medium">
        <color indexed="64"/>
      </bottom>
      <diagonal/>
    </border>
    <border>
      <left style="medium">
        <color indexed="64"/>
      </left>
      <right/>
      <top style="double">
        <color rgb="FF3F3F3F"/>
      </top>
      <bottom style="double">
        <color rgb="FF3F3F3F"/>
      </bottom>
      <diagonal/>
    </border>
    <border>
      <left style="thin">
        <color indexed="64"/>
      </left>
      <right/>
      <top style="medium">
        <color indexed="64"/>
      </top>
      <bottom/>
      <diagonal/>
    </border>
    <border>
      <left style="thin">
        <color indexed="64"/>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thin">
        <color rgb="FF7F7F7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medium">
        <color auto="1"/>
      </left>
      <right style="medium">
        <color indexed="64"/>
      </right>
      <top/>
      <bottom/>
      <diagonal/>
    </border>
    <border>
      <left style="medium">
        <color indexed="64"/>
      </left>
      <right style="thin">
        <color rgb="FF7F7F7F"/>
      </right>
      <top style="thin">
        <color rgb="FF7F7F7F"/>
      </top>
      <bottom/>
      <diagonal/>
    </border>
    <border>
      <left/>
      <right style="thin">
        <color rgb="FF7F7F7F"/>
      </right>
      <top style="thin">
        <color rgb="FF7F7F7F"/>
      </top>
      <bottom/>
      <diagonal/>
    </border>
    <border>
      <left style="medium">
        <color indexed="64"/>
      </left>
      <right style="thin">
        <color theme="0" tint="-0.34998626667073579"/>
      </right>
      <top style="thin">
        <color theme="0" tint="-0.34998626667073579"/>
      </top>
      <bottom style="thin">
        <color theme="0" tint="-0.34998626667073579"/>
      </bottom>
      <diagonal/>
    </border>
  </borders>
  <cellStyleXfs count="30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7" borderId="17" applyNumberFormat="0" applyAlignment="0" applyProtection="0"/>
    <xf numFmtId="0" fontId="14" fillId="7" borderId="1" applyNumberFormat="0" applyAlignment="0" applyProtection="0"/>
    <xf numFmtId="0" fontId="1" fillId="8" borderId="18" applyNumberFormat="0" applyFont="0" applyAlignment="0" applyProtection="0"/>
    <xf numFmtId="0" fontId="15" fillId="0" borderId="25" applyNumberFormat="0" applyFill="0" applyAlignment="0" applyProtection="0"/>
    <xf numFmtId="0" fontId="16" fillId="0" borderId="0" applyNumberFormat="0" applyFill="0" applyBorder="0" applyAlignment="0" applyProtection="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30"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cellStyleXfs>
  <cellXfs count="377">
    <xf numFmtId="0" fontId="0" fillId="0" borderId="0" xfId="0"/>
    <xf numFmtId="164" fontId="0" fillId="0" borderId="0" xfId="0" applyNumberFormat="1"/>
    <xf numFmtId="0" fontId="7" fillId="0" borderId="0" xfId="8"/>
    <xf numFmtId="0" fontId="8" fillId="0" borderId="0" xfId="0" applyFont="1"/>
    <xf numFmtId="44" fontId="0" fillId="0" borderId="0" xfId="0" applyNumberFormat="1"/>
    <xf numFmtId="10" fontId="0" fillId="0" borderId="0" xfId="2" applyNumberFormat="1" applyFont="1"/>
    <xf numFmtId="44" fontId="8" fillId="0" borderId="0" xfId="0" applyNumberFormat="1" applyFont="1"/>
    <xf numFmtId="166" fontId="0" fillId="0" borderId="0" xfId="0" applyNumberFormat="1"/>
    <xf numFmtId="0" fontId="9" fillId="0" borderId="0" xfId="0" applyFont="1" applyAlignment="1">
      <alignment horizontal="left"/>
    </xf>
    <xf numFmtId="0" fontId="0" fillId="0" borderId="9" xfId="0" applyBorder="1"/>
    <xf numFmtId="0" fontId="0" fillId="0" borderId="10" xfId="0" applyBorder="1"/>
    <xf numFmtId="44" fontId="0" fillId="0" borderId="9" xfId="0" applyNumberFormat="1"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0" fontId="8" fillId="0" borderId="0" xfId="0" applyFont="1" applyAlignment="1">
      <alignment horizontal="right"/>
    </xf>
    <xf numFmtId="10" fontId="0" fillId="0" borderId="0" xfId="0" applyNumberFormat="1"/>
    <xf numFmtId="165" fontId="14" fillId="7" borderId="1" xfId="13" applyNumberFormat="1"/>
    <xf numFmtId="167" fontId="5" fillId="5" borderId="1" xfId="6" applyNumberFormat="1"/>
    <xf numFmtId="167" fontId="14" fillId="7" borderId="1" xfId="13" applyNumberFormat="1"/>
    <xf numFmtId="165" fontId="13" fillId="7" borderId="17" xfId="12" applyNumberFormat="1"/>
    <xf numFmtId="165" fontId="5" fillId="5" borderId="15" xfId="11" applyNumberFormat="1" applyFont="1" applyFill="1" applyBorder="1"/>
    <xf numFmtId="165" fontId="6" fillId="6" borderId="2" xfId="7" applyNumberFormat="1"/>
    <xf numFmtId="165" fontId="0" fillId="0" borderId="9" xfId="0" applyNumberFormat="1" applyBorder="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44" fontId="6" fillId="6" borderId="2" xfId="7" applyNumberFormat="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6" xfId="0" applyBorder="1"/>
    <xf numFmtId="0" fontId="0" fillId="0" borderId="6" xfId="0" applyBorder="1"/>
    <xf numFmtId="0" fontId="0" fillId="0" borderId="0" xfId="0"/>
    <xf numFmtId="165" fontId="0" fillId="0" borderId="0" xfId="0" applyNumberFormat="1"/>
    <xf numFmtId="0" fontId="8" fillId="0" borderId="0" xfId="0" applyFont="1" applyAlignment="1">
      <alignment horizontal="center"/>
    </xf>
    <xf numFmtId="165" fontId="14" fillId="7" borderId="31" xfId="13" applyNumberFormat="1" applyBorder="1"/>
    <xf numFmtId="44" fontId="6" fillId="6" borderId="32" xfId="7" applyNumberFormat="1" applyBorder="1"/>
    <xf numFmtId="44" fontId="6" fillId="6" borderId="33"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44" fontId="0" fillId="0" borderId="34" xfId="0" applyNumberFormat="1" applyBorder="1"/>
    <xf numFmtId="44" fontId="0" fillId="0" borderId="35"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69" fontId="0" fillId="0" borderId="9" xfId="0" applyNumberFormat="1" applyBorder="1"/>
    <xf numFmtId="170" fontId="5" fillId="5" borderId="23" xfId="6" applyNumberFormat="1" applyBorder="1"/>
    <xf numFmtId="41" fontId="5" fillId="5" borderId="13" xfId="6" applyNumberFormat="1" applyBorder="1"/>
    <xf numFmtId="41" fontId="5" fillId="5" borderId="1" xfId="6" applyNumberFormat="1" applyBorder="1"/>
    <xf numFmtId="165" fontId="4" fillId="4" borderId="37" xfId="11" applyNumberFormat="1" applyFont="1" applyFill="1" applyBorder="1"/>
    <xf numFmtId="3" fontId="4" fillId="4" borderId="37" xfId="5" applyNumberFormat="1" applyBorder="1"/>
    <xf numFmtId="165" fontId="4" fillId="4" borderId="36" xfId="5" applyNumberFormat="1" applyBorder="1"/>
    <xf numFmtId="165" fontId="4" fillId="4" borderId="37" xfId="5" applyNumberFormat="1" applyBorder="1"/>
    <xf numFmtId="41" fontId="4" fillId="4" borderId="37" xfId="5" applyNumberFormat="1" applyBorder="1"/>
    <xf numFmtId="165" fontId="4" fillId="4" borderId="38" xfId="5" applyNumberFormat="1" applyBorder="1"/>
    <xf numFmtId="165" fontId="4" fillId="4" borderId="38"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42" fontId="5" fillId="5" borderId="1" xfId="6" applyNumberFormat="1"/>
    <xf numFmtId="0" fontId="30" fillId="0" borderId="3" xfId="0" applyFont="1" applyBorder="1" applyAlignment="1">
      <alignment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Border="1" applyAlignment="1">
      <alignment vertical="center" wrapText="1"/>
    </xf>
    <xf numFmtId="0" fontId="7" fillId="0" borderId="9" xfId="8" applyBorder="1"/>
    <xf numFmtId="171" fontId="0" fillId="0" borderId="10" xfId="0" applyNumberFormat="1" applyBorder="1"/>
    <xf numFmtId="0" fontId="31" fillId="0" borderId="0" xfId="0" applyFont="1" applyFill="1" applyBorder="1" applyAlignment="1">
      <alignment vertical="center" wrapText="1"/>
    </xf>
    <xf numFmtId="0" fontId="30" fillId="0" borderId="0" xfId="0" applyFont="1" applyFill="1" applyBorder="1" applyAlignment="1">
      <alignment vertical="center"/>
    </xf>
    <xf numFmtId="164" fontId="0" fillId="0" borderId="39" xfId="0" applyNumberFormat="1" applyBorder="1"/>
    <xf numFmtId="44" fontId="6" fillId="6" borderId="40" xfId="7" applyNumberFormat="1" applyBorder="1"/>
    <xf numFmtId="165" fontId="5" fillId="0" borderId="13" xfId="6" applyNumberFormat="1" applyFill="1" applyBorder="1"/>
    <xf numFmtId="165" fontId="0" fillId="0" borderId="9" xfId="0" applyNumberFormat="1" applyFill="1" applyBorder="1"/>
    <xf numFmtId="0" fontId="0" fillId="0" borderId="9" xfId="0" applyFill="1" applyBorder="1"/>
    <xf numFmtId="165" fontId="14" fillId="0" borderId="13" xfId="13" applyNumberFormat="1" applyFill="1" applyBorder="1"/>
    <xf numFmtId="0" fontId="7" fillId="0" borderId="9" xfId="8" applyFill="1" applyBorder="1"/>
    <xf numFmtId="165" fontId="5" fillId="0" borderId="15" xfId="11" applyNumberFormat="1" applyFont="1" applyFill="1" applyBorder="1"/>
    <xf numFmtId="171" fontId="0" fillId="0" borderId="9" xfId="0" applyNumberFormat="1" applyFill="1" applyBorder="1"/>
    <xf numFmtId="171" fontId="0" fillId="0" borderId="9" xfId="2" applyNumberFormat="1" applyFont="1" applyFill="1" applyBorder="1"/>
    <xf numFmtId="44" fontId="6" fillId="0" borderId="33" xfId="7" applyNumberForma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165" fontId="5" fillId="37" borderId="16" xfId="11" applyNumberFormat="1" applyFont="1" applyFill="1" applyBorder="1"/>
    <xf numFmtId="165" fontId="5" fillId="37" borderId="41" xfId="11" applyNumberFormat="1" applyFont="1" applyFill="1" applyBorder="1"/>
    <xf numFmtId="167" fontId="6" fillId="0" borderId="33" xfId="1" applyNumberFormat="1" applyFont="1" applyFill="1" applyBorder="1"/>
    <xf numFmtId="0" fontId="0" fillId="0" borderId="3" xfId="0" applyBorder="1" applyAlignment="1">
      <alignment horizontal="center" wrapText="1"/>
    </xf>
    <xf numFmtId="165" fontId="14" fillId="7" borderId="19" xfId="13" applyNumberFormat="1" applyBorder="1"/>
    <xf numFmtId="0" fontId="0" fillId="0" borderId="45" xfId="0" applyBorder="1"/>
    <xf numFmtId="165" fontId="5" fillId="5" borderId="23" xfId="6" applyNumberFormat="1" applyBorder="1"/>
    <xf numFmtId="165" fontId="5" fillId="5" borderId="46" xfId="11" applyNumberFormat="1" applyFont="1" applyFill="1" applyBorder="1"/>
    <xf numFmtId="165" fontId="14" fillId="7" borderId="23" xfId="13" applyNumberFormat="1" applyBorder="1"/>
    <xf numFmtId="44" fontId="6" fillId="6" borderId="47" xfId="7" applyNumberFormat="1" applyBorder="1"/>
    <xf numFmtId="41" fontId="5" fillId="37" borderId="22" xfId="6" applyNumberFormat="1" applyFill="1" applyBorder="1"/>
    <xf numFmtId="42" fontId="0" fillId="0" borderId="0" xfId="0" applyNumberFormat="1"/>
    <xf numFmtId="42" fontId="0" fillId="0" borderId="0" xfId="0" applyNumberFormat="1" applyAlignment="1">
      <alignment horizontal="right"/>
    </xf>
    <xf numFmtId="42" fontId="10" fillId="0" borderId="6" xfId="0" applyNumberFormat="1" applyFont="1" applyBorder="1" applyAlignment="1">
      <alignment horizontal="right"/>
    </xf>
    <xf numFmtId="42" fontId="11" fillId="0" borderId="6" xfId="0" applyNumberFormat="1" applyFont="1" applyBorder="1" applyAlignment="1">
      <alignment horizontal="right"/>
    </xf>
    <xf numFmtId="0" fontId="30" fillId="0" borderId="4" xfId="0" applyFont="1" applyBorder="1" applyAlignment="1">
      <alignment horizontal="center" vertical="center" wrapText="1"/>
    </xf>
    <xf numFmtId="42" fontId="30" fillId="0" borderId="4" xfId="0" applyNumberFormat="1" applyFont="1" applyBorder="1" applyAlignment="1">
      <alignment horizontal="center"/>
    </xf>
    <xf numFmtId="170" fontId="10" fillId="0" borderId="6" xfId="0" applyNumberFormat="1" applyFont="1" applyFill="1" applyBorder="1" applyAlignment="1">
      <alignment vertical="center"/>
    </xf>
    <xf numFmtId="170" fontId="0" fillId="0" borderId="0" xfId="0" applyNumberFormat="1" applyFill="1" applyAlignment="1"/>
    <xf numFmtId="170" fontId="10" fillId="0" borderId="4" xfId="0" applyNumberFormat="1" applyFont="1" applyFill="1" applyBorder="1" applyAlignment="1">
      <alignment vertical="center"/>
    </xf>
    <xf numFmtId="42" fontId="5" fillId="37" borderId="1" xfId="6" applyNumberFormat="1" applyFill="1" applyBorder="1"/>
    <xf numFmtId="42" fontId="5" fillId="37" borderId="41" xfId="6" applyNumberFormat="1" applyFill="1" applyBorder="1"/>
    <xf numFmtId="41" fontId="14" fillId="7" borderId="1" xfId="13" applyNumberFormat="1"/>
    <xf numFmtId="41" fontId="6" fillId="6" borderId="2" xfId="7" applyNumberFormat="1"/>
    <xf numFmtId="165" fontId="4" fillId="4" borderId="48" xfId="11" applyNumberFormat="1" applyFont="1" applyFill="1" applyBorder="1"/>
    <xf numFmtId="3" fontId="4" fillId="4" borderId="48" xfId="5" applyNumberFormat="1" applyBorder="1"/>
    <xf numFmtId="165" fontId="4" fillId="4" borderId="50" xfId="5" applyNumberFormat="1" applyBorder="1"/>
    <xf numFmtId="165" fontId="4" fillId="4" borderId="48" xfId="5" applyNumberFormat="1" applyBorder="1"/>
    <xf numFmtId="41" fontId="4" fillId="4" borderId="48" xfId="5" applyNumberFormat="1" applyBorder="1"/>
    <xf numFmtId="165" fontId="4" fillId="4" borderId="50" xfId="11" applyNumberFormat="1" applyFont="1" applyFill="1" applyBorder="1"/>
    <xf numFmtId="44" fontId="6" fillId="6" borderId="51" xfId="7" applyNumberFormat="1" applyBorder="1"/>
    <xf numFmtId="165" fontId="5" fillId="0" borderId="11" xfId="6" applyNumberFormat="1" applyFill="1" applyBorder="1"/>
    <xf numFmtId="43" fontId="5" fillId="0" borderId="12" xfId="1" applyFont="1" applyFill="1" applyBorder="1"/>
    <xf numFmtId="43" fontId="5" fillId="0" borderId="0" xfId="1" applyFont="1" applyFill="1" applyBorder="1"/>
    <xf numFmtId="0" fontId="0" fillId="0" borderId="0" xfId="0" applyFill="1" applyBorder="1"/>
    <xf numFmtId="0" fontId="8" fillId="0" borderId="0" xfId="0" applyFont="1" applyFill="1" applyAlignment="1">
      <alignment horizontal="center" wrapText="1"/>
    </xf>
    <xf numFmtId="0" fontId="0" fillId="39" borderId="19" xfId="0" applyFill="1" applyBorder="1" applyAlignment="1">
      <alignment horizontal="center" wrapText="1"/>
    </xf>
    <xf numFmtId="43" fontId="8" fillId="0" borderId="0" xfId="1" applyNumberFormat="1" applyFont="1" applyAlignment="1">
      <alignment horizontal="center"/>
    </xf>
    <xf numFmtId="42" fontId="8" fillId="0" borderId="0" xfId="1" applyNumberFormat="1" applyFont="1" applyAlignment="1">
      <alignment horizontal="center"/>
    </xf>
    <xf numFmtId="42" fontId="11" fillId="0" borderId="0" xfId="0" applyNumberFormat="1" applyFont="1" applyBorder="1" applyAlignment="1">
      <alignment horizontal="right" wrapText="1"/>
    </xf>
    <xf numFmtId="172" fontId="0" fillId="0" borderId="0" xfId="0" applyNumberFormat="1"/>
    <xf numFmtId="165" fontId="4" fillId="4" borderId="52" xfId="5" applyNumberFormat="1" applyBorder="1"/>
    <xf numFmtId="41" fontId="4" fillId="4" borderId="53" xfId="5" applyNumberFormat="1" applyBorder="1"/>
    <xf numFmtId="165" fontId="4" fillId="4" borderId="53" xfId="5" applyNumberFormat="1" applyBorder="1"/>
    <xf numFmtId="165" fontId="4" fillId="4" borderId="54" xfId="11" applyNumberFormat="1" applyFont="1" applyFill="1" applyBorder="1"/>
    <xf numFmtId="165" fontId="14" fillId="7" borderId="49" xfId="13" applyNumberFormat="1" applyBorder="1"/>
    <xf numFmtId="44" fontId="6" fillId="6" borderId="55" xfId="7" applyNumberFormat="1" applyBorder="1"/>
    <xf numFmtId="44" fontId="6" fillId="6" borderId="56" xfId="7" applyNumberFormat="1" applyBorder="1"/>
    <xf numFmtId="165" fontId="5" fillId="5" borderId="14" xfId="6" applyNumberFormat="1" applyBorder="1"/>
    <xf numFmtId="0" fontId="7" fillId="0" borderId="10" xfId="8" applyBorder="1"/>
    <xf numFmtId="165" fontId="5" fillId="5" borderId="31" xfId="6" applyNumberFormat="1" applyBorder="1"/>
    <xf numFmtId="44" fontId="0" fillId="0" borderId="10" xfId="0" applyNumberFormat="1" applyFill="1" applyBorder="1"/>
    <xf numFmtId="44" fontId="7" fillId="0" borderId="10" xfId="8" applyNumberFormat="1" applyFill="1" applyBorder="1"/>
    <xf numFmtId="41" fontId="5" fillId="5" borderId="14" xfId="6" applyNumberFormat="1" applyBorder="1"/>
    <xf numFmtId="165" fontId="5" fillId="0" borderId="10" xfId="6" applyNumberFormat="1" applyFill="1" applyBorder="1"/>
    <xf numFmtId="165" fontId="5" fillId="5" borderId="57" xfId="11" applyNumberFormat="1" applyFont="1" applyFill="1" applyBorder="1"/>
    <xf numFmtId="165" fontId="5" fillId="0" borderId="10" xfId="11" applyNumberFormat="1" applyFont="1" applyFill="1" applyBorder="1"/>
    <xf numFmtId="10" fontId="5" fillId="0" borderId="10" xfId="2" applyNumberFormat="1" applyFont="1" applyFill="1" applyBorder="1"/>
    <xf numFmtId="3" fontId="4" fillId="4" borderId="53" xfId="5" applyNumberFormat="1" applyBorder="1"/>
    <xf numFmtId="165" fontId="4" fillId="4" borderId="54" xfId="5" applyNumberFormat="1" applyBorder="1"/>
    <xf numFmtId="42" fontId="5" fillId="5" borderId="14" xfId="1" applyNumberFormat="1" applyFont="1" applyFill="1" applyBorder="1"/>
    <xf numFmtId="165" fontId="5" fillId="5" borderId="21" xfId="11" applyNumberFormat="1" applyFont="1" applyFill="1" applyBorder="1"/>
    <xf numFmtId="41" fontId="5" fillId="5" borderId="31" xfId="6" applyNumberFormat="1" applyBorder="1"/>
    <xf numFmtId="172" fontId="0" fillId="0" borderId="0" xfId="0" applyNumberFormat="1" applyFill="1"/>
    <xf numFmtId="172" fontId="30" fillId="0" borderId="4" xfId="0" applyNumberFormat="1" applyFont="1" applyFill="1" applyBorder="1" applyAlignment="1">
      <alignment horizontal="center"/>
    </xf>
    <xf numFmtId="41" fontId="5" fillId="5" borderId="58" xfId="6" applyNumberFormat="1" applyBorder="1"/>
    <xf numFmtId="42" fontId="5" fillId="5" borderId="13" xfId="6" applyNumberFormat="1" applyBorder="1"/>
    <xf numFmtId="42" fontId="5" fillId="37" borderId="22" xfId="6" applyNumberFormat="1" applyFill="1" applyBorder="1"/>
    <xf numFmtId="41" fontId="5" fillId="5" borderId="59" xfId="6" applyNumberFormat="1" applyBorder="1"/>
    <xf numFmtId="43" fontId="0" fillId="0" borderId="0" xfId="1" applyFont="1"/>
    <xf numFmtId="171" fontId="0" fillId="0" borderId="0" xfId="0" applyNumberFormat="1"/>
    <xf numFmtId="165" fontId="5" fillId="0" borderId="58" xfId="6" applyNumberFormat="1" applyFill="1" applyBorder="1"/>
    <xf numFmtId="165" fontId="5" fillId="0" borderId="61" xfId="6" applyNumberFormat="1" applyFill="1" applyBorder="1"/>
    <xf numFmtId="0" fontId="0" fillId="0" borderId="62" xfId="0" applyFill="1" applyBorder="1"/>
    <xf numFmtId="44" fontId="0" fillId="0" borderId="62" xfId="0" applyNumberFormat="1" applyFill="1" applyBorder="1"/>
    <xf numFmtId="41" fontId="5" fillId="0" borderId="61" xfId="6" applyNumberFormat="1" applyFill="1" applyBorder="1"/>
    <xf numFmtId="165" fontId="5" fillId="0" borderId="62" xfId="6" applyNumberFormat="1" applyFill="1" applyBorder="1"/>
    <xf numFmtId="165" fontId="5" fillId="0" borderId="63" xfId="11" applyNumberFormat="1" applyFont="1" applyFill="1" applyBorder="1"/>
    <xf numFmtId="165" fontId="14" fillId="0" borderId="58" xfId="13" applyNumberFormat="1" applyFill="1" applyBorder="1"/>
    <xf numFmtId="44" fontId="6" fillId="0" borderId="65" xfId="7" applyNumberFormat="1" applyFill="1" applyBorder="1"/>
    <xf numFmtId="165" fontId="5" fillId="0" borderId="66" xfId="11" applyNumberFormat="1" applyFont="1" applyFill="1" applyBorder="1"/>
    <xf numFmtId="10" fontId="5" fillId="0" borderId="62" xfId="2" applyNumberFormat="1" applyFont="1" applyFill="1" applyBorder="1"/>
    <xf numFmtId="165" fontId="14" fillId="0" borderId="61" xfId="13" applyNumberFormat="1" applyFill="1" applyBorder="1"/>
    <xf numFmtId="171" fontId="0" fillId="0" borderId="62" xfId="0" applyNumberFormat="1" applyFill="1" applyBorder="1"/>
    <xf numFmtId="171" fontId="0" fillId="0" borderId="62" xfId="2" applyNumberFormat="1" applyFont="1" applyFill="1" applyBorder="1"/>
    <xf numFmtId="44" fontId="6" fillId="0" borderId="67" xfId="7" applyNumberFormat="1" applyFill="1" applyBorder="1"/>
    <xf numFmtId="0" fontId="0" fillId="0" borderId="62" xfId="0" applyBorder="1"/>
    <xf numFmtId="165" fontId="5" fillId="0" borderId="68" xfId="6" applyNumberFormat="1" applyFill="1" applyBorder="1"/>
    <xf numFmtId="173" fontId="0" fillId="0" borderId="0" xfId="0" applyNumberFormat="1"/>
    <xf numFmtId="171" fontId="0" fillId="0" borderId="0" xfId="2" applyNumberFormat="1" applyFont="1"/>
    <xf numFmtId="43" fontId="37" fillId="0" borderId="0" xfId="1" applyFont="1"/>
    <xf numFmtId="44" fontId="13" fillId="7" borderId="17" xfId="12" applyNumberFormat="1"/>
    <xf numFmtId="44" fontId="14" fillId="7" borderId="1" xfId="13" applyNumberFormat="1"/>
    <xf numFmtId="44" fontId="6" fillId="6" borderId="2" xfId="1" applyNumberFormat="1" applyFont="1" applyFill="1" applyBorder="1"/>
    <xf numFmtId="0" fontId="7" fillId="0" borderId="0" xfId="8" applyFill="1" applyBorder="1" applyAlignment="1">
      <alignment horizontal="right"/>
    </xf>
    <xf numFmtId="43" fontId="6" fillId="0" borderId="0" xfId="1" applyFont="1" applyFill="1" applyBorder="1"/>
    <xf numFmtId="165" fontId="13" fillId="7" borderId="71" xfId="12" applyNumberFormat="1" applyBorder="1"/>
    <xf numFmtId="42" fontId="14" fillId="7" borderId="70" xfId="13" applyNumberFormat="1" applyBorder="1"/>
    <xf numFmtId="10" fontId="5" fillId="5" borderId="1" xfId="2" applyNumberFormat="1" applyFont="1" applyFill="1" applyBorder="1"/>
    <xf numFmtId="10" fontId="14" fillId="7" borderId="1" xfId="2" applyNumberFormat="1" applyFont="1" applyFill="1" applyBorder="1"/>
    <xf numFmtId="44" fontId="8" fillId="0" borderId="0" xfId="0" applyNumberFormat="1" applyFont="1" applyAlignment="1">
      <alignment wrapText="1"/>
    </xf>
    <xf numFmtId="165" fontId="6" fillId="0" borderId="0" xfId="1" applyNumberFormat="1" applyFont="1" applyFill="1" applyBorder="1"/>
    <xf numFmtId="165" fontId="13" fillId="7" borderId="70" xfId="12" applyNumberFormat="1" applyBorder="1"/>
    <xf numFmtId="165" fontId="14" fillId="7" borderId="70" xfId="13" applyNumberFormat="1" applyBorder="1"/>
    <xf numFmtId="0" fontId="8" fillId="0" borderId="70" xfId="0" applyFont="1" applyBorder="1" applyAlignment="1">
      <alignment horizontal="center"/>
    </xf>
    <xf numFmtId="0" fontId="8" fillId="0" borderId="0" xfId="0" applyFont="1" applyAlignment="1">
      <alignment horizontal="left" vertical="center" wrapText="1"/>
    </xf>
    <xf numFmtId="175" fontId="10" fillId="0" borderId="6" xfId="1" applyNumberFormat="1" applyFont="1" applyFill="1" applyBorder="1" applyAlignment="1">
      <alignment vertical="center"/>
    </xf>
    <xf numFmtId="175" fontId="10" fillId="0" borderId="6" xfId="1" applyNumberFormat="1" applyFont="1" applyBorder="1" applyAlignment="1">
      <alignment horizontal="right" vertical="center"/>
    </xf>
    <xf numFmtId="175" fontId="11" fillId="0" borderId="6" xfId="1" applyNumberFormat="1" applyFont="1" applyBorder="1" applyAlignment="1">
      <alignment horizontal="right" vertical="center"/>
    </xf>
    <xf numFmtId="175" fontId="0" fillId="0" borderId="0" xfId="0" applyNumberFormat="1"/>
    <xf numFmtId="172" fontId="38" fillId="0" borderId="0" xfId="0" applyNumberFormat="1" applyFont="1"/>
    <xf numFmtId="172" fontId="38" fillId="0" borderId="0" xfId="0" applyNumberFormat="1" applyFont="1" applyFill="1"/>
    <xf numFmtId="172" fontId="39" fillId="0" borderId="4" xfId="0" applyNumberFormat="1" applyFont="1" applyFill="1" applyBorder="1" applyAlignment="1">
      <alignment horizontal="center"/>
    </xf>
    <xf numFmtId="172" fontId="39" fillId="0" borderId="4" xfId="0" applyNumberFormat="1" applyFont="1" applyBorder="1" applyAlignment="1">
      <alignment horizontal="center"/>
    </xf>
    <xf numFmtId="44" fontId="14" fillId="7" borderId="1" xfId="13" applyNumberFormat="1" applyBorder="1"/>
    <xf numFmtId="41" fontId="14" fillId="7" borderId="70" xfId="13" applyNumberFormat="1" applyBorder="1"/>
    <xf numFmtId="0" fontId="8" fillId="0" borderId="0" xfId="0" applyFont="1" applyAlignment="1">
      <alignment horizontal="left"/>
    </xf>
    <xf numFmtId="170" fontId="0" fillId="0" borderId="0" xfId="0" applyNumberFormat="1" applyFill="1" applyBorder="1"/>
    <xf numFmtId="174" fontId="0" fillId="0" borderId="0" xfId="1" applyNumberFormat="1" applyFont="1" applyFill="1" applyBorder="1"/>
    <xf numFmtId="0" fontId="34" fillId="0" borderId="0" xfId="0" applyFont="1" applyFill="1" applyBorder="1"/>
    <xf numFmtId="0" fontId="35" fillId="0" borderId="0" xfId="0" applyFont="1" applyFill="1" applyBorder="1"/>
    <xf numFmtId="168" fontId="0" fillId="0" borderId="0" xfId="2" applyNumberFormat="1" applyFont="1" applyFill="1" applyBorder="1"/>
    <xf numFmtId="0" fontId="35" fillId="0" borderId="0" xfId="0" applyFont="1" applyFill="1" applyBorder="1" applyAlignment="1">
      <alignment horizontal="left" indent="1"/>
    </xf>
    <xf numFmtId="168" fontId="0" fillId="0" borderId="0" xfId="0" applyNumberFormat="1" applyFill="1" applyBorder="1"/>
    <xf numFmtId="176" fontId="0" fillId="0" borderId="0" xfId="2" applyNumberFormat="1" applyFont="1"/>
    <xf numFmtId="170" fontId="36" fillId="0" borderId="4" xfId="0" applyNumberFormat="1" applyFont="1" applyFill="1" applyBorder="1" applyAlignment="1">
      <alignment vertical="center"/>
    </xf>
    <xf numFmtId="165" fontId="5" fillId="0" borderId="23" xfId="6" applyNumberFormat="1" applyFill="1" applyBorder="1"/>
    <xf numFmtId="165" fontId="0" fillId="0" borderId="0" xfId="0" applyNumberFormat="1" applyFill="1" applyBorder="1"/>
    <xf numFmtId="0" fontId="7" fillId="0" borderId="0" xfId="8" applyFill="1" applyBorder="1"/>
    <xf numFmtId="41" fontId="5" fillId="0" borderId="23" xfId="6" applyNumberFormat="1" applyFill="1" applyBorder="1"/>
    <xf numFmtId="165" fontId="5" fillId="0" borderId="46" xfId="11" applyNumberFormat="1" applyFont="1" applyFill="1" applyBorder="1"/>
    <xf numFmtId="171" fontId="0" fillId="0" borderId="0" xfId="0" applyNumberFormat="1" applyFill="1" applyBorder="1"/>
    <xf numFmtId="165" fontId="14" fillId="7" borderId="74" xfId="13" applyNumberFormat="1" applyBorder="1"/>
    <xf numFmtId="167" fontId="6" fillId="0" borderId="56" xfId="1" applyNumberFormat="1" applyFont="1" applyFill="1" applyBorder="1"/>
    <xf numFmtId="44" fontId="6" fillId="0" borderId="56" xfId="7" applyNumberFormat="1" applyFill="1" applyBorder="1"/>
    <xf numFmtId="165" fontId="5" fillId="0" borderId="26" xfId="6" applyNumberFormat="1" applyFill="1" applyBorder="1"/>
    <xf numFmtId="0" fontId="0" fillId="39" borderId="3" xfId="0" applyFill="1" applyBorder="1" applyAlignment="1">
      <alignment horizontal="center" wrapText="1"/>
    </xf>
    <xf numFmtId="43" fontId="8" fillId="0" borderId="0" xfId="1" applyNumberFormat="1" applyFont="1" applyAlignment="1">
      <alignment horizontal="center" wrapText="1"/>
    </xf>
    <xf numFmtId="0" fontId="8" fillId="0" borderId="0" xfId="0" applyFont="1" applyAlignment="1">
      <alignment wrapText="1"/>
    </xf>
    <xf numFmtId="44" fontId="33" fillId="7" borderId="17" xfId="12" applyNumberFormat="1" applyFont="1"/>
    <xf numFmtId="0" fontId="30" fillId="0" borderId="0" xfId="0" applyFont="1" applyFill="1" applyBorder="1" applyAlignment="1">
      <alignment horizontal="center" vertical="center" wrapText="1"/>
    </xf>
    <xf numFmtId="170" fontId="10" fillId="0" borderId="0" xfId="0" applyNumberFormat="1" applyFont="1" applyFill="1" applyBorder="1" applyAlignment="1">
      <alignment vertical="center"/>
    </xf>
    <xf numFmtId="170" fontId="0" fillId="0" borderId="0" xfId="0" applyNumberFormat="1" applyFill="1" applyBorder="1" applyAlignment="1"/>
    <xf numFmtId="170" fontId="40" fillId="0" borderId="0" xfId="0" applyNumberFormat="1" applyFont="1" applyFill="1" applyBorder="1" applyAlignment="1">
      <alignment vertical="center"/>
    </xf>
    <xf numFmtId="170" fontId="36" fillId="0" borderId="0" xfId="0" applyNumberFormat="1" applyFont="1" applyFill="1" applyBorder="1" applyAlignment="1">
      <alignment vertical="center"/>
    </xf>
    <xf numFmtId="0" fontId="8" fillId="0" borderId="0" xfId="0" applyFont="1" applyAlignment="1">
      <alignment horizontal="left" vertical="center" wrapText="1"/>
    </xf>
    <xf numFmtId="0" fontId="38" fillId="0" borderId="0" xfId="0" applyFont="1"/>
    <xf numFmtId="44" fontId="33" fillId="0" borderId="0" xfId="1" applyNumberFormat="1" applyFont="1" applyAlignment="1">
      <alignment horizontal="right"/>
    </xf>
    <xf numFmtId="0" fontId="8" fillId="0" borderId="0" xfId="0" applyFont="1" applyFill="1" applyAlignment="1"/>
    <xf numFmtId="42" fontId="14" fillId="7" borderId="1" xfId="13" applyNumberFormat="1"/>
    <xf numFmtId="0" fontId="8" fillId="0" borderId="0" xfId="0" applyFont="1" applyAlignment="1">
      <alignment horizontal="left" vertical="center" wrapText="1"/>
    </xf>
    <xf numFmtId="44" fontId="8" fillId="0" borderId="0" xfId="0" applyNumberFormat="1" applyFont="1" applyFill="1" applyAlignment="1">
      <alignment wrapText="1"/>
    </xf>
    <xf numFmtId="0" fontId="0" fillId="0" borderId="0" xfId="0" applyAlignment="1">
      <alignment wrapText="1"/>
    </xf>
    <xf numFmtId="0" fontId="0" fillId="0" borderId="0" xfId="0" applyAlignment="1">
      <alignment vertical="top"/>
    </xf>
    <xf numFmtId="0" fontId="8" fillId="0" borderId="0" xfId="0" applyFont="1" applyAlignment="1">
      <alignment vertical="top"/>
    </xf>
    <xf numFmtId="0" fontId="8" fillId="0" borderId="70" xfId="0" applyFont="1" applyBorder="1"/>
    <xf numFmtId="0" fontId="8" fillId="0" borderId="70" xfId="0" applyFont="1" applyBorder="1" applyAlignment="1">
      <alignment wrapText="1"/>
    </xf>
    <xf numFmtId="0" fontId="8" fillId="0" borderId="70" xfId="0" applyFont="1" applyBorder="1" applyAlignment="1">
      <alignment vertical="top"/>
    </xf>
    <xf numFmtId="165" fontId="5" fillId="5" borderId="58" xfId="6" applyNumberFormat="1" applyBorder="1"/>
    <xf numFmtId="165" fontId="4" fillId="4" borderId="75" xfId="11" applyNumberFormat="1" applyFont="1" applyFill="1" applyBorder="1"/>
    <xf numFmtId="177" fontId="0" fillId="0" borderId="0" xfId="0" applyNumberFormat="1"/>
    <xf numFmtId="165" fontId="42" fillId="7" borderId="43" xfId="13" applyNumberFormat="1" applyFont="1" applyBorder="1"/>
    <xf numFmtId="165" fontId="42" fillId="7" borderId="44" xfId="13" applyNumberFormat="1" applyFont="1" applyBorder="1"/>
    <xf numFmtId="165" fontId="42" fillId="7" borderId="72" xfId="13" applyNumberFormat="1" applyFont="1" applyBorder="1"/>
    <xf numFmtId="165" fontId="42" fillId="7" borderId="14" xfId="13" applyNumberFormat="1" applyFont="1" applyBorder="1"/>
    <xf numFmtId="165" fontId="42" fillId="0" borderId="13" xfId="13" applyNumberFormat="1" applyFont="1" applyFill="1" applyBorder="1"/>
    <xf numFmtId="42" fontId="43" fillId="0" borderId="6" xfId="0" applyNumberFormat="1" applyFont="1" applyBorder="1" applyAlignment="1">
      <alignment horizontal="right"/>
    </xf>
    <xf numFmtId="172" fontId="43" fillId="0" borderId="6" xfId="0" applyNumberFormat="1" applyFont="1" applyBorder="1" applyAlignment="1">
      <alignment horizontal="right"/>
    </xf>
    <xf numFmtId="175" fontId="43" fillId="0" borderId="6" xfId="1" applyNumberFormat="1" applyFont="1" applyBorder="1" applyAlignment="1">
      <alignment horizontal="right" vertical="center"/>
    </xf>
    <xf numFmtId="175" fontId="36" fillId="0" borderId="6" xfId="1" applyNumberFormat="1" applyFont="1" applyBorder="1" applyAlignment="1">
      <alignment horizontal="right" vertical="center"/>
    </xf>
    <xf numFmtId="0" fontId="8" fillId="0" borderId="0" xfId="0" applyFont="1" applyAlignment="1">
      <alignment horizontal="left" vertical="center" wrapText="1"/>
    </xf>
    <xf numFmtId="170" fontId="43" fillId="0" borderId="3" xfId="0" applyNumberFormat="1" applyFont="1" applyFill="1" applyBorder="1" applyAlignment="1">
      <alignment vertical="center"/>
    </xf>
    <xf numFmtId="165" fontId="0" fillId="0" borderId="0" xfId="0" quotePrefix="1" applyNumberFormat="1" applyFill="1" applyBorder="1"/>
    <xf numFmtId="178" fontId="0" fillId="0" borderId="0" xfId="0" applyNumberFormat="1"/>
    <xf numFmtId="179" fontId="14" fillId="7" borderId="70" xfId="13" applyNumberFormat="1" applyBorder="1"/>
    <xf numFmtId="179" fontId="0" fillId="0" borderId="0" xfId="0" applyNumberFormat="1"/>
    <xf numFmtId="179" fontId="13" fillId="7" borderId="17" xfId="12" applyNumberFormat="1"/>
    <xf numFmtId="179" fontId="13" fillId="7" borderId="71" xfId="12" applyNumberFormat="1" applyBorder="1"/>
    <xf numFmtId="44" fontId="0" fillId="0" borderId="0" xfId="0" applyNumberFormat="1" applyFill="1"/>
    <xf numFmtId="4" fontId="0" fillId="0" borderId="0" xfId="0" applyNumberFormat="1"/>
    <xf numFmtId="0" fontId="8" fillId="0" borderId="0" xfId="0" quotePrefix="1" applyFont="1" applyFill="1"/>
    <xf numFmtId="0" fontId="8" fillId="0" borderId="0" xfId="0" applyFont="1" applyFill="1" applyAlignment="1">
      <alignment horizontal="left" wrapText="1"/>
    </xf>
    <xf numFmtId="0" fontId="8" fillId="0" borderId="0" xfId="0" applyFont="1" applyFill="1" applyAlignment="1">
      <alignment wrapText="1"/>
    </xf>
    <xf numFmtId="0" fontId="0" fillId="0" borderId="0" xfId="0" quotePrefix="1" applyAlignment="1">
      <alignment vertical="top"/>
    </xf>
    <xf numFmtId="0" fontId="45" fillId="0" borderId="0" xfId="0" quotePrefix="1" applyFont="1"/>
    <xf numFmtId="0" fontId="44" fillId="39" borderId="64" xfId="0" quotePrefix="1" applyFont="1" applyFill="1" applyBorder="1" applyAlignment="1">
      <alignment horizontal="center" wrapText="1"/>
    </xf>
    <xf numFmtId="0" fontId="46" fillId="0" borderId="0" xfId="0" quotePrefix="1" applyFont="1"/>
    <xf numFmtId="43" fontId="0" fillId="0" borderId="0" xfId="0" applyNumberFormat="1"/>
    <xf numFmtId="0" fontId="47" fillId="0" borderId="0" xfId="0" applyFont="1"/>
    <xf numFmtId="165" fontId="5" fillId="35" borderId="1" xfId="6" applyNumberFormat="1" applyFill="1" applyBorder="1"/>
    <xf numFmtId="0" fontId="8" fillId="0" borderId="70" xfId="0" applyFont="1" applyFill="1" applyBorder="1" applyAlignment="1">
      <alignment horizontal="center" wrapText="1"/>
    </xf>
    <xf numFmtId="174" fontId="30" fillId="0" borderId="0" xfId="0" applyNumberFormat="1" applyFont="1" applyFill="1" applyBorder="1" applyAlignment="1">
      <alignment horizontal="center" vertical="center" wrapText="1"/>
    </xf>
    <xf numFmtId="4" fontId="5" fillId="0" borderId="0" xfId="6" applyNumberFormat="1" applyFill="1" applyBorder="1"/>
    <xf numFmtId="4" fontId="5" fillId="0" borderId="9" xfId="6" applyNumberFormat="1" applyFill="1" applyBorder="1"/>
    <xf numFmtId="4" fontId="5" fillId="0" borderId="10" xfId="6" applyNumberFormat="1" applyFill="1" applyBorder="1"/>
    <xf numFmtId="0" fontId="44" fillId="39" borderId="3" xfId="0" applyFont="1" applyFill="1" applyBorder="1" applyAlignment="1">
      <alignment horizontal="center" wrapText="1"/>
    </xf>
    <xf numFmtId="0" fontId="44" fillId="39" borderId="3" xfId="0" quotePrefix="1" applyFont="1" applyFill="1" applyBorder="1" applyAlignment="1">
      <alignment horizontal="center" wrapText="1"/>
    </xf>
    <xf numFmtId="0" fontId="45" fillId="0" borderId="0" xfId="0" applyFont="1" applyAlignment="1">
      <alignment vertical="top"/>
    </xf>
    <xf numFmtId="175" fontId="48" fillId="0" borderId="0" xfId="0" applyNumberFormat="1" applyFont="1"/>
    <xf numFmtId="0" fontId="0" fillId="0" borderId="0" xfId="0" applyAlignment="1">
      <alignment vertical="top" wrapText="1"/>
    </xf>
    <xf numFmtId="0" fontId="0" fillId="0" borderId="0" xfId="0" applyAlignment="1">
      <alignment wrapText="1"/>
    </xf>
    <xf numFmtId="0" fontId="0" fillId="0" borderId="0" xfId="0" applyAlignment="1">
      <alignment wrapText="1"/>
    </xf>
    <xf numFmtId="41" fontId="5" fillId="5" borderId="3" xfId="6" applyNumberFormat="1" applyBorder="1"/>
    <xf numFmtId="41" fontId="49" fillId="0" borderId="1" xfId="6" applyNumberFormat="1" applyFont="1" applyFill="1" applyBorder="1"/>
    <xf numFmtId="0" fontId="0" fillId="0" borderId="10" xfId="0" applyFill="1" applyBorder="1"/>
    <xf numFmtId="167" fontId="5" fillId="5" borderId="58" xfId="1" applyNumberFormat="1" applyFont="1" applyFill="1" applyBorder="1"/>
    <xf numFmtId="167" fontId="5" fillId="35" borderId="1" xfId="1" applyNumberFormat="1" applyFont="1" applyFill="1" applyBorder="1"/>
    <xf numFmtId="0" fontId="8" fillId="0" borderId="0" xfId="0" applyFont="1" applyFill="1" applyAlignment="1">
      <alignment horizontal="left"/>
    </xf>
    <xf numFmtId="0" fontId="8" fillId="0" borderId="0" xfId="0" applyFont="1" applyFill="1" applyAlignment="1">
      <alignment horizontal="right"/>
    </xf>
    <xf numFmtId="0" fontId="0" fillId="0" borderId="0" xfId="0" applyAlignment="1">
      <alignment wrapText="1"/>
    </xf>
    <xf numFmtId="0" fontId="0" fillId="40" borderId="0" xfId="0" applyFill="1" applyBorder="1"/>
    <xf numFmtId="164" fontId="0" fillId="40" borderId="69" xfId="0" applyNumberFormat="1" applyFill="1" applyBorder="1"/>
    <xf numFmtId="164" fontId="0" fillId="40" borderId="12" xfId="0" applyNumberFormat="1" applyFill="1" applyBorder="1"/>
    <xf numFmtId="164" fontId="0" fillId="0" borderId="12" xfId="0" applyNumberFormat="1" applyFill="1" applyBorder="1"/>
    <xf numFmtId="164" fontId="0" fillId="0" borderId="7" xfId="0" applyNumberFormat="1" applyFill="1" applyBorder="1"/>
    <xf numFmtId="164" fontId="0" fillId="0" borderId="8" xfId="0" applyNumberFormat="1" applyFill="1" applyBorder="1"/>
    <xf numFmtId="164" fontId="0" fillId="0" borderId="39" xfId="0" applyNumberFormat="1" applyFill="1" applyBorder="1"/>
    <xf numFmtId="172" fontId="40" fillId="0" borderId="6" xfId="0" applyNumberFormat="1" applyFont="1" applyBorder="1" applyAlignment="1">
      <alignment horizontal="right"/>
    </xf>
    <xf numFmtId="170" fontId="40" fillId="0" borderId="3" xfId="0" applyNumberFormat="1" applyFont="1" applyFill="1" applyBorder="1" applyAlignment="1">
      <alignment vertical="center"/>
    </xf>
    <xf numFmtId="165" fontId="44" fillId="0" borderId="13" xfId="6" applyNumberFormat="1" applyFont="1" applyFill="1" applyBorder="1"/>
    <xf numFmtId="41" fontId="44" fillId="0" borderId="13" xfId="6" applyNumberFormat="1" applyFont="1" applyFill="1" applyBorder="1"/>
    <xf numFmtId="165" fontId="44" fillId="0" borderId="15" xfId="11" applyNumberFormat="1" applyFont="1" applyFill="1" applyBorder="1"/>
    <xf numFmtId="165" fontId="46" fillId="0" borderId="13" xfId="13" applyNumberFormat="1" applyFont="1" applyFill="1" applyBorder="1"/>
    <xf numFmtId="165" fontId="46" fillId="0" borderId="73" xfId="13" applyNumberFormat="1" applyFont="1" applyFill="1" applyBorder="1"/>
    <xf numFmtId="165" fontId="46" fillId="0" borderId="42" xfId="13" applyNumberFormat="1" applyFont="1" applyFill="1" applyBorder="1"/>
    <xf numFmtId="165" fontId="44" fillId="0" borderId="58" xfId="6" applyNumberFormat="1" applyFont="1" applyFill="1" applyBorder="1"/>
    <xf numFmtId="41" fontId="44" fillId="0" borderId="58" xfId="6" applyNumberFormat="1" applyFont="1" applyFill="1" applyBorder="1"/>
    <xf numFmtId="165" fontId="44" fillId="0" borderId="60" xfId="11" applyNumberFormat="1" applyFont="1" applyFill="1" applyBorder="1"/>
    <xf numFmtId="165" fontId="46" fillId="0" borderId="58" xfId="13" applyNumberFormat="1" applyFont="1" applyFill="1" applyBorder="1"/>
    <xf numFmtId="172" fontId="50" fillId="0" borderId="6" xfId="0" applyNumberFormat="1" applyFont="1" applyFill="1" applyBorder="1" applyAlignment="1">
      <alignment horizontal="right"/>
    </xf>
    <xf numFmtId="0" fontId="8" fillId="0" borderId="0" xfId="0" applyFont="1" applyFill="1" applyAlignment="1">
      <alignment horizontal="left"/>
    </xf>
    <xf numFmtId="0" fontId="8" fillId="0" borderId="0" xfId="0" applyFont="1" applyFill="1" applyAlignment="1">
      <alignment horizontal="left" vertical="center" wrapText="1"/>
    </xf>
    <xf numFmtId="0" fontId="0" fillId="0" borderId="70" xfId="0" applyFill="1" applyBorder="1" applyAlignment="1">
      <alignment vertical="top" wrapText="1"/>
    </xf>
    <xf numFmtId="174" fontId="0" fillId="0" borderId="0" xfId="1" applyNumberFormat="1" applyFont="1" applyFill="1"/>
    <xf numFmtId="170" fontId="0" fillId="0" borderId="0" xfId="0" applyNumberFormat="1" applyFill="1"/>
    <xf numFmtId="175" fontId="48" fillId="0" borderId="0" xfId="0" applyNumberFormat="1" applyFont="1" applyFill="1"/>
    <xf numFmtId="0" fontId="9" fillId="0" borderId="0" xfId="0" applyFont="1" applyFill="1" applyAlignment="1">
      <alignment horizontal="left"/>
    </xf>
    <xf numFmtId="0" fontId="7" fillId="0" borderId="10" xfId="8" applyFill="1" applyBorder="1"/>
    <xf numFmtId="0" fontId="46" fillId="0" borderId="0" xfId="0" quotePrefix="1" applyFont="1" applyFill="1"/>
    <xf numFmtId="0" fontId="0" fillId="0" borderId="3" xfId="0" applyFill="1" applyBorder="1" applyAlignment="1">
      <alignment horizontal="center" wrapText="1"/>
    </xf>
    <xf numFmtId="164" fontId="44" fillId="0" borderId="12" xfId="0" applyNumberFormat="1" applyFont="1" applyFill="1" applyBorder="1"/>
    <xf numFmtId="165" fontId="0" fillId="0" borderId="10" xfId="0" applyNumberFormat="1" applyFill="1" applyBorder="1"/>
    <xf numFmtId="0" fontId="8" fillId="0" borderId="0" xfId="0" applyFont="1" applyFill="1" applyAlignment="1">
      <alignment horizontal="center"/>
    </xf>
    <xf numFmtId="164" fontId="0" fillId="0" borderId="69" xfId="0" applyNumberFormat="1" applyFill="1" applyBorder="1"/>
    <xf numFmtId="179" fontId="0" fillId="0" borderId="0" xfId="0" applyNumberFormat="1" applyFill="1"/>
    <xf numFmtId="0" fontId="8" fillId="0" borderId="0" xfId="0" applyFont="1" applyFill="1" applyAlignment="1">
      <alignment horizontal="left" wrapText="1"/>
    </xf>
    <xf numFmtId="0" fontId="9" fillId="0" borderId="0" xfId="0" applyFont="1" applyAlignment="1">
      <alignment horizontal="center" wrapText="1"/>
    </xf>
    <xf numFmtId="0" fontId="8" fillId="0" borderId="0" xfId="0" applyFont="1" applyFill="1" applyAlignment="1">
      <alignment horizontal="left"/>
    </xf>
    <xf numFmtId="0" fontId="8" fillId="0" borderId="0" xfId="0" applyFont="1" applyFill="1" applyAlignment="1">
      <alignment horizontal="left" vertical="top" wrapText="1"/>
    </xf>
    <xf numFmtId="0" fontId="32" fillId="3" borderId="19" xfId="4" applyFont="1" applyBorder="1" applyAlignment="1">
      <alignment horizontal="center"/>
    </xf>
    <xf numFmtId="0" fontId="32" fillId="3" borderId="20" xfId="4" applyFont="1" applyBorder="1" applyAlignment="1">
      <alignment horizontal="center"/>
    </xf>
    <xf numFmtId="0" fontId="32" fillId="3" borderId="4" xfId="4" applyFont="1" applyBorder="1" applyAlignment="1">
      <alignment horizontal="center"/>
    </xf>
    <xf numFmtId="0" fontId="8" fillId="0" borderId="0" xfId="0" applyFont="1" applyFill="1" applyAlignment="1">
      <alignment horizontal="left" vertical="center" wrapText="1"/>
    </xf>
    <xf numFmtId="0" fontId="8" fillId="0" borderId="0" xfId="0" applyFont="1" applyAlignment="1">
      <alignment horizontal="left" wrapText="1"/>
    </xf>
    <xf numFmtId="0" fontId="8" fillId="38" borderId="20" xfId="0" applyFont="1" applyFill="1" applyBorder="1" applyAlignment="1">
      <alignment horizontal="center"/>
    </xf>
    <xf numFmtId="0" fontId="8" fillId="38" borderId="4" xfId="0" applyFont="1" applyFill="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8" fillId="0" borderId="4" xfId="0" applyFont="1" applyBorder="1" applyAlignment="1">
      <alignment horizontal="center"/>
    </xf>
    <xf numFmtId="0" fontId="9" fillId="0" borderId="0" xfId="0" applyFont="1" applyFill="1" applyAlignment="1">
      <alignment horizontal="center" wrapText="1"/>
    </xf>
    <xf numFmtId="0" fontId="8" fillId="0" borderId="0" xfId="0" applyFont="1" applyFill="1" applyAlignment="1">
      <alignment wrapText="1"/>
    </xf>
    <xf numFmtId="0" fontId="46" fillId="0" borderId="0" xfId="0" quotePrefix="1" applyFont="1" applyFill="1" applyAlignment="1">
      <alignment vertical="top" wrapText="1"/>
    </xf>
    <xf numFmtId="0" fontId="0" fillId="0" borderId="0" xfId="0" applyFill="1" applyAlignment="1">
      <alignment vertical="top" wrapText="1"/>
    </xf>
    <xf numFmtId="0" fontId="0" fillId="0" borderId="0" xfId="0" applyFill="1" applyAlignment="1">
      <alignment wrapText="1"/>
    </xf>
    <xf numFmtId="0" fontId="33" fillId="0" borderId="19" xfId="8" applyFont="1" applyBorder="1" applyAlignment="1">
      <alignment horizontal="center"/>
    </xf>
    <xf numFmtId="0" fontId="33" fillId="0" borderId="20" xfId="8" applyFont="1" applyBorder="1" applyAlignment="1">
      <alignment horizontal="center"/>
    </xf>
    <xf numFmtId="0" fontId="33" fillId="0" borderId="4" xfId="8" applyFont="1" applyBorder="1" applyAlignment="1">
      <alignment horizontal="center"/>
    </xf>
    <xf numFmtId="0" fontId="0" fillId="0" borderId="0" xfId="0" applyFill="1" applyAlignment="1"/>
    <xf numFmtId="0" fontId="0" fillId="0" borderId="0" xfId="0" applyFill="1" applyAlignment="1">
      <alignment horizontal="left" vertical="center" wrapText="1"/>
    </xf>
  </cellXfs>
  <cellStyles count="302">
    <cellStyle name="20% - Accent1" xfId="24" builtinId="30" customBuiltin="1"/>
    <cellStyle name="20% - Accent1 2" xfId="54" xr:uid="{00000000-0005-0000-0000-000001000000}"/>
    <cellStyle name="20% - Accent2" xfId="28" builtinId="34" customBuiltin="1"/>
    <cellStyle name="20% - Accent2 2" xfId="56" xr:uid="{00000000-0005-0000-0000-000003000000}"/>
    <cellStyle name="20% - Accent3" xfId="32" builtinId="38" customBuiltin="1"/>
    <cellStyle name="20% - Accent3 2" xfId="58" xr:uid="{00000000-0005-0000-0000-000005000000}"/>
    <cellStyle name="20% - Accent4" xfId="36" builtinId="42" customBuiltin="1"/>
    <cellStyle name="20% - Accent4 2" xfId="60" xr:uid="{00000000-0005-0000-0000-000007000000}"/>
    <cellStyle name="20% - Accent5" xfId="40" builtinId="46" customBuiltin="1"/>
    <cellStyle name="20% - Accent5 2" xfId="62" xr:uid="{00000000-0005-0000-0000-000009000000}"/>
    <cellStyle name="20% - Accent6" xfId="44" builtinId="50" customBuiltin="1"/>
    <cellStyle name="20% - Accent6 2" xfId="64" xr:uid="{00000000-0005-0000-0000-00000B000000}"/>
    <cellStyle name="40% - Accent1" xfId="25" builtinId="31" customBuiltin="1"/>
    <cellStyle name="40% - Accent1 2" xfId="55" xr:uid="{00000000-0005-0000-0000-00000D000000}"/>
    <cellStyle name="40% - Accent2" xfId="29" builtinId="35" customBuiltin="1"/>
    <cellStyle name="40% - Accent2 2" xfId="57" xr:uid="{00000000-0005-0000-0000-00000F000000}"/>
    <cellStyle name="40% - Accent3" xfId="33" builtinId="39" customBuiltin="1"/>
    <cellStyle name="40% - Accent3 2" xfId="59" xr:uid="{00000000-0005-0000-0000-000011000000}"/>
    <cellStyle name="40% - Accent4" xfId="37" builtinId="43" customBuiltin="1"/>
    <cellStyle name="40% - Accent4 2" xfId="61" xr:uid="{00000000-0005-0000-0000-000013000000}"/>
    <cellStyle name="40% - Accent5" xfId="41" builtinId="47" customBuiltin="1"/>
    <cellStyle name="40% - Accent5 2" xfId="63" xr:uid="{00000000-0005-0000-0000-000015000000}"/>
    <cellStyle name="40% - Accent6" xfId="45" builtinId="51" customBuiltin="1"/>
    <cellStyle name="40% - Accent6 2" xfId="65"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2" xfId="68" xr:uid="{00000000-0005-0000-0000-000028000000}"/>
    <cellStyle name="Comma 2 2" xfId="282" xr:uid="{00000000-0005-0000-0000-000029000000}"/>
    <cellStyle name="Comma 3" xfId="66" xr:uid="{00000000-0005-0000-0000-00002A000000}"/>
    <cellStyle name="Comma 3 2" xfId="9" xr:uid="{00000000-0005-0000-0000-00002B000000}"/>
    <cellStyle name="Comma 4" xfId="192" xr:uid="{00000000-0005-0000-0000-00002C000000}"/>
    <cellStyle name="Comma 5" xfId="52" xr:uid="{00000000-0005-0000-0000-00002D000000}"/>
    <cellStyle name="Currency" xfId="11" builtinId="4"/>
    <cellStyle name="Currency [0] 2" xfId="114" xr:uid="{00000000-0005-0000-0000-00002F000000}"/>
    <cellStyle name="Currency [0] 2 2" xfId="203" xr:uid="{00000000-0005-0000-0000-000030000000}"/>
    <cellStyle name="Currency 10" xfId="193" xr:uid="{00000000-0005-0000-0000-000031000000}"/>
    <cellStyle name="Currency 11" xfId="112" xr:uid="{00000000-0005-0000-0000-000032000000}"/>
    <cellStyle name="Currency 12" xfId="197" xr:uid="{00000000-0005-0000-0000-000033000000}"/>
    <cellStyle name="Currency 13" xfId="50" xr:uid="{00000000-0005-0000-0000-000034000000}"/>
    <cellStyle name="Currency 13 2" xfId="288" xr:uid="{00000000-0005-0000-0000-000035000000}"/>
    <cellStyle name="Currency 14" xfId="285" xr:uid="{00000000-0005-0000-0000-000036000000}"/>
    <cellStyle name="Currency 15" xfId="289" xr:uid="{00000000-0005-0000-0000-000037000000}"/>
    <cellStyle name="Currency 16" xfId="291" xr:uid="{00000000-0005-0000-0000-000038000000}"/>
    <cellStyle name="Currency 17" xfId="292" xr:uid="{00000000-0005-0000-0000-000039000000}"/>
    <cellStyle name="Currency 18" xfId="293" xr:uid="{00000000-0005-0000-0000-00003A000000}"/>
    <cellStyle name="Currency 19" xfId="294" xr:uid="{00000000-0005-0000-0000-00003B000000}"/>
    <cellStyle name="Currency 2" xfId="69" xr:uid="{00000000-0005-0000-0000-00003C000000}"/>
    <cellStyle name="Currency 2 2" xfId="111" xr:uid="{00000000-0005-0000-0000-00003D000000}"/>
    <cellStyle name="Currency 2 2 2" xfId="202" xr:uid="{00000000-0005-0000-0000-00003E000000}"/>
    <cellStyle name="Currency 2 3" xfId="280" xr:uid="{00000000-0005-0000-0000-00003F000000}"/>
    <cellStyle name="Currency 20" xfId="295" xr:uid="{00000000-0005-0000-0000-000040000000}"/>
    <cellStyle name="Currency 21" xfId="296" xr:uid="{00000000-0005-0000-0000-000041000000}"/>
    <cellStyle name="Currency 22" xfId="297" xr:uid="{00000000-0005-0000-0000-000042000000}"/>
    <cellStyle name="Currency 3" xfId="67" xr:uid="{00000000-0005-0000-0000-000043000000}"/>
    <cellStyle name="Currency 3 2" xfId="279" xr:uid="{00000000-0005-0000-0000-000044000000}"/>
    <cellStyle name="Currency 4" xfId="115" xr:uid="{00000000-0005-0000-0000-000045000000}"/>
    <cellStyle name="Currency 4 2" xfId="204" xr:uid="{00000000-0005-0000-0000-000046000000}"/>
    <cellStyle name="Currency 4 3" xfId="281" xr:uid="{00000000-0005-0000-0000-000047000000}"/>
    <cellStyle name="Currency 5" xfId="116" xr:uid="{00000000-0005-0000-0000-000048000000}"/>
    <cellStyle name="Currency 5 2" xfId="205" xr:uid="{00000000-0005-0000-0000-000049000000}"/>
    <cellStyle name="Currency 6" xfId="117" xr:uid="{00000000-0005-0000-0000-00004A000000}"/>
    <cellStyle name="Currency 6 2" xfId="206" xr:uid="{00000000-0005-0000-0000-00004B000000}"/>
    <cellStyle name="Currency 7" xfId="118" xr:uid="{00000000-0005-0000-0000-00004C000000}"/>
    <cellStyle name="Currency 7 2" xfId="207" xr:uid="{00000000-0005-0000-0000-00004D000000}"/>
    <cellStyle name="Currency 8" xfId="194" xr:uid="{00000000-0005-0000-0000-00004E000000}"/>
    <cellStyle name="Currency 9" xfId="195" xr:uid="{00000000-0005-0000-0000-00004F000000}"/>
    <cellStyle name="Data Field" xfId="119" xr:uid="{00000000-0005-0000-0000-000050000000}"/>
    <cellStyle name="Data Field 2" xfId="208" xr:uid="{00000000-0005-0000-0000-000051000000}"/>
    <cellStyle name="Data Name" xfId="120" xr:uid="{00000000-0005-0000-0000-000052000000}"/>
    <cellStyle name="Data Name 2" xfId="209" xr:uid="{00000000-0005-0000-0000-000053000000}"/>
    <cellStyle name="Explanatory Text" xfId="8" builtinId="53" customBuiltin="1"/>
    <cellStyle name="Followed Hyperlink" xfId="287"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6" builtinId="8" customBuiltin="1"/>
    <cellStyle name="Hyperlink 2" xfId="121" xr:uid="{00000000-0005-0000-0000-00005C000000}"/>
    <cellStyle name="Hyperlink 3" xfId="122" xr:uid="{00000000-0005-0000-0000-00005D000000}"/>
    <cellStyle name="Hyperlink 4" xfId="300" xr:uid="{00000000-0005-0000-0000-00005E000000}"/>
    <cellStyle name="Hyperlink 5" xfId="298" xr:uid="{00000000-0005-0000-0000-00005F000000}"/>
    <cellStyle name="Input" xfId="6" builtinId="20" customBuiltin="1"/>
    <cellStyle name="Linked Cell" xfId="15" builtinId="24" customBuiltin="1"/>
    <cellStyle name="Neutral" xfId="5" builtinId="28" customBuiltin="1"/>
    <cellStyle name="Normal" xfId="0" builtinId="0"/>
    <cellStyle name="Normal 10" xfId="123" xr:uid="{00000000-0005-0000-0000-000064000000}"/>
    <cellStyle name="Normal 10 2" xfId="124" xr:uid="{00000000-0005-0000-0000-000065000000}"/>
    <cellStyle name="Normal 10 2 2" xfId="211" xr:uid="{00000000-0005-0000-0000-000066000000}"/>
    <cellStyle name="Normal 10 3" xfId="210" xr:uid="{00000000-0005-0000-0000-000067000000}"/>
    <cellStyle name="Normal 11" xfId="125" xr:uid="{00000000-0005-0000-0000-000068000000}"/>
    <cellStyle name="Normal 11 2" xfId="212" xr:uid="{00000000-0005-0000-0000-000069000000}"/>
    <cellStyle name="Normal 12" xfId="126" xr:uid="{00000000-0005-0000-0000-00006A000000}"/>
    <cellStyle name="Normal 12 2" xfId="213" xr:uid="{00000000-0005-0000-0000-00006B000000}"/>
    <cellStyle name="Normal 13" xfId="127" xr:uid="{00000000-0005-0000-0000-00006C000000}"/>
    <cellStyle name="Normal 13 2" xfId="214" xr:uid="{00000000-0005-0000-0000-00006D000000}"/>
    <cellStyle name="Normal 14" xfId="128" xr:uid="{00000000-0005-0000-0000-00006E000000}"/>
    <cellStyle name="Normal 14 2" xfId="215" xr:uid="{00000000-0005-0000-0000-00006F000000}"/>
    <cellStyle name="Normal 15" xfId="129" xr:uid="{00000000-0005-0000-0000-000070000000}"/>
    <cellStyle name="Normal 16" xfId="130" xr:uid="{00000000-0005-0000-0000-000071000000}"/>
    <cellStyle name="Normal 16 2" xfId="216" xr:uid="{00000000-0005-0000-0000-000072000000}"/>
    <cellStyle name="Normal 17" xfId="48" xr:uid="{00000000-0005-0000-0000-000073000000}"/>
    <cellStyle name="Normal 18" xfId="131" xr:uid="{00000000-0005-0000-0000-000074000000}"/>
    <cellStyle name="Normal 18 2" xfId="217" xr:uid="{00000000-0005-0000-0000-000075000000}"/>
    <cellStyle name="Normal 19" xfId="132" xr:uid="{00000000-0005-0000-0000-000076000000}"/>
    <cellStyle name="Normal 19 2" xfId="218" xr:uid="{00000000-0005-0000-0000-000077000000}"/>
    <cellStyle name="Normal 2" xfId="51" xr:uid="{00000000-0005-0000-0000-000078000000}"/>
    <cellStyle name="Normal 2 2" xfId="71" xr:uid="{00000000-0005-0000-0000-000079000000}"/>
    <cellStyle name="Normal 2 2 2" xfId="72" xr:uid="{00000000-0005-0000-0000-00007A000000}"/>
    <cellStyle name="Normal 2 2 3" xfId="73" xr:uid="{00000000-0005-0000-0000-00007B000000}"/>
    <cellStyle name="Normal 2 2 4" xfId="74" xr:uid="{00000000-0005-0000-0000-00007C000000}"/>
    <cellStyle name="Normal 2 2 5" xfId="75" xr:uid="{00000000-0005-0000-0000-00007D000000}"/>
    <cellStyle name="Normal 2 2 6" xfId="76" xr:uid="{00000000-0005-0000-0000-00007E000000}"/>
    <cellStyle name="Normal 2 2 7" xfId="77" xr:uid="{00000000-0005-0000-0000-00007F000000}"/>
    <cellStyle name="Normal 2 2 8" xfId="78" xr:uid="{00000000-0005-0000-0000-000080000000}"/>
    <cellStyle name="Normal 2 2 9" xfId="79" xr:uid="{00000000-0005-0000-0000-000081000000}"/>
    <cellStyle name="Normal 2 3" xfId="80" xr:uid="{00000000-0005-0000-0000-000082000000}"/>
    <cellStyle name="Normal 2 4" xfId="81" xr:uid="{00000000-0005-0000-0000-000083000000}"/>
    <cellStyle name="Normal 2 4 2" xfId="82" xr:uid="{00000000-0005-0000-0000-000084000000}"/>
    <cellStyle name="Normal 2 5" xfId="110" xr:uid="{00000000-0005-0000-0000-000085000000}"/>
    <cellStyle name="Normal 2 5 2" xfId="201" xr:uid="{00000000-0005-0000-0000-000086000000}"/>
    <cellStyle name="Normal 2 6" xfId="47" xr:uid="{00000000-0005-0000-0000-000087000000}"/>
    <cellStyle name="Normal 2 6 2" xfId="70" xr:uid="{00000000-0005-0000-0000-000088000000}"/>
    <cellStyle name="Normal 2 7" xfId="299" xr:uid="{00000000-0005-0000-0000-000089000000}"/>
    <cellStyle name="Normal 26" xfId="106" xr:uid="{00000000-0005-0000-0000-00008A000000}"/>
    <cellStyle name="Normal 26 2" xfId="199" xr:uid="{00000000-0005-0000-0000-00008B000000}"/>
    <cellStyle name="Normal 27" xfId="107" xr:uid="{00000000-0005-0000-0000-00008C000000}"/>
    <cellStyle name="Normal 27 2" xfId="200" xr:uid="{00000000-0005-0000-0000-00008D000000}"/>
    <cellStyle name="Normal 28" xfId="133" xr:uid="{00000000-0005-0000-0000-00008E000000}"/>
    <cellStyle name="Normal 28 2" xfId="219" xr:uid="{00000000-0005-0000-0000-00008F000000}"/>
    <cellStyle name="Normal 3" xfId="83" xr:uid="{00000000-0005-0000-0000-000090000000}"/>
    <cellStyle name="Normal 3 2" xfId="84" xr:uid="{00000000-0005-0000-0000-000091000000}"/>
    <cellStyle name="Normal 3 2 2" xfId="85" xr:uid="{00000000-0005-0000-0000-000092000000}"/>
    <cellStyle name="Normal 3 2 3" xfId="86" xr:uid="{00000000-0005-0000-0000-000093000000}"/>
    <cellStyle name="Normal 3 2 4" xfId="87" xr:uid="{00000000-0005-0000-0000-000094000000}"/>
    <cellStyle name="Normal 3 2 5" xfId="88" xr:uid="{00000000-0005-0000-0000-000095000000}"/>
    <cellStyle name="Normal 3 2 6" xfId="89" xr:uid="{00000000-0005-0000-0000-000096000000}"/>
    <cellStyle name="Normal 3 2 7" xfId="90" xr:uid="{00000000-0005-0000-0000-000097000000}"/>
    <cellStyle name="Normal 3 2 8" xfId="91" xr:uid="{00000000-0005-0000-0000-000098000000}"/>
    <cellStyle name="Normal 3 2 9" xfId="92" xr:uid="{00000000-0005-0000-0000-000099000000}"/>
    <cellStyle name="Normal 3 3" xfId="108" xr:uid="{00000000-0005-0000-0000-00009A000000}"/>
    <cellStyle name="Normal 3 40" xfId="109" xr:uid="{00000000-0005-0000-0000-00009B000000}"/>
    <cellStyle name="Normal 33" xfId="277" xr:uid="{00000000-0005-0000-0000-00009C000000}"/>
    <cellStyle name="Normal 35" xfId="301" xr:uid="{00000000-0005-0000-0000-00009D000000}"/>
    <cellStyle name="Normal 36" xfId="134" xr:uid="{00000000-0005-0000-0000-00009E000000}"/>
    <cellStyle name="Normal 36 2" xfId="220" xr:uid="{00000000-0005-0000-0000-00009F000000}"/>
    <cellStyle name="Normal 37" xfId="135" xr:uid="{00000000-0005-0000-0000-0000A0000000}"/>
    <cellStyle name="Normal 37 2" xfId="221" xr:uid="{00000000-0005-0000-0000-0000A1000000}"/>
    <cellStyle name="Normal 38" xfId="136" xr:uid="{00000000-0005-0000-0000-0000A2000000}"/>
    <cellStyle name="Normal 38 2" xfId="222" xr:uid="{00000000-0005-0000-0000-0000A3000000}"/>
    <cellStyle name="Normal 39" xfId="137" xr:uid="{00000000-0005-0000-0000-0000A4000000}"/>
    <cellStyle name="Normal 39 2" xfId="223" xr:uid="{00000000-0005-0000-0000-0000A5000000}"/>
    <cellStyle name="Normal 4" xfId="10" xr:uid="{00000000-0005-0000-0000-0000A6000000}"/>
    <cellStyle name="Normal 4 2" xfId="94" xr:uid="{00000000-0005-0000-0000-0000A7000000}"/>
    <cellStyle name="Normal 4 3" xfId="93" xr:uid="{00000000-0005-0000-0000-0000A8000000}"/>
    <cellStyle name="Normal 4 4" xfId="278" xr:uid="{00000000-0005-0000-0000-0000A9000000}"/>
    <cellStyle name="Normal 40" xfId="138" xr:uid="{00000000-0005-0000-0000-0000AA000000}"/>
    <cellStyle name="Normal 40 2" xfId="224" xr:uid="{00000000-0005-0000-0000-0000AB000000}"/>
    <cellStyle name="Normal 41" xfId="139" xr:uid="{00000000-0005-0000-0000-0000AC000000}"/>
    <cellStyle name="Normal 41 2" xfId="225" xr:uid="{00000000-0005-0000-0000-0000AD000000}"/>
    <cellStyle name="Normal 42" xfId="140" xr:uid="{00000000-0005-0000-0000-0000AE000000}"/>
    <cellStyle name="Normal 42 2" xfId="226" xr:uid="{00000000-0005-0000-0000-0000AF000000}"/>
    <cellStyle name="Normal 43" xfId="141" xr:uid="{00000000-0005-0000-0000-0000B0000000}"/>
    <cellStyle name="Normal 43 2" xfId="227" xr:uid="{00000000-0005-0000-0000-0000B1000000}"/>
    <cellStyle name="Normal 44" xfId="142" xr:uid="{00000000-0005-0000-0000-0000B2000000}"/>
    <cellStyle name="Normal 44 2" xfId="228" xr:uid="{00000000-0005-0000-0000-0000B3000000}"/>
    <cellStyle name="Normal 45" xfId="143" xr:uid="{00000000-0005-0000-0000-0000B4000000}"/>
    <cellStyle name="Normal 45 2" xfId="229" xr:uid="{00000000-0005-0000-0000-0000B5000000}"/>
    <cellStyle name="Normal 46" xfId="144" xr:uid="{00000000-0005-0000-0000-0000B6000000}"/>
    <cellStyle name="Normal 46 2" xfId="230" xr:uid="{00000000-0005-0000-0000-0000B7000000}"/>
    <cellStyle name="Normal 47" xfId="145" xr:uid="{00000000-0005-0000-0000-0000B8000000}"/>
    <cellStyle name="Normal 47 2" xfId="231" xr:uid="{00000000-0005-0000-0000-0000B9000000}"/>
    <cellStyle name="Normal 48" xfId="146" xr:uid="{00000000-0005-0000-0000-0000BA000000}"/>
    <cellStyle name="Normal 48 2" xfId="232" xr:uid="{00000000-0005-0000-0000-0000BB000000}"/>
    <cellStyle name="Normal 49" xfId="147" xr:uid="{00000000-0005-0000-0000-0000BC000000}"/>
    <cellStyle name="Normal 49 2" xfId="233" xr:uid="{00000000-0005-0000-0000-0000BD000000}"/>
    <cellStyle name="Normal 5" xfId="95" xr:uid="{00000000-0005-0000-0000-0000BE000000}"/>
    <cellStyle name="Normal 5 2" xfId="96" xr:uid="{00000000-0005-0000-0000-0000BF000000}"/>
    <cellStyle name="Normal 5 3" xfId="97" xr:uid="{00000000-0005-0000-0000-0000C0000000}"/>
    <cellStyle name="Normal 5 4" xfId="98" xr:uid="{00000000-0005-0000-0000-0000C1000000}"/>
    <cellStyle name="Normal 50" xfId="148" xr:uid="{00000000-0005-0000-0000-0000C2000000}"/>
    <cellStyle name="Normal 50 2" xfId="234" xr:uid="{00000000-0005-0000-0000-0000C3000000}"/>
    <cellStyle name="Normal 51" xfId="149" xr:uid="{00000000-0005-0000-0000-0000C4000000}"/>
    <cellStyle name="Normal 51 2" xfId="235" xr:uid="{00000000-0005-0000-0000-0000C5000000}"/>
    <cellStyle name="Normal 52" xfId="150" xr:uid="{00000000-0005-0000-0000-0000C6000000}"/>
    <cellStyle name="Normal 52 2" xfId="236" xr:uid="{00000000-0005-0000-0000-0000C7000000}"/>
    <cellStyle name="Normal 53" xfId="151" xr:uid="{00000000-0005-0000-0000-0000C8000000}"/>
    <cellStyle name="Normal 53 2" xfId="237" xr:uid="{00000000-0005-0000-0000-0000C9000000}"/>
    <cellStyle name="Normal 54" xfId="152" xr:uid="{00000000-0005-0000-0000-0000CA000000}"/>
    <cellStyle name="Normal 54 2" xfId="238" xr:uid="{00000000-0005-0000-0000-0000CB000000}"/>
    <cellStyle name="Normal 55" xfId="153" xr:uid="{00000000-0005-0000-0000-0000CC000000}"/>
    <cellStyle name="Normal 55 2" xfId="239" xr:uid="{00000000-0005-0000-0000-0000CD000000}"/>
    <cellStyle name="Normal 56" xfId="154" xr:uid="{00000000-0005-0000-0000-0000CE000000}"/>
    <cellStyle name="Normal 56 2" xfId="240" xr:uid="{00000000-0005-0000-0000-0000CF000000}"/>
    <cellStyle name="Normal 57" xfId="155" xr:uid="{00000000-0005-0000-0000-0000D0000000}"/>
    <cellStyle name="Normal 57 2" xfId="241" xr:uid="{00000000-0005-0000-0000-0000D1000000}"/>
    <cellStyle name="Normal 58" xfId="156" xr:uid="{00000000-0005-0000-0000-0000D2000000}"/>
    <cellStyle name="Normal 58 2" xfId="242" xr:uid="{00000000-0005-0000-0000-0000D3000000}"/>
    <cellStyle name="Normal 59" xfId="157" xr:uid="{00000000-0005-0000-0000-0000D4000000}"/>
    <cellStyle name="Normal 59 2" xfId="243" xr:uid="{00000000-0005-0000-0000-0000D5000000}"/>
    <cellStyle name="Normal 6" xfId="99" xr:uid="{00000000-0005-0000-0000-0000D6000000}"/>
    <cellStyle name="Normal 6 2" xfId="100" xr:uid="{00000000-0005-0000-0000-0000D7000000}"/>
    <cellStyle name="Normal 6 3" xfId="101" xr:uid="{00000000-0005-0000-0000-0000D8000000}"/>
    <cellStyle name="Normal 60" xfId="158" xr:uid="{00000000-0005-0000-0000-0000D9000000}"/>
    <cellStyle name="Normal 60 2" xfId="244" xr:uid="{00000000-0005-0000-0000-0000DA000000}"/>
    <cellStyle name="Normal 61" xfId="159" xr:uid="{00000000-0005-0000-0000-0000DB000000}"/>
    <cellStyle name="Normal 61 2" xfId="245" xr:uid="{00000000-0005-0000-0000-0000DC000000}"/>
    <cellStyle name="Normal 62" xfId="160" xr:uid="{00000000-0005-0000-0000-0000DD000000}"/>
    <cellStyle name="Normal 62 2" xfId="246" xr:uid="{00000000-0005-0000-0000-0000DE000000}"/>
    <cellStyle name="Normal 63" xfId="161" xr:uid="{00000000-0005-0000-0000-0000DF000000}"/>
    <cellStyle name="Normal 63 2" xfId="247" xr:uid="{00000000-0005-0000-0000-0000E0000000}"/>
    <cellStyle name="Normal 64" xfId="162" xr:uid="{00000000-0005-0000-0000-0000E1000000}"/>
    <cellStyle name="Normal 64 2" xfId="248" xr:uid="{00000000-0005-0000-0000-0000E2000000}"/>
    <cellStyle name="Normal 65" xfId="163" xr:uid="{00000000-0005-0000-0000-0000E3000000}"/>
    <cellStyle name="Normal 65 2" xfId="249" xr:uid="{00000000-0005-0000-0000-0000E4000000}"/>
    <cellStyle name="Normal 66" xfId="164" xr:uid="{00000000-0005-0000-0000-0000E5000000}"/>
    <cellStyle name="Normal 66 2" xfId="250" xr:uid="{00000000-0005-0000-0000-0000E6000000}"/>
    <cellStyle name="Normal 67" xfId="165" xr:uid="{00000000-0005-0000-0000-0000E7000000}"/>
    <cellStyle name="Normal 67 2" xfId="251" xr:uid="{00000000-0005-0000-0000-0000E8000000}"/>
    <cellStyle name="Normal 69" xfId="166" xr:uid="{00000000-0005-0000-0000-0000E9000000}"/>
    <cellStyle name="Normal 69 2" xfId="252" xr:uid="{00000000-0005-0000-0000-0000EA000000}"/>
    <cellStyle name="Normal 7" xfId="102" xr:uid="{00000000-0005-0000-0000-0000EB000000}"/>
    <cellStyle name="Normal 70" xfId="167" xr:uid="{00000000-0005-0000-0000-0000EC000000}"/>
    <cellStyle name="Normal 70 2" xfId="253" xr:uid="{00000000-0005-0000-0000-0000ED000000}"/>
    <cellStyle name="Normal 71" xfId="168" xr:uid="{00000000-0005-0000-0000-0000EE000000}"/>
    <cellStyle name="Normal 71 2" xfId="254" xr:uid="{00000000-0005-0000-0000-0000EF000000}"/>
    <cellStyle name="Normal 72" xfId="169" xr:uid="{00000000-0005-0000-0000-0000F0000000}"/>
    <cellStyle name="Normal 72 2" xfId="255" xr:uid="{00000000-0005-0000-0000-0000F1000000}"/>
    <cellStyle name="Normal 73" xfId="170" xr:uid="{00000000-0005-0000-0000-0000F2000000}"/>
    <cellStyle name="Normal 73 2" xfId="256" xr:uid="{00000000-0005-0000-0000-0000F3000000}"/>
    <cellStyle name="Normal 74" xfId="171" xr:uid="{00000000-0005-0000-0000-0000F4000000}"/>
    <cellStyle name="Normal 74 2" xfId="257" xr:uid="{00000000-0005-0000-0000-0000F5000000}"/>
    <cellStyle name="Normal 75" xfId="172" xr:uid="{00000000-0005-0000-0000-0000F6000000}"/>
    <cellStyle name="Normal 75 2" xfId="258" xr:uid="{00000000-0005-0000-0000-0000F7000000}"/>
    <cellStyle name="Normal 76" xfId="173" xr:uid="{00000000-0005-0000-0000-0000F8000000}"/>
    <cellStyle name="Normal 76 2" xfId="259" xr:uid="{00000000-0005-0000-0000-0000F9000000}"/>
    <cellStyle name="Normal 77" xfId="174" xr:uid="{00000000-0005-0000-0000-0000FA000000}"/>
    <cellStyle name="Normal 77 2" xfId="260" xr:uid="{00000000-0005-0000-0000-0000FB000000}"/>
    <cellStyle name="Normal 78" xfId="175" xr:uid="{00000000-0005-0000-0000-0000FC000000}"/>
    <cellStyle name="Normal 78 2" xfId="261" xr:uid="{00000000-0005-0000-0000-0000FD000000}"/>
    <cellStyle name="Normal 79" xfId="176" xr:uid="{00000000-0005-0000-0000-0000FE000000}"/>
    <cellStyle name="Normal 79 2" xfId="262" xr:uid="{00000000-0005-0000-0000-0000FF000000}"/>
    <cellStyle name="Normal 8" xfId="103" xr:uid="{00000000-0005-0000-0000-000000010000}"/>
    <cellStyle name="Normal 80" xfId="177" xr:uid="{00000000-0005-0000-0000-000001010000}"/>
    <cellStyle name="Normal 80 2" xfId="263" xr:uid="{00000000-0005-0000-0000-000002010000}"/>
    <cellStyle name="Normal 81" xfId="178" xr:uid="{00000000-0005-0000-0000-000003010000}"/>
    <cellStyle name="Normal 81 2" xfId="264" xr:uid="{00000000-0005-0000-0000-000004010000}"/>
    <cellStyle name="Normal 82" xfId="179" xr:uid="{00000000-0005-0000-0000-000005010000}"/>
    <cellStyle name="Normal 82 2" xfId="265" xr:uid="{00000000-0005-0000-0000-000006010000}"/>
    <cellStyle name="Normal 83" xfId="180" xr:uid="{00000000-0005-0000-0000-000007010000}"/>
    <cellStyle name="Normal 83 2" xfId="266" xr:uid="{00000000-0005-0000-0000-000008010000}"/>
    <cellStyle name="Normal 84" xfId="181" xr:uid="{00000000-0005-0000-0000-000009010000}"/>
    <cellStyle name="Normal 84 2" xfId="267" xr:uid="{00000000-0005-0000-0000-00000A010000}"/>
    <cellStyle name="Normal 85" xfId="182" xr:uid="{00000000-0005-0000-0000-00000B010000}"/>
    <cellStyle name="Normal 85 2" xfId="268" xr:uid="{00000000-0005-0000-0000-00000C010000}"/>
    <cellStyle name="Normal 86" xfId="183" xr:uid="{00000000-0005-0000-0000-00000D010000}"/>
    <cellStyle name="Normal 86 2" xfId="269" xr:uid="{00000000-0005-0000-0000-00000E010000}"/>
    <cellStyle name="Normal 87" xfId="184" xr:uid="{00000000-0005-0000-0000-00000F010000}"/>
    <cellStyle name="Normal 87 2" xfId="270" xr:uid="{00000000-0005-0000-0000-000010010000}"/>
    <cellStyle name="Normal 9" xfId="104" xr:uid="{00000000-0005-0000-0000-000011010000}"/>
    <cellStyle name="Normal 9 2" xfId="105" xr:uid="{00000000-0005-0000-0000-000012010000}"/>
    <cellStyle name="Normal 9 2 2" xfId="198" xr:uid="{00000000-0005-0000-0000-000013010000}"/>
    <cellStyle name="Note" xfId="14" builtinId="10" customBuiltin="1"/>
    <cellStyle name="Note 2" xfId="53" xr:uid="{00000000-0005-0000-0000-000015010000}"/>
    <cellStyle name="Output" xfId="12" builtinId="21" customBuiltin="1"/>
    <cellStyle name="Percent" xfId="2" builtinId="5"/>
    <cellStyle name="Percent 10" xfId="113" xr:uid="{00000000-0005-0000-0000-000018010000}"/>
    <cellStyle name="Percent 11" xfId="49" xr:uid="{00000000-0005-0000-0000-000019010000}"/>
    <cellStyle name="Percent 11 2" xfId="290" xr:uid="{00000000-0005-0000-0000-00001A010000}"/>
    <cellStyle name="Percent 2" xfId="185" xr:uid="{00000000-0005-0000-0000-00001B010000}"/>
    <cellStyle name="Percent 2 2" xfId="271" xr:uid="{00000000-0005-0000-0000-00001C010000}"/>
    <cellStyle name="Percent 3" xfId="186" xr:uid="{00000000-0005-0000-0000-00001D010000}"/>
    <cellStyle name="Percent 3 2" xfId="272" xr:uid="{00000000-0005-0000-0000-00001E010000}"/>
    <cellStyle name="Percent 3 3" xfId="283" xr:uid="{00000000-0005-0000-0000-00001F010000}"/>
    <cellStyle name="Percent 4" xfId="187" xr:uid="{00000000-0005-0000-0000-000020010000}"/>
    <cellStyle name="Percent 4 2" xfId="273" xr:uid="{00000000-0005-0000-0000-000021010000}"/>
    <cellStyle name="Percent 4 3" xfId="284" xr:uid="{00000000-0005-0000-0000-000022010000}"/>
    <cellStyle name="Percent 5" xfId="188" xr:uid="{00000000-0005-0000-0000-000023010000}"/>
    <cellStyle name="Percent 5 2" xfId="274" xr:uid="{00000000-0005-0000-0000-000024010000}"/>
    <cellStyle name="Percent 6" xfId="189" xr:uid="{00000000-0005-0000-0000-000025010000}"/>
    <cellStyle name="Percent 6 2" xfId="275" xr:uid="{00000000-0005-0000-0000-000026010000}"/>
    <cellStyle name="Percent 7" xfId="190" xr:uid="{00000000-0005-0000-0000-000027010000}"/>
    <cellStyle name="Percent 8" xfId="191" xr:uid="{00000000-0005-0000-0000-000028010000}"/>
    <cellStyle name="Percent 8 2" xfId="276" xr:uid="{00000000-0005-0000-0000-000029010000}"/>
    <cellStyle name="Percent 9" xfId="196" xr:uid="{00000000-0005-0000-0000-00002A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colors>
    <mruColors>
      <color rgb="FFFF00FF"/>
      <color rgb="FF0000CC"/>
      <color rgb="FFFFFF99"/>
      <color rgb="FFFFCC99"/>
      <color rgb="FFC5BBD7"/>
      <color rgb="FFD0C8DE"/>
      <color rgb="FFDAD3E5"/>
      <color rgb="FF0080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externalLink" Target="externalLinks/externalLink23.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42" Type="http://schemas.openxmlformats.org/officeDocument/2006/relationships/externalLink" Target="externalLinks/externalLink26.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3.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externalLink" Target="externalLinks/externalLink21.xml"/><Relationship Id="rId40" Type="http://schemas.openxmlformats.org/officeDocument/2006/relationships/externalLink" Target="externalLinks/externalLink24.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externalLink" Target="externalLinks/externalLink20.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4" Type="http://schemas.openxmlformats.org/officeDocument/2006/relationships/externalLink" Target="externalLinks/externalLink28.xml"/><Relationship Id="rId52"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 Id="rId43" Type="http://schemas.openxmlformats.org/officeDocument/2006/relationships/externalLink" Target="externalLinks/externalLink27.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externalLink" Target="externalLinks/externalLink22.xml"/><Relationship Id="rId46" Type="http://schemas.openxmlformats.org/officeDocument/2006/relationships/styles" Target="styles.xml"/><Relationship Id="rId20" Type="http://schemas.openxmlformats.org/officeDocument/2006/relationships/externalLink" Target="externalLinks/externalLink4.xml"/><Relationship Id="rId41"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Billed%20kWh%20Budget%202025+-%20EMM%2020260601.xlsx?E64238C8" TargetMode="External"/><Relationship Id="rId1" Type="http://schemas.openxmlformats.org/officeDocument/2006/relationships/externalLinkPath" Target="file:///\\E64238C8\Billed%20kWh%20Budget%202025+-%20EMM%2020260601.xlsx" TargetMode="External"/></Relationships>
</file>

<file path=xl/externalLinks/_rels/externalLink10.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60601%20Filing/022026%20C4PY1%20Spend%20(incl%20EO)%20Alloc%20Calc%2003102026%20FINAL.xlsb" TargetMode="External"/><Relationship Id="rId2" Type="http://schemas.microsoft.com/office/2019/04/relationships/externalLinkLongPath" Target="022026%20C4PY1%20Spend%20(incl%20EO)%20Alloc%20Calc%2003102026%20FINAL.xlsb?E64238C8" TargetMode="External"/><Relationship Id="rId1" Type="http://schemas.openxmlformats.org/officeDocument/2006/relationships/externalLinkPath" Target="file:///\\E64238C8\022026%20C4PY1%20Spend%20(incl%20EO)%20Alloc%20Calc%2003102026%20FINAL.xlsb" TargetMode="External"/></Relationships>
</file>

<file path=xl/externalLinks/_rels/externalLink11.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60601%20Filing/022026%20C4PY2%20Spend%20(incl%20EO)%20Alloc%20Calc%2003102026%20FINAL.xlsb" TargetMode="External"/><Relationship Id="rId2" Type="http://schemas.microsoft.com/office/2019/04/relationships/externalLinkLongPath" Target="022026%20C4PY2%20Spend%20(incl%20EO)%20Alloc%20Calc%2003102026%20FINAL.xlsb?E64238C8" TargetMode="External"/><Relationship Id="rId1" Type="http://schemas.openxmlformats.org/officeDocument/2006/relationships/externalLinkPath" Target="file:///\\E64238C8\022026%20C4PY2%20Spend%20(incl%20EO)%20Alloc%20Calc%2003102026%20FINAL.xlsb" TargetMode="External"/></Relationships>
</file>

<file path=xl/externalLinks/_rels/externalLink12.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60601%20Filing/032026%20C4PY1%20Spend%20(incl%20EO)%20Alloc%20Calc%2004092026%20FINAL.xlsb" TargetMode="External"/><Relationship Id="rId2" Type="http://schemas.microsoft.com/office/2019/04/relationships/externalLinkLongPath" Target="032026%20C4PY1%20Spend%20(incl%20EO)%20Alloc%20Calc%2004092026%20FINAL.xlsb?E64238C8" TargetMode="External"/><Relationship Id="rId1" Type="http://schemas.openxmlformats.org/officeDocument/2006/relationships/externalLinkPath" Target="file:///\\E64238C8\032026%20C4PY1%20Spend%20(incl%20EO)%20Alloc%20Calc%2004092026%20FINAL.xlsb" TargetMode="External"/></Relationships>
</file>

<file path=xl/externalLinks/_rels/externalLink13.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60601%20Filing/032026%20C4PY2%20Spend%20(incl%20EO)%20Alloc%20Calc%2004092026%20FINAL.xlsb" TargetMode="External"/><Relationship Id="rId2" Type="http://schemas.microsoft.com/office/2019/04/relationships/externalLinkLongPath" Target="032026%20C4PY2%20Spend%20(incl%20EO)%20Alloc%20Calc%2004092026%20FINAL.xlsb?E64238C8" TargetMode="External"/><Relationship Id="rId1" Type="http://schemas.openxmlformats.org/officeDocument/2006/relationships/externalLinkPath" Target="file:///\\E64238C8\032026%20C4PY2%20Spend%20(incl%20EO)%20Alloc%20Calc%2004092026%20FINAL.xlsb" TargetMode="External"/></Relationships>
</file>

<file path=xl/externalLinks/_rels/externalLink14.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60601%20Filing/042026%20C4PY1%20Spend%20(incl%20EO)%20Alloc%20Calc%2005082026%20FINAL.xlsb" TargetMode="External"/><Relationship Id="rId2" Type="http://schemas.microsoft.com/office/2019/04/relationships/externalLinkLongPath" Target="042026%20C4PY1%20Spend%20(incl%20EO)%20Alloc%20Calc%2005082026%20FINAL.xlsb?E64238C8" TargetMode="External"/><Relationship Id="rId1" Type="http://schemas.openxmlformats.org/officeDocument/2006/relationships/externalLinkPath" Target="file:///\\E64238C8\042026%20C4PY1%20Spend%20(incl%20EO)%20Alloc%20Calc%2005082026%20FINAL.xlsb" TargetMode="External"/></Relationships>
</file>

<file path=xl/externalLinks/_rels/externalLink15.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60601%20Filing/042026%20C4PY2%20Spend%20(incl%20EO)%20Alloc%20Calc%2005082026%20FINAL.xlsb" TargetMode="External"/><Relationship Id="rId2" Type="http://schemas.microsoft.com/office/2019/04/relationships/externalLinkLongPath" Target="042026%20C4PY2%20Spend%20(incl%20EO)%20Alloc%20Calc%2005082026%20FINAL.xlsb?E64238C8" TargetMode="External"/><Relationship Id="rId1" Type="http://schemas.openxmlformats.org/officeDocument/2006/relationships/externalLinkPath" Target="file:///\\E64238C8\042026%20C4PY2%20Spend%20(incl%20EO)%20Alloc%20Calc%2005082026%20FINAL.xlsb" TargetMode="External"/></Relationships>
</file>

<file path=xl/externalLinks/_rels/externalLink16.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60601%20Filing/Metro%20Cycle%203%20Monthly%20TD%20Calc%20032025%2003252025.xlsx" TargetMode="External"/><Relationship Id="rId2" Type="http://schemas.microsoft.com/office/2019/04/relationships/externalLinkLongPath" Target="Metro%20Cycle%203%20Monthly%20TD%20Calc%20032025%2003252025.xlsx?E64238C8" TargetMode="External"/><Relationship Id="rId1" Type="http://schemas.openxmlformats.org/officeDocument/2006/relationships/externalLinkPath" Target="file:///\\E64238C8\Metro%20Cycle%203%20Monthly%20TD%20Calc%20032025%2003252025.xlsx" TargetMode="External"/></Relationships>
</file>

<file path=xl/externalLinks/_rels/externalLink17.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60601%20Filing/Missouri%20Metro%20C4%20Monthly%20TD%20Calc%20incl%20forecast-%20042026%2005152026.xlsx" TargetMode="External"/><Relationship Id="rId2" Type="http://schemas.microsoft.com/office/2019/04/relationships/externalLinkLongPath" Target="Missouri%20Metro%20C4%20Monthly%20TD%20Calc%20incl%20forecast-%20042026%2005152026.xlsx?E64238C8" TargetMode="External"/><Relationship Id="rId1" Type="http://schemas.openxmlformats.org/officeDocument/2006/relationships/externalLinkPath" Target="file:///\\E64238C8\Missouri%20Metro%20C4%20Monthly%20TD%20Calc%20incl%20forecast-%20042026%2005152026.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Metro%20EO%20Calculated%20Cycle%203%20PY1.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Metro%20Cycle%203%20PY1%20EO%20TD%20Adj%20Calc.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60601%20Filing/EMM%20MEEIA%20RIDER%20FORECAST%20PROGRAM%20COSTS-%2020260518.xlsx" TargetMode="External"/><Relationship Id="rId2" Type="http://schemas.microsoft.com/office/2019/04/relationships/externalLinkLongPath" Target="EMM%20MEEIA%20RIDER%20FORECAST%20PROGRAM%20COSTS-%2020260518.xlsx?E64238C8" TargetMode="External"/><Relationship Id="rId1" Type="http://schemas.openxmlformats.org/officeDocument/2006/relationships/externalLinkPath" Target="file:///\\E64238C8\EMM%20MEEIA%20RIDER%20FORECAST%20PROGRAM%20COSTS-%2020260518.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Metro%20EO%20Calculated%20Cycle%203%20PY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Metro%20Cycle%203%20PY2%20EO%20TD%20Adj%20Calc.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Metro%20EO%20Calculated%20Cycle%203%20PY3.xlsx" TargetMode="External"/></Relationships>
</file>

<file path=xl/externalLinks/_rels/externalLink23.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60601%20Filing/Metro%20Cycle%203%20PY3%20EO%20TD%20Adj%20Calc%202026.xlsx" TargetMode="External"/><Relationship Id="rId2" Type="http://schemas.microsoft.com/office/2019/04/relationships/externalLinkLongPath" Target="Metro%20Cycle%203%20PY3%20EO%20TD%20Adj%20Calc%202026.xlsx?E64238C8" TargetMode="External"/><Relationship Id="rId1" Type="http://schemas.openxmlformats.org/officeDocument/2006/relationships/externalLinkPath" Target="file:///\\E64238C8\Metro%20Cycle%203%20PY3%20EO%20TD%20Adj%20Calc%202026.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Metro%20EO%20Calculated%20Cycle%203%20PY4.xlsb"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Metro%20EO%20Calculated%20Cycle%203%20PY5.xlsb"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CONF_Metro%20EO%20PY5%202024%2010062025.xlsb" TargetMode="External"/></Relationships>
</file>

<file path=xl/externalLinks/_rels/externalLink27.xml.rels><?xml version="1.0" encoding="UTF-8" standalone="yes"?>
<Relationships xmlns="http://schemas.openxmlformats.org/package/2006/relationships"><Relationship Id="rId2" Type="http://schemas.openxmlformats.org/officeDocument/2006/relationships/externalLinkPath" Target="https://gppower.sharepoint.com/sites/FinAcct/Shared%20Documents/NetworkDrives/Old%20Genactg%20shared/Migrated%20CorpAcctg/Energy%20Efficiency/MEEIA/Metro%20MEEIA%20DSIM%20RIDER/20260601%20Filing/CONF_EO%20PY5%202024%2001072026.xlsb" TargetMode="External"/><Relationship Id="rId1" Type="http://schemas.openxmlformats.org/officeDocument/2006/relationships/externalLinkPath" Target="CONF_EO%20PY5%202024%2001072026.xlsb" TargetMode="External"/></Relationships>
</file>

<file path=xl/externalLinks/_rels/externalLink28.xml.rels><?xml version="1.0" encoding="UTF-8" standalone="yes"?>
<Relationships xmlns="http://schemas.openxmlformats.org/package/2006/relationships"><Relationship Id="rId2" Type="http://schemas.microsoft.com/office/2019/04/relationships/externalLinkLongPath" Target="OA%20plus%20Int%20calc-%20Q0003_%20Program%20Costs%20042023-032025%20combined%20MO%20jurisdictionsv2.xlsb?E64238C8" TargetMode="External"/><Relationship Id="rId1" Type="http://schemas.openxmlformats.org/officeDocument/2006/relationships/externalLinkPath" Target="file:///\\E64238C8\OA%20plus%20Int%20calc-%20Q0003_%20Program%20Costs%20042023-032025%20combined%20MO%20jurisdictionsv2.xlsb"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60601%20Filing/12%202025%20Metro%20C3%20Spend%20Allocations%20Worksheet%20FINAL.xlsx" TargetMode="External"/><Relationship Id="rId2" Type="http://schemas.microsoft.com/office/2019/04/relationships/externalLinkLongPath" Target="12%202025%20Metro%20C3%20Spend%20Allocations%20Worksheet%20FINAL.xlsx?E64238C8" TargetMode="External"/><Relationship Id="rId1" Type="http://schemas.openxmlformats.org/officeDocument/2006/relationships/externalLinkPath" Target="file:///\\E64238C8\12%202025%20Metro%20C3%20Spend%20Allocations%20Worksheet%20FINAL.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60601%20Filing/Metro%20MEEIA%202026%20Revenue%20Analysis%20Nov25-Apr26.xlsx" TargetMode="External"/><Relationship Id="rId2" Type="http://schemas.microsoft.com/office/2019/04/relationships/externalLinkLongPath" Target="Metro%20MEEIA%202026%20Revenue%20Analysis%20Nov25-Apr26.xlsx?E64238C8" TargetMode="External"/><Relationship Id="rId1" Type="http://schemas.openxmlformats.org/officeDocument/2006/relationships/externalLinkPath" Target="file:///\\E64238C8\Metro%20MEEIA%202026%20Revenue%20Analysis%20Nov25-Apr26.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60601%20Filing/EMM%202026%20ST%20Int%20Rate%20Schedules%20Nov25-Apr26.xlsx" TargetMode="External"/><Relationship Id="rId2" Type="http://schemas.microsoft.com/office/2019/04/relationships/externalLinkLongPath" Target="EMM%202026%20ST%20Int%20Rate%20Schedules%20Nov25-Apr26.xlsx?E64238C8" TargetMode="External"/><Relationship Id="rId1" Type="http://schemas.openxmlformats.org/officeDocument/2006/relationships/externalLinkPath" Target="file:///\\E64238C8\EMM%202026%20ST%20Int%20Rate%20Schedules%20Nov25-Apr26.xlsx"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60601%20Filing/112025%20C4%20Spend%20(incl%20EO)%20Alloc%20Calc%20FINAL%2012082025.xlsb" TargetMode="External"/><Relationship Id="rId2" Type="http://schemas.microsoft.com/office/2019/04/relationships/externalLinkLongPath" Target="112025%20C4%20Spend%20(incl%20EO)%20Alloc%20Calc%20FINAL%2012082025.xlsb?E64238C8" TargetMode="External"/><Relationship Id="rId1" Type="http://schemas.openxmlformats.org/officeDocument/2006/relationships/externalLinkPath" Target="file:///\\E64238C8\112025%20C4%20Spend%20(incl%20EO)%20Alloc%20Calc%20FINAL%2012082025.xlsb"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60601%20Filing/122025%20C4%20Spend%20(incl%20EO)%20Alloc%20Calc%20FINAL%2001092026.xlsb" TargetMode="External"/><Relationship Id="rId2" Type="http://schemas.microsoft.com/office/2019/04/relationships/externalLinkLongPath" Target="122025%20C4%20Spend%20(incl%20EO)%20Alloc%20Calc%20FINAL%2001092026.xlsb?E64238C8" TargetMode="External"/><Relationship Id="rId1" Type="http://schemas.openxmlformats.org/officeDocument/2006/relationships/externalLinkPath" Target="file:///\\E64238C8\122025%20C4%20Spend%20(incl%20EO)%20Alloc%20Calc%20FINAL%2001092026.xlsb"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60601%20Filing/012026%20C4PY1%20Spend%20(incl%20EO)%20Alloc%20Calc%20FINAL%2002092026.xlsb" TargetMode="External"/><Relationship Id="rId2" Type="http://schemas.microsoft.com/office/2019/04/relationships/externalLinkLongPath" Target="012026%20C4PY1%20Spend%20(incl%20EO)%20Alloc%20Calc%20FINAL%2002092026.xlsb?E64238C8" TargetMode="External"/><Relationship Id="rId1" Type="http://schemas.openxmlformats.org/officeDocument/2006/relationships/externalLinkPath" Target="file:///\\E64238C8\012026%20C4PY1%20Spend%20(incl%20EO)%20Alloc%20Calc%20FINAL%2002092026.xlsb" TargetMode="External"/></Relationships>
</file>

<file path=xl/externalLinks/_rels/externalLink9.xml.rels><?xml version="1.0" encoding="UTF-8" standalone="yes"?>
<Relationships xmlns="http://schemas.openxmlformats.org/package/2006/relationships"><Relationship Id="rId3" Type="http://schemas.openxmlformats.org/officeDocument/2006/relationships/externalLinkPath" Target="https://gppower.sharepoint.com/sites/FinAcct/Shared%20Documents/NetworkDrives/Old%20Genactg%20shared/Migrated%20CorpAcctg/Energy%20Efficiency/MEEIA/Metro%20MEEIA%20DSIM%20RIDER/20260601%20Filing/012026%20C4PY2%20Spend%20(incl%20EO)%20Alloc%20Calc%20FINAL%2002092026.xlsb" TargetMode="External"/><Relationship Id="rId2" Type="http://schemas.microsoft.com/office/2019/04/relationships/externalLinkLongPath" Target="012026%20C4PY2%20Spend%20(incl%20EO)%20Alloc%20Calc%20FINAL%2002092026.xlsb?E64238C8" TargetMode="External"/><Relationship Id="rId1" Type="http://schemas.openxmlformats.org/officeDocument/2006/relationships/externalLinkPath" Target="file:///\\E64238C8\012026%20C4PY2%20Spend%20(incl%20EO)%20Alloc%20Calc%20FINAL%2002092026.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CPL Billed kWh Sales"/>
    </sheetNames>
    <sheetDataSet>
      <sheetData sheetId="0">
        <row r="29">
          <cell r="R29">
            <v>155895393</v>
          </cell>
          <cell r="S29">
            <v>210302559</v>
          </cell>
          <cell r="T29">
            <v>300686915</v>
          </cell>
        </row>
        <row r="30">
          <cell r="R30">
            <v>57017488</v>
          </cell>
          <cell r="S30">
            <v>62862021</v>
          </cell>
          <cell r="T30">
            <v>69930569</v>
          </cell>
        </row>
        <row r="31">
          <cell r="R31">
            <v>93181377</v>
          </cell>
          <cell r="S31">
            <v>102732862</v>
          </cell>
          <cell r="T31">
            <v>114284704</v>
          </cell>
        </row>
        <row r="32">
          <cell r="R32">
            <v>152212062</v>
          </cell>
          <cell r="S32">
            <v>167814442</v>
          </cell>
          <cell r="T32">
            <v>186684410</v>
          </cell>
        </row>
        <row r="33">
          <cell r="R33">
            <v>35227331</v>
          </cell>
          <cell r="S33">
            <v>38838282</v>
          </cell>
          <cell r="T33">
            <v>43205470</v>
          </cell>
        </row>
        <row r="41">
          <cell r="E41">
            <v>1480117336</v>
          </cell>
          <cell r="F41">
            <v>1328271966</v>
          </cell>
        </row>
        <row r="42">
          <cell r="E42">
            <v>398589654</v>
          </cell>
          <cell r="F42">
            <v>348304499</v>
          </cell>
        </row>
        <row r="43">
          <cell r="E43">
            <v>653012459</v>
          </cell>
          <cell r="F43">
            <v>590387702</v>
          </cell>
        </row>
        <row r="44">
          <cell r="E44">
            <v>1050234952</v>
          </cell>
          <cell r="F44">
            <v>950641905</v>
          </cell>
        </row>
        <row r="45">
          <cell r="E45">
            <v>295870170</v>
          </cell>
          <cell r="F45">
            <v>361260980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etro"/>
      <sheetName val="Pivot - SI Project Metro"/>
      <sheetName val="SI0000 Alloc"/>
      <sheetName val="SI Project Data"/>
      <sheetName val="Spending-Alloc Rates"/>
    </sheetNames>
    <sheetDataSet>
      <sheetData sheetId="0"/>
      <sheetData sheetId="1">
        <row r="58">
          <cell r="N58">
            <v>3083.81</v>
          </cell>
          <cell r="O58">
            <v>-58709.440000000002</v>
          </cell>
          <cell r="P58">
            <v>-1145562.8500000001</v>
          </cell>
          <cell r="Q58">
            <v>866935.7</v>
          </cell>
          <cell r="R58">
            <v>342324.91</v>
          </cell>
        </row>
      </sheetData>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etro"/>
      <sheetName val="Pivot - SI Project Metro"/>
      <sheetName val="SI0000 Alloc"/>
      <sheetName val="SI Project Data"/>
      <sheetName val="Spending-Alloc Rates"/>
    </sheetNames>
    <sheetDataSet>
      <sheetData sheetId="0"/>
      <sheetData sheetId="1">
        <row r="58">
          <cell r="N58">
            <v>-133847.23000000001</v>
          </cell>
          <cell r="O58">
            <v>-7120.68</v>
          </cell>
          <cell r="P58">
            <v>35201.25</v>
          </cell>
          <cell r="Q58">
            <v>80622.84</v>
          </cell>
          <cell r="R58">
            <v>11403.32</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etro"/>
      <sheetName val="Pivot - SI Project Metro"/>
      <sheetName val="SI0000 Alloc"/>
      <sheetName val="SI Project Data"/>
      <sheetName val="Spending-Alloc Rates"/>
      <sheetName val="Historical Cost by YTD Mth ck"/>
      <sheetName val="Historical Cost by Qtr-PY"/>
      <sheetName val="Historical Cost by Qtr-CalYr"/>
      <sheetName val="Historical Mthly Cost Alloc"/>
      <sheetName val="Spend EO- MOWest"/>
      <sheetName val="Pivot - SI Project MOWest"/>
    </sheetNames>
    <sheetDataSet>
      <sheetData sheetId="0">
        <row r="13">
          <cell r="O13">
            <v>95908.83</v>
          </cell>
        </row>
      </sheetData>
      <sheetData sheetId="1">
        <row r="52">
          <cell r="N52">
            <v>3895445.43</v>
          </cell>
        </row>
        <row r="58">
          <cell r="N58">
            <v>975.98</v>
          </cell>
          <cell r="O58">
            <v>174.02</v>
          </cell>
          <cell r="P58">
            <v>496.32</v>
          </cell>
          <cell r="Q58">
            <v>663.44</v>
          </cell>
          <cell r="R58">
            <v>244.98</v>
          </cell>
        </row>
      </sheetData>
      <sheetData sheetId="2"/>
      <sheetData sheetId="3"/>
      <sheetData sheetId="4"/>
      <sheetData sheetId="5"/>
      <sheetData sheetId="6"/>
      <sheetData sheetId="7"/>
      <sheetData sheetId="8"/>
      <sheetData sheetId="9">
        <row r="13">
          <cell r="O13">
            <v>87166.040000000008</v>
          </cell>
        </row>
      </sheetData>
      <sheetData sheetId="10">
        <row r="50">
          <cell r="N50">
            <v>3375409.03</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etro"/>
      <sheetName val="Pivot - SI Project Metro"/>
      <sheetName val="SI0000 Alloc"/>
      <sheetName val="SI Project Data"/>
      <sheetName val="Spending-Alloc Rates"/>
      <sheetName val="Historical Cost by YTD Mth ck"/>
      <sheetName val="Historical Cost by Qtr-PY"/>
      <sheetName val="Historical Cost by Qtr-CalYr"/>
      <sheetName val="Historical Mthly Cost Alloc"/>
      <sheetName val="Spend EO- MOWest"/>
      <sheetName val="Pivot - SI Project MOWest"/>
    </sheetNames>
    <sheetDataSet>
      <sheetData sheetId="0">
        <row r="13">
          <cell r="O13">
            <v>1604.9099999999989</v>
          </cell>
        </row>
      </sheetData>
      <sheetData sheetId="1">
        <row r="52">
          <cell r="N52">
            <v>452285.57999999996</v>
          </cell>
        </row>
        <row r="58">
          <cell r="N58">
            <v>442882.84</v>
          </cell>
          <cell r="O58">
            <v>-1081.5899999999999</v>
          </cell>
          <cell r="P58">
            <v>37926.39</v>
          </cell>
          <cell r="Q58">
            <v>71166.28</v>
          </cell>
          <cell r="R58">
            <v>10362.51</v>
          </cell>
        </row>
      </sheetData>
      <sheetData sheetId="2"/>
      <sheetData sheetId="3"/>
      <sheetData sheetId="4"/>
      <sheetData sheetId="5"/>
      <sheetData sheetId="6"/>
      <sheetData sheetId="7"/>
      <sheetData sheetId="8"/>
      <sheetData sheetId="9"/>
      <sheetData sheetId="1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etro"/>
      <sheetName val="Pivot - SI Project Metro"/>
      <sheetName val="SI0000 Alloc"/>
      <sheetName val="SI Project Data"/>
      <sheetName val="Spending-Alloc Rates"/>
      <sheetName val="Historical Cost by YTD Mth ck"/>
      <sheetName val="Historical Cost by Qtr-PY"/>
      <sheetName val="Historical Cost by Qtr-CalYr"/>
      <sheetName val="Historical Mthly Cost Alloc"/>
      <sheetName val="Spend EO- MOWest"/>
      <sheetName val="Pivot - SI Project MOWest"/>
    </sheetNames>
    <sheetDataSet>
      <sheetData sheetId="0">
        <row r="13">
          <cell r="O13">
            <v>95908.83</v>
          </cell>
          <cell r="P13">
            <v>107803.9</v>
          </cell>
          <cell r="Q13">
            <v>81468.69</v>
          </cell>
          <cell r="R13">
            <v>42438.400000000001</v>
          </cell>
          <cell r="S13">
            <v>6434.26</v>
          </cell>
        </row>
      </sheetData>
      <sheetData sheetId="1">
        <row r="58">
          <cell r="N58">
            <v>1825.71</v>
          </cell>
          <cell r="O58">
            <v>271.01</v>
          </cell>
          <cell r="P58">
            <v>847.75</v>
          </cell>
          <cell r="Q58">
            <v>1193.3</v>
          </cell>
          <cell r="R58">
            <v>451.3</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etro"/>
      <sheetName val="Pivot - SI Project Metro"/>
      <sheetName val="SI0000 Alloc"/>
      <sheetName val="SI Project Data"/>
      <sheetName val="Spending-Alloc Rates"/>
    </sheetNames>
    <sheetDataSet>
      <sheetData sheetId="0" refreshError="1"/>
      <sheetData sheetId="1">
        <row r="58">
          <cell r="N58">
            <v>549841.87</v>
          </cell>
          <cell r="O58">
            <v>300531.74</v>
          </cell>
          <cell r="P58">
            <v>94226.59</v>
          </cell>
          <cell r="Q58">
            <v>147149.18</v>
          </cell>
          <cell r="R58">
            <v>31356.9</v>
          </cell>
        </row>
      </sheetData>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put"/>
      <sheetName val="Program Descriptions"/>
      <sheetName val="Monthly TD Calc-PY1-3"/>
      <sheetName val="Monthly TD Calc-PY4"/>
      <sheetName val="Monthly TD Calc-PY5"/>
      <sheetName val="Summary Monthly TD Calc"/>
    </sheetNames>
    <sheetDataSet>
      <sheetData sheetId="0" refreshError="1"/>
      <sheetData sheetId="1" refreshError="1"/>
      <sheetData sheetId="2">
        <row r="563">
          <cell r="CE563">
            <v>180249.96000000002</v>
          </cell>
          <cell r="CF563">
            <v>173370.18999999997</v>
          </cell>
          <cell r="CG563">
            <v>133191.89000000001</v>
          </cell>
          <cell r="CH563">
            <v>82889.73</v>
          </cell>
          <cell r="CI563">
            <v>90390.76</v>
          </cell>
          <cell r="CJ563">
            <v>103258.90999999999</v>
          </cell>
        </row>
        <row r="564">
          <cell r="CE564">
            <v>26524.06</v>
          </cell>
          <cell r="CF564">
            <v>26075.55</v>
          </cell>
          <cell r="CG564">
            <v>21199.420000000002</v>
          </cell>
          <cell r="CH564">
            <v>17756.739999999998</v>
          </cell>
          <cell r="CI564">
            <v>17578.559999999998</v>
          </cell>
          <cell r="CJ564">
            <v>16539.86</v>
          </cell>
        </row>
        <row r="565">
          <cell r="CE565">
            <v>48205.939999999995</v>
          </cell>
          <cell r="CF565">
            <v>48721.81</v>
          </cell>
          <cell r="CG565">
            <v>45202.86</v>
          </cell>
          <cell r="CH565">
            <v>34038.350000000006</v>
          </cell>
          <cell r="CI565">
            <v>34241.730000000003</v>
          </cell>
          <cell r="CJ565">
            <v>31849.920000000002</v>
          </cell>
        </row>
        <row r="566">
          <cell r="CE566">
            <v>44083.869999999995</v>
          </cell>
          <cell r="CF566">
            <v>45095.869999999995</v>
          </cell>
          <cell r="CG566">
            <v>40796.06</v>
          </cell>
          <cell r="CH566">
            <v>29814.579999999998</v>
          </cell>
          <cell r="CI566">
            <v>31071.690000000002</v>
          </cell>
          <cell r="CJ566">
            <v>28982.520000000004</v>
          </cell>
        </row>
        <row r="567">
          <cell r="CE567">
            <v>2235.52</v>
          </cell>
          <cell r="CF567">
            <v>2384.94</v>
          </cell>
          <cell r="CG567">
            <v>2180.63</v>
          </cell>
          <cell r="CH567">
            <v>1633.24</v>
          </cell>
          <cell r="CI567">
            <v>1644.6</v>
          </cell>
          <cell r="CJ567">
            <v>1612.23</v>
          </cell>
        </row>
      </sheetData>
      <sheetData sheetId="3">
        <row r="575">
          <cell r="CE575">
            <v>132330.07</v>
          </cell>
          <cell r="CF575">
            <v>122159.84999999999</v>
          </cell>
          <cell r="CG575">
            <v>64603.78</v>
          </cell>
          <cell r="CH575">
            <v>33450.449999999997</v>
          </cell>
          <cell r="CI575">
            <v>36056.129999999997</v>
          </cell>
          <cell r="CJ575">
            <v>33064.800000000003</v>
          </cell>
        </row>
        <row r="576">
          <cell r="CE576">
            <v>9107.0499999999993</v>
          </cell>
          <cell r="CF576">
            <v>9078.5299999999988</v>
          </cell>
          <cell r="CG576">
            <v>8356.7800000000007</v>
          </cell>
          <cell r="CH576">
            <v>6393.1100000000006</v>
          </cell>
          <cell r="CI576">
            <v>6401.4900000000007</v>
          </cell>
          <cell r="CJ576">
            <v>5892.95</v>
          </cell>
        </row>
        <row r="577">
          <cell r="CE577">
            <v>50655.919999999991</v>
          </cell>
          <cell r="CF577">
            <v>51097.659999999996</v>
          </cell>
          <cell r="CG577">
            <v>47558.55</v>
          </cell>
          <cell r="CH577">
            <v>35210.19</v>
          </cell>
          <cell r="CI577">
            <v>35541.159999999996</v>
          </cell>
          <cell r="CJ577">
            <v>32892.15</v>
          </cell>
        </row>
        <row r="578">
          <cell r="CE578">
            <v>38729.75</v>
          </cell>
          <cell r="CF578">
            <v>39501.369999999995</v>
          </cell>
          <cell r="CG578">
            <v>35849.64</v>
          </cell>
          <cell r="CH578">
            <v>25413.45</v>
          </cell>
          <cell r="CI578">
            <v>26565.59</v>
          </cell>
          <cell r="CJ578">
            <v>24591.030000000002</v>
          </cell>
        </row>
        <row r="579">
          <cell r="CE579">
            <v>2612.98</v>
          </cell>
          <cell r="CF579">
            <v>2742.72</v>
          </cell>
          <cell r="CG579">
            <v>2522.88</v>
          </cell>
          <cell r="CH579">
            <v>1732.06</v>
          </cell>
          <cell r="CI579">
            <v>1769.86</v>
          </cell>
          <cell r="CJ579">
            <v>1690.8899999999999</v>
          </cell>
        </row>
      </sheetData>
      <sheetData sheetId="4">
        <row r="711">
          <cell r="CE711">
            <v>66757.76999999999</v>
          </cell>
          <cell r="CF711">
            <v>63248.140000000007</v>
          </cell>
          <cell r="CG711">
            <v>47368.11</v>
          </cell>
          <cell r="CH711">
            <v>26424.080000000002</v>
          </cell>
          <cell r="CI711">
            <v>28618.190000000006</v>
          </cell>
          <cell r="CJ711">
            <v>29173.980000000003</v>
          </cell>
        </row>
        <row r="712">
          <cell r="CE712">
            <v>52513.429999999986</v>
          </cell>
          <cell r="CF712">
            <v>52666.780000000006</v>
          </cell>
          <cell r="CG712">
            <v>48960.65</v>
          </cell>
          <cell r="CH712">
            <v>41178.949999999997</v>
          </cell>
          <cell r="CI712">
            <v>40766.120000000003</v>
          </cell>
          <cell r="CJ712">
            <v>38368</v>
          </cell>
        </row>
        <row r="713">
          <cell r="CE713">
            <v>55695.880000000012</v>
          </cell>
          <cell r="CF713">
            <v>56258.339999999989</v>
          </cell>
          <cell r="CG713">
            <v>52299.810000000005</v>
          </cell>
          <cell r="CH713">
            <v>39114.1</v>
          </cell>
          <cell r="CI713">
            <v>39430.130000000005</v>
          </cell>
          <cell r="CJ713">
            <v>36634.610000000008</v>
          </cell>
        </row>
        <row r="714">
          <cell r="CE714">
            <v>18492.79</v>
          </cell>
          <cell r="CF714">
            <v>18820.150000000005</v>
          </cell>
          <cell r="CG714">
            <v>17170.13</v>
          </cell>
          <cell r="CH714">
            <v>11694.6</v>
          </cell>
          <cell r="CI714">
            <v>12279.67</v>
          </cell>
          <cell r="CJ714">
            <v>11334.870000000003</v>
          </cell>
        </row>
        <row r="715">
          <cell r="CE715">
            <v>1790.47</v>
          </cell>
          <cell r="CF715">
            <v>1830.05</v>
          </cell>
          <cell r="CG715">
            <v>1701.9299999999998</v>
          </cell>
          <cell r="CH715">
            <v>1015.8399999999999</v>
          </cell>
          <cell r="CI715">
            <v>1069.3</v>
          </cell>
          <cell r="CJ715">
            <v>984.49999999999989</v>
          </cell>
        </row>
      </sheetData>
      <sheetData sheetId="5">
        <row r="3">
          <cell r="AL3">
            <v>161075.26</v>
          </cell>
          <cell r="AM3">
            <v>171453.19</v>
          </cell>
          <cell r="AN3">
            <v>153355.89000000001</v>
          </cell>
          <cell r="AO3">
            <v>141455.79999999999</v>
          </cell>
          <cell r="AP3">
            <v>151418.62</v>
          </cell>
          <cell r="AQ3">
            <v>154869.70000000001</v>
          </cell>
          <cell r="AR3">
            <v>163482.21000000002</v>
          </cell>
          <cell r="AS3">
            <v>262328.33</v>
          </cell>
        </row>
        <row r="4">
          <cell r="AL4">
            <v>64746.17</v>
          </cell>
          <cell r="AM4">
            <v>60800.81</v>
          </cell>
          <cell r="AN4">
            <v>60442.559999999998</v>
          </cell>
          <cell r="AO4">
            <v>54806.9</v>
          </cell>
          <cell r="AP4">
            <v>62460.97</v>
          </cell>
          <cell r="AQ4">
            <v>62860.489999999991</v>
          </cell>
          <cell r="AR4">
            <v>68999.070000000007</v>
          </cell>
          <cell r="AS4">
            <v>87756.790000000008</v>
          </cell>
        </row>
        <row r="5">
          <cell r="AL5">
            <v>109213.04000000001</v>
          </cell>
          <cell r="AM5">
            <v>101376.70000000001</v>
          </cell>
          <cell r="AN5">
            <v>99501.66</v>
          </cell>
          <cell r="AO5">
            <v>90808.66</v>
          </cell>
          <cell r="AP5">
            <v>103796.89999999998</v>
          </cell>
          <cell r="AQ5">
            <v>105681.04999999999</v>
          </cell>
          <cell r="AR5">
            <v>118186.67</v>
          </cell>
          <cell r="AS5">
            <v>160047.5</v>
          </cell>
        </row>
        <row r="6">
          <cell r="AL6">
            <v>69916.95</v>
          </cell>
          <cell r="AM6">
            <v>64908.420000000006</v>
          </cell>
          <cell r="AN6">
            <v>64380.7</v>
          </cell>
          <cell r="AO6">
            <v>58677.279999999999</v>
          </cell>
          <cell r="AP6">
            <v>67480.740000000005</v>
          </cell>
          <cell r="AQ6">
            <v>69207.66</v>
          </cell>
          <cell r="AR6">
            <v>75085.89</v>
          </cell>
          <cell r="AS6">
            <v>104623.89</v>
          </cell>
        </row>
        <row r="7">
          <cell r="AL7">
            <v>4483.76</v>
          </cell>
          <cell r="AM7">
            <v>4287.62</v>
          </cell>
          <cell r="AN7">
            <v>3757.7499999999995</v>
          </cell>
          <cell r="AO7">
            <v>4087.51</v>
          </cell>
          <cell r="AP7">
            <v>4698.8500000000004</v>
          </cell>
          <cell r="AQ7">
            <v>4518.79</v>
          </cell>
          <cell r="AR7">
            <v>4738.7800000000007</v>
          </cell>
          <cell r="AS7">
            <v>6820.39</v>
          </cell>
        </row>
        <row r="18">
          <cell r="AL18">
            <v>2973391.3380581462</v>
          </cell>
          <cell r="AM18">
            <v>3374691.0260285479</v>
          </cell>
          <cell r="AN18">
            <v>3319508.0757890986</v>
          </cell>
          <cell r="AO18">
            <v>2984390.7467915993</v>
          </cell>
          <cell r="AP18">
            <v>3075320.1251108381</v>
          </cell>
          <cell r="AQ18">
            <v>2956043.4263464184</v>
          </cell>
          <cell r="AR18">
            <v>3147346.5248163491</v>
          </cell>
          <cell r="AS18">
            <v>3214567.4796995088</v>
          </cell>
          <cell r="AT18">
            <v>4275268.3971641771</v>
          </cell>
          <cell r="AU18">
            <v>4054915.8783219806</v>
          </cell>
          <cell r="AV18">
            <v>2977712.4612790626</v>
          </cell>
          <cell r="AW18">
            <v>3022029.1262950781</v>
          </cell>
          <cell r="AX18">
            <v>2902357.4072532267</v>
          </cell>
          <cell r="AY18">
            <v>3300706.8817780181</v>
          </cell>
        </row>
        <row r="19">
          <cell r="AL19">
            <v>1039537.2846923408</v>
          </cell>
          <cell r="AM19">
            <v>1039221.2656257441</v>
          </cell>
          <cell r="AN19">
            <v>1088384.8238383075</v>
          </cell>
          <cell r="AO19">
            <v>983305.92400294705</v>
          </cell>
          <cell r="AP19">
            <v>1093306.0496875739</v>
          </cell>
          <cell r="AQ19">
            <v>1044503.9484968557</v>
          </cell>
          <cell r="AR19">
            <v>1094833.9633477174</v>
          </cell>
          <cell r="AS19">
            <v>1060606.3737907219</v>
          </cell>
          <cell r="AT19">
            <v>1132008.6138683278</v>
          </cell>
          <cell r="AU19">
            <v>1145707.1818266679</v>
          </cell>
          <cell r="AV19">
            <v>1035263.0503486521</v>
          </cell>
          <cell r="AW19">
            <v>1097576.6801571017</v>
          </cell>
          <cell r="AX19">
            <v>1039537.2846923408</v>
          </cell>
          <cell r="AY19">
            <v>1039221.2656257441</v>
          </cell>
        </row>
        <row r="20">
          <cell r="AL20">
            <v>2517808.0827801032</v>
          </cell>
          <cell r="AM20">
            <v>2519241.6692336854</v>
          </cell>
          <cell r="AN20">
            <v>2642710.421834141</v>
          </cell>
          <cell r="AO20">
            <v>2388551.0077829859</v>
          </cell>
          <cell r="AP20">
            <v>2653844.4660945092</v>
          </cell>
          <cell r="AQ20">
            <v>2532182.6269621686</v>
          </cell>
          <cell r="AR20">
            <v>2657075.5318343434</v>
          </cell>
          <cell r="AS20">
            <v>2567182.616596262</v>
          </cell>
          <cell r="AT20">
            <v>2637566.2127440842</v>
          </cell>
          <cell r="AU20">
            <v>2684526.863507783</v>
          </cell>
          <cell r="AV20">
            <v>2503984.6143560442</v>
          </cell>
          <cell r="AW20">
            <v>2659858.6081490121</v>
          </cell>
          <cell r="AX20">
            <v>2517807.5827801032</v>
          </cell>
          <cell r="AY20">
            <v>2519241.169233683</v>
          </cell>
        </row>
        <row r="21">
          <cell r="AL21">
            <v>2523767.6014057104</v>
          </cell>
          <cell r="AM21">
            <v>2520189.3179664756</v>
          </cell>
          <cell r="AN21">
            <v>2642491.1111216052</v>
          </cell>
          <cell r="AO21">
            <v>2387228.0781238535</v>
          </cell>
          <cell r="AP21">
            <v>2658268.7473468003</v>
          </cell>
          <cell r="AQ21">
            <v>2536785.7092839563</v>
          </cell>
          <cell r="AR21">
            <v>2661998.8507400956</v>
          </cell>
          <cell r="AS21">
            <v>2585517.2546375724</v>
          </cell>
          <cell r="AT21">
            <v>2656868.932522628</v>
          </cell>
          <cell r="AU21">
            <v>2702552.9519642652</v>
          </cell>
          <cell r="AV21">
            <v>2520933.1799576068</v>
          </cell>
          <cell r="AW21">
            <v>2665547.8341784682</v>
          </cell>
          <cell r="AX21">
            <v>2523767.6014057104</v>
          </cell>
          <cell r="AY21">
            <v>2520189.3179664756</v>
          </cell>
        </row>
        <row r="22">
          <cell r="AL22">
            <v>340677.04146011965</v>
          </cell>
          <cell r="AM22">
            <v>338289.6583034175</v>
          </cell>
          <cell r="AN22">
            <v>353258.55646552297</v>
          </cell>
          <cell r="AO22">
            <v>318722.20217001089</v>
          </cell>
          <cell r="AP22">
            <v>356831.69816912105</v>
          </cell>
          <cell r="AQ22">
            <v>341474.30930148182</v>
          </cell>
          <cell r="AR22">
            <v>357582.04038816434</v>
          </cell>
          <cell r="AS22">
            <v>352728.37095630786</v>
          </cell>
          <cell r="AT22">
            <v>362709.18306852155</v>
          </cell>
          <cell r="AU22">
            <v>368215.04929310951</v>
          </cell>
          <cell r="AV22">
            <v>344152.43570370437</v>
          </cell>
          <cell r="AW22">
            <v>359209.64176352712</v>
          </cell>
          <cell r="AX22">
            <v>340677.04146011965</v>
          </cell>
          <cell r="AY22">
            <v>338289.6583034175</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put"/>
      <sheetName val="Program Descriptions"/>
      <sheetName val="Monthly TD Calc"/>
      <sheetName val="Summary Monthly TD Calc"/>
    </sheetNames>
    <sheetDataSet>
      <sheetData sheetId="0" refreshError="1"/>
      <sheetData sheetId="1" refreshError="1"/>
      <sheetData sheetId="2" refreshError="1"/>
      <sheetData sheetId="3">
        <row r="3">
          <cell r="L3">
            <v>764.36</v>
          </cell>
          <cell r="M3">
            <v>1111.7</v>
          </cell>
          <cell r="N3">
            <v>1532.9300000000003</v>
          </cell>
          <cell r="O3">
            <v>1377.8300000000002</v>
          </cell>
          <cell r="P3">
            <v>1338.51</v>
          </cell>
          <cell r="Q3">
            <v>1131.06</v>
          </cell>
          <cell r="R3">
            <v>1185.0800000000002</v>
          </cell>
          <cell r="S3">
            <v>3911.4800000000005</v>
          </cell>
          <cell r="T3">
            <v>5691.2000000000007</v>
          </cell>
          <cell r="U3">
            <v>5931.6899999999987</v>
          </cell>
          <cell r="V3">
            <v>5084.5200000000004</v>
          </cell>
          <cell r="W3">
            <v>2266.9500000000003</v>
          </cell>
          <cell r="X3">
            <v>2833.4900000000002</v>
          </cell>
          <cell r="Y3">
            <v>3587.8</v>
          </cell>
          <cell r="Z3">
            <v>1706.2999999999997</v>
          </cell>
          <cell r="AA3">
            <v>1486.49</v>
          </cell>
          <cell r="AB3">
            <v>1394.41</v>
          </cell>
          <cell r="AC3">
            <v>1111.3600000000001</v>
          </cell>
          <cell r="AD3">
            <v>977.23</v>
          </cell>
          <cell r="AE3">
            <v>2328.96</v>
          </cell>
        </row>
        <row r="4">
          <cell r="L4">
            <v>1886.6</v>
          </cell>
          <cell r="M4">
            <v>1992.4</v>
          </cell>
          <cell r="N4">
            <v>2213.39</v>
          </cell>
          <cell r="O4">
            <v>1965.32</v>
          </cell>
          <cell r="P4">
            <v>2324.04</v>
          </cell>
          <cell r="Q4">
            <v>2453.42</v>
          </cell>
          <cell r="R4">
            <v>3717.99</v>
          </cell>
          <cell r="S4">
            <v>18126.099999999999</v>
          </cell>
          <cell r="T4">
            <v>26824.190000000006</v>
          </cell>
          <cell r="U4">
            <v>29392.59</v>
          </cell>
          <cell r="V4">
            <v>22577.02</v>
          </cell>
          <cell r="W4">
            <v>5591.9400000000005</v>
          </cell>
          <cell r="X4">
            <v>5611.7199999999993</v>
          </cell>
          <cell r="Y4">
            <v>5543.8600000000006</v>
          </cell>
          <cell r="Z4">
            <v>2024.8999999999999</v>
          </cell>
          <cell r="AA4">
            <v>1798.76</v>
          </cell>
          <cell r="AB4">
            <v>2017.0800000000002</v>
          </cell>
          <cell r="AC4">
            <v>1944.03</v>
          </cell>
          <cell r="AD4">
            <v>2542.6799999999998</v>
          </cell>
          <cell r="AE4">
            <v>10470.61</v>
          </cell>
        </row>
        <row r="5">
          <cell r="L5">
            <v>930.82999999999993</v>
          </cell>
          <cell r="M5">
            <v>1129.7</v>
          </cell>
          <cell r="N5">
            <v>1489.8100000000002</v>
          </cell>
          <cell r="O5">
            <v>1432.1699999999998</v>
          </cell>
          <cell r="P5">
            <v>2414.52</v>
          </cell>
          <cell r="Q5">
            <v>2255.09</v>
          </cell>
          <cell r="R5">
            <v>3226.78</v>
          </cell>
          <cell r="S5">
            <v>11137.03</v>
          </cell>
          <cell r="T5">
            <v>12874.530000000002</v>
          </cell>
          <cell r="U5">
            <v>12220.899999999998</v>
          </cell>
          <cell r="V5">
            <v>7982.81</v>
          </cell>
          <cell r="W5">
            <v>2289.8200000000002</v>
          </cell>
          <cell r="X5">
            <v>2413.6799999999998</v>
          </cell>
          <cell r="Y5">
            <v>2057.81</v>
          </cell>
          <cell r="Z5">
            <v>519.13</v>
          </cell>
          <cell r="AA5">
            <v>478.82</v>
          </cell>
          <cell r="AB5">
            <v>894.36</v>
          </cell>
          <cell r="AC5">
            <v>810.77</v>
          </cell>
          <cell r="AD5">
            <v>1154.94</v>
          </cell>
          <cell r="AE5">
            <v>3570.9</v>
          </cell>
        </row>
        <row r="6">
          <cell r="L6">
            <v>154.01</v>
          </cell>
          <cell r="M6">
            <v>209.15</v>
          </cell>
          <cell r="N6">
            <v>292.2</v>
          </cell>
          <cell r="O6">
            <v>319.63</v>
          </cell>
          <cell r="P6">
            <v>726.47</v>
          </cell>
          <cell r="Q6">
            <v>887.13</v>
          </cell>
          <cell r="R6">
            <v>1505.5</v>
          </cell>
          <cell r="S6">
            <v>4796.3900000000003</v>
          </cell>
          <cell r="T6">
            <v>5292.42</v>
          </cell>
          <cell r="U6">
            <v>5154.2299999999996</v>
          </cell>
          <cell r="V6">
            <v>3244.83</v>
          </cell>
          <cell r="W6">
            <v>1048.75</v>
          </cell>
          <cell r="X6">
            <v>1166.83</v>
          </cell>
          <cell r="Y6">
            <v>1014.5</v>
          </cell>
          <cell r="Z6">
            <v>421.99</v>
          </cell>
          <cell r="AA6">
            <v>388.95</v>
          </cell>
          <cell r="AB6">
            <v>726.47</v>
          </cell>
          <cell r="AC6">
            <v>663.34</v>
          </cell>
          <cell r="AD6">
            <v>918.6</v>
          </cell>
          <cell r="AE6">
            <v>2865.9</v>
          </cell>
        </row>
        <row r="7">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row>
        <row r="18">
          <cell r="L18">
            <v>8385.0413261848971</v>
          </cell>
          <cell r="M18">
            <v>12236.009030659492</v>
          </cell>
          <cell r="N18">
            <v>16905.189103744739</v>
          </cell>
          <cell r="O18">
            <v>15188.402000413354</v>
          </cell>
          <cell r="P18">
            <v>14749.892994733233</v>
          </cell>
          <cell r="Q18">
            <v>12458.273913344177</v>
          </cell>
          <cell r="R18">
            <v>12936.402310025614</v>
          </cell>
          <cell r="S18">
            <v>31345.790361193151</v>
          </cell>
          <cell r="T18">
            <v>45655.032313616954</v>
          </cell>
          <cell r="U18">
            <v>47690.563613313687</v>
          </cell>
          <cell r="V18">
            <v>41254.762560902695</v>
          </cell>
          <cell r="W18">
            <v>24756.012578480935</v>
          </cell>
          <cell r="X18">
            <v>31124.941886221648</v>
          </cell>
          <cell r="Y18">
            <v>39456.361979402689</v>
          </cell>
          <cell r="Z18">
            <v>18223.693054366315</v>
          </cell>
          <cell r="AA18">
            <v>15873.716597221983</v>
          </cell>
          <cell r="AB18">
            <v>14890.200722358995</v>
          </cell>
          <cell r="AC18">
            <v>11872.648250036807</v>
          </cell>
          <cell r="AD18">
            <v>10374.687959636321</v>
          </cell>
          <cell r="AE18">
            <v>18258.912896584388</v>
          </cell>
        </row>
        <row r="19">
          <cell r="L19">
            <v>25790.60153246751</v>
          </cell>
          <cell r="M19">
            <v>28740.69311674028</v>
          </cell>
          <cell r="N19">
            <v>33506.074440545417</v>
          </cell>
          <cell r="O19">
            <v>29683.823659682614</v>
          </cell>
          <cell r="P19">
            <v>34830.421694021934</v>
          </cell>
          <cell r="Q19">
            <v>35090.413927068541</v>
          </cell>
          <cell r="R19">
            <v>50775.806763297755</v>
          </cell>
          <cell r="S19">
            <v>186761.77001723269</v>
          </cell>
          <cell r="T19">
            <v>295267.92350602773</v>
          </cell>
          <cell r="U19">
            <v>327777.91074270569</v>
          </cell>
          <cell r="V19">
            <v>252284.06898628018</v>
          </cell>
          <cell r="W19">
            <v>79093.756513410859</v>
          </cell>
          <cell r="X19">
            <v>76142.58633199599</v>
          </cell>
          <cell r="Y19">
            <v>79921.912115601343</v>
          </cell>
          <cell r="Z19">
            <v>29958.998408443604</v>
          </cell>
          <cell r="AA19">
            <v>26560.814809557945</v>
          </cell>
          <cell r="AB19">
            <v>29541.513404660378</v>
          </cell>
          <cell r="AC19">
            <v>26956.627013166599</v>
          </cell>
          <cell r="AD19">
            <v>33691.974181299702</v>
          </cell>
          <cell r="AE19">
            <v>105108.88717734363</v>
          </cell>
        </row>
        <row r="20">
          <cell r="L20">
            <v>22709.01829038639</v>
          </cell>
          <cell r="M20">
            <v>30695.223026687807</v>
          </cell>
          <cell r="N20">
            <v>44488.534537538457</v>
          </cell>
          <cell r="O20">
            <v>42661.215023885459</v>
          </cell>
          <cell r="P20">
            <v>72140.915277260123</v>
          </cell>
          <cell r="Q20">
            <v>62955.136135106055</v>
          </cell>
          <cell r="R20">
            <v>84404.974670892407</v>
          </cell>
          <cell r="S20">
            <v>204277.84368421047</v>
          </cell>
          <cell r="T20">
            <v>249555.43713761447</v>
          </cell>
          <cell r="U20">
            <v>238973.17648801199</v>
          </cell>
          <cell r="V20">
            <v>156068.24771953619</v>
          </cell>
          <cell r="W20">
            <v>64954.541592216054</v>
          </cell>
          <cell r="X20">
            <v>64731.568765100477</v>
          </cell>
          <cell r="Y20">
            <v>59049.989405978893</v>
          </cell>
          <cell r="Z20">
            <v>16440.249397814416</v>
          </cell>
          <cell r="AA20">
            <v>15023.611576262145</v>
          </cell>
          <cell r="AB20">
            <v>27311.996239416352</v>
          </cell>
          <cell r="AC20">
            <v>23201.942953010428</v>
          </cell>
          <cell r="AD20">
            <v>30914.676279125415</v>
          </cell>
          <cell r="AE20">
            <v>68657.808606673658</v>
          </cell>
        </row>
        <row r="21">
          <cell r="L21">
            <v>7206.7677588250481</v>
          </cell>
          <cell r="M21">
            <v>10502.142397955487</v>
          </cell>
          <cell r="N21">
            <v>15437.599960092224</v>
          </cell>
          <cell r="O21">
            <v>16744.3056460261</v>
          </cell>
          <cell r="P21">
            <v>37038.376724746777</v>
          </cell>
          <cell r="Q21">
            <v>42075.934985602966</v>
          </cell>
          <cell r="R21">
            <v>68713.092747682167</v>
          </cell>
          <cell r="S21">
            <v>155833.39472067848</v>
          </cell>
          <cell r="T21">
            <v>184810.47805342535</v>
          </cell>
          <cell r="U21">
            <v>178978.78832301739</v>
          </cell>
          <cell r="V21">
            <v>116439.79555020982</v>
          </cell>
          <cell r="W21">
            <v>53950.563730177208</v>
          </cell>
          <cell r="X21">
            <v>54598.81227963257</v>
          </cell>
          <cell r="Y21">
            <v>50941.515730867024</v>
          </cell>
          <cell r="Z21">
            <v>21646.084294964781</v>
          </cell>
          <cell r="AA21">
            <v>19780.865528585706</v>
          </cell>
          <cell r="AB21">
            <v>35960.389563236306</v>
          </cell>
          <cell r="AC21">
            <v>30548.880422373335</v>
          </cell>
          <cell r="AD21">
            <v>40703.864795290676</v>
          </cell>
          <cell r="AE21">
            <v>90398.428676221301</v>
          </cell>
        </row>
        <row r="22">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O Matrix @Meter"/>
      <sheetName val="PY1 Final EM&amp;V"/>
      <sheetName val="Tariff Table"/>
      <sheetName val="EMV Results"/>
    </sheetNames>
    <sheetDataSet>
      <sheetData sheetId="0">
        <row r="20">
          <cell r="R20">
            <v>1163217.679</v>
          </cell>
          <cell r="V20">
            <v>89861.639999999985</v>
          </cell>
          <cell r="W20">
            <v>329114.67</v>
          </cell>
          <cell r="X20">
            <v>441576.37</v>
          </cell>
          <cell r="Y20">
            <v>62680.55</v>
          </cell>
        </row>
      </sheetData>
      <sheetData sheetId="1"/>
      <sheetData sheetId="2"/>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rogram Descriptions"/>
      <sheetName val="Deemed TD Calc"/>
      <sheetName val="Deemed kW Savings"/>
      <sheetName val="Ex Post Gross TD Calc"/>
      <sheetName val="NTG TD Calc"/>
      <sheetName val="Jnl Import"/>
      <sheetName val="EO TD Carrying Costs"/>
      <sheetName val="EMV Results"/>
      <sheetName val="Summary"/>
    </sheetNames>
    <sheetDataSet>
      <sheetData sheetId="0"/>
      <sheetData sheetId="1"/>
      <sheetData sheetId="2"/>
      <sheetData sheetId="3"/>
      <sheetData sheetId="4">
        <row r="571">
          <cell r="E571">
            <v>-4849.6199999999953</v>
          </cell>
          <cell r="F571">
            <v>-4671.3699999999953</v>
          </cell>
          <cell r="G571">
            <v>-2778.75</v>
          </cell>
          <cell r="H571">
            <v>-1148.6699999999837</v>
          </cell>
          <cell r="I571">
            <v>2588.8600000000006</v>
          </cell>
          <cell r="J571">
            <v>4770.5899999999965</v>
          </cell>
          <cell r="K571">
            <v>8449.0999999999767</v>
          </cell>
          <cell r="L571">
            <v>7801.3000000000466</v>
          </cell>
          <cell r="M571">
            <v>4680.820000000007</v>
          </cell>
          <cell r="N571">
            <v>8569.2699999999895</v>
          </cell>
          <cell r="O571">
            <v>13033.130000000005</v>
          </cell>
          <cell r="P571">
            <v>20777.130000000005</v>
          </cell>
          <cell r="Q571">
            <v>25942.709999999977</v>
          </cell>
          <cell r="R571">
            <v>24783.430000000022</v>
          </cell>
          <cell r="S571">
            <v>24453.810000000012</v>
          </cell>
          <cell r="T571">
            <v>24401.310000000027</v>
          </cell>
          <cell r="U571">
            <v>25874.97000000003</v>
          </cell>
          <cell r="V571">
            <v>29936.25</v>
          </cell>
          <cell r="W571">
            <v>31803.820000000036</v>
          </cell>
          <cell r="X571">
            <v>31992.359999999986</v>
          </cell>
          <cell r="Y571">
            <v>32404.830000000045</v>
          </cell>
          <cell r="Z571">
            <v>22252.709999999977</v>
          </cell>
          <cell r="AA571">
            <v>24007.040000000023</v>
          </cell>
          <cell r="AB571">
            <v>28086.109999999986</v>
          </cell>
          <cell r="AC571">
            <v>17997.650000000009</v>
          </cell>
          <cell r="AD571">
            <v>17193.219999999987</v>
          </cell>
          <cell r="AE571">
            <v>16967.87000000001</v>
          </cell>
          <cell r="AF571">
            <v>16931.009999999995</v>
          </cell>
          <cell r="AG571">
            <v>17955.440000000002</v>
          </cell>
          <cell r="AH571">
            <v>20791.73000000001</v>
          </cell>
          <cell r="AI571">
            <v>22096.360000000015</v>
          </cell>
          <cell r="AJ571">
            <v>22222.5</v>
          </cell>
          <cell r="AK571">
            <v>22492.490000000005</v>
          </cell>
          <cell r="AL571">
            <v>15441.159999999989</v>
          </cell>
          <cell r="AM571">
            <v>16658.080000000002</v>
          </cell>
          <cell r="AN571">
            <v>19484.430000000008</v>
          </cell>
          <cell r="AO571">
            <v>0</v>
          </cell>
          <cell r="AP571">
            <v>0</v>
          </cell>
          <cell r="AQ571">
            <v>0</v>
          </cell>
          <cell r="AR571">
            <v>0</v>
          </cell>
        </row>
        <row r="572">
          <cell r="E572">
            <v>101.01000000000002</v>
          </cell>
          <cell r="F572">
            <v>123.77000000000001</v>
          </cell>
          <cell r="G572">
            <v>282.49</v>
          </cell>
          <cell r="H572">
            <v>656.1899999999996</v>
          </cell>
          <cell r="I572">
            <v>1028.5800000000017</v>
          </cell>
          <cell r="J572">
            <v>1299.4699999999993</v>
          </cell>
          <cell r="K572">
            <v>2098.840000000002</v>
          </cell>
          <cell r="L572">
            <v>1932.8699999999972</v>
          </cell>
          <cell r="M572">
            <v>1312.0599999999995</v>
          </cell>
          <cell r="N572">
            <v>1084.8099999999995</v>
          </cell>
          <cell r="O572">
            <v>1127.1999999999971</v>
          </cell>
          <cell r="P572">
            <v>1277.0399999999991</v>
          </cell>
          <cell r="Q572">
            <v>1293.6000000000022</v>
          </cell>
          <cell r="R572">
            <v>1197.4899999999998</v>
          </cell>
          <cell r="S572">
            <v>1357.9600000000028</v>
          </cell>
          <cell r="T572">
            <v>1358.5799999999981</v>
          </cell>
          <cell r="U572">
            <v>1510.0400000000045</v>
          </cell>
          <cell r="V572">
            <v>1827.7100000000028</v>
          </cell>
          <cell r="W572">
            <v>3359.8200000000033</v>
          </cell>
          <cell r="X572">
            <v>3195.9799999999959</v>
          </cell>
          <cell r="Y572">
            <v>1718.25</v>
          </cell>
          <cell r="Z572">
            <v>1427.9200000000019</v>
          </cell>
          <cell r="AA572">
            <v>1391.0800000000017</v>
          </cell>
          <cell r="AB572">
            <v>1290.2800000000025</v>
          </cell>
          <cell r="AC572">
            <v>1219.1800000000003</v>
          </cell>
          <cell r="AD572">
            <v>1128.6200000000008</v>
          </cell>
          <cell r="AE572">
            <v>1279.9000000000015</v>
          </cell>
          <cell r="AF572">
            <v>1280.2100000000028</v>
          </cell>
          <cell r="AG572">
            <v>1423.2100000000028</v>
          </cell>
          <cell r="AH572">
            <v>1722.369999999999</v>
          </cell>
          <cell r="AI572">
            <v>3257.0700000000033</v>
          </cell>
          <cell r="AJ572">
            <v>3091.3500000000022</v>
          </cell>
          <cell r="AK572">
            <v>1618.9700000000012</v>
          </cell>
          <cell r="AL572">
            <v>1345.5099999999984</v>
          </cell>
          <cell r="AM572">
            <v>1310.6800000000003</v>
          </cell>
          <cell r="AN572">
            <v>1215.7299999999996</v>
          </cell>
          <cell r="AO572">
            <v>0</v>
          </cell>
          <cell r="AP572">
            <v>0</v>
          </cell>
          <cell r="AQ572">
            <v>0</v>
          </cell>
          <cell r="AR572">
            <v>0</v>
          </cell>
        </row>
        <row r="573">
          <cell r="E573">
            <v>284.84000000000003</v>
          </cell>
          <cell r="F573">
            <v>349.03</v>
          </cell>
          <cell r="G573">
            <v>607.98</v>
          </cell>
          <cell r="H573">
            <v>669.44</v>
          </cell>
          <cell r="I573">
            <v>922.32000000000016</v>
          </cell>
          <cell r="J573">
            <v>1361.4000000000005</v>
          </cell>
          <cell r="K573">
            <v>2838.5600000000031</v>
          </cell>
          <cell r="L573">
            <v>2302.59</v>
          </cell>
          <cell r="M573">
            <v>2453.7299999999996</v>
          </cell>
          <cell r="N573">
            <v>2217.5400000000045</v>
          </cell>
          <cell r="O573">
            <v>2452.260000000002</v>
          </cell>
          <cell r="P573">
            <v>2922.2899999999936</v>
          </cell>
          <cell r="Q573">
            <v>3015.0699999999997</v>
          </cell>
          <cell r="R573">
            <v>2781.2999999999956</v>
          </cell>
          <cell r="S573">
            <v>3131.8799999999974</v>
          </cell>
          <cell r="T573">
            <v>3208.3100000000049</v>
          </cell>
          <cell r="U573">
            <v>3669.1299999999901</v>
          </cell>
          <cell r="V573">
            <v>4592.6700000000128</v>
          </cell>
          <cell r="W573">
            <v>4504.3299999999872</v>
          </cell>
          <cell r="X573">
            <v>4613.9700000000012</v>
          </cell>
          <cell r="Y573">
            <v>4302.1199999999881</v>
          </cell>
          <cell r="Z573">
            <v>3325.8600000000006</v>
          </cell>
          <cell r="AA573">
            <v>3360.7200000000084</v>
          </cell>
          <cell r="AB573">
            <v>3032.3099999999977</v>
          </cell>
          <cell r="AC573">
            <v>2856.739999999998</v>
          </cell>
          <cell r="AD573">
            <v>2635.3399999999965</v>
          </cell>
          <cell r="AE573">
            <v>2967.5699999999997</v>
          </cell>
          <cell r="AF573">
            <v>3039.3799999999974</v>
          </cell>
          <cell r="AG573">
            <v>3476.5800000000017</v>
          </cell>
          <cell r="AH573">
            <v>4351.0400000000009</v>
          </cell>
          <cell r="AI573">
            <v>4267.2299999999886</v>
          </cell>
          <cell r="AJ573">
            <v>4371.25</v>
          </cell>
          <cell r="AK573">
            <v>4075.179999999993</v>
          </cell>
          <cell r="AL573">
            <v>3150.6199999999953</v>
          </cell>
          <cell r="AM573">
            <v>3183.3800000000119</v>
          </cell>
          <cell r="AN573">
            <v>2872.3899999999921</v>
          </cell>
          <cell r="AO573">
            <v>0</v>
          </cell>
          <cell r="AP573">
            <v>0</v>
          </cell>
          <cell r="AQ573">
            <v>0</v>
          </cell>
          <cell r="AR573">
            <v>0</v>
          </cell>
        </row>
        <row r="574">
          <cell r="E574">
            <v>454.1</v>
          </cell>
          <cell r="F574">
            <v>556.43000000000006</v>
          </cell>
          <cell r="G574">
            <v>963.44000000000017</v>
          </cell>
          <cell r="H574">
            <v>1087.99</v>
          </cell>
          <cell r="I574">
            <v>1439.690000000001</v>
          </cell>
          <cell r="J574">
            <v>2134.1100000000006</v>
          </cell>
          <cell r="K574">
            <v>3997.1499999999996</v>
          </cell>
          <cell r="L574">
            <v>2294.4699999999993</v>
          </cell>
          <cell r="M574">
            <v>1735.470000000003</v>
          </cell>
          <cell r="N574">
            <v>1545.8600000000006</v>
          </cell>
          <cell r="O574">
            <v>1853.9300000000003</v>
          </cell>
          <cell r="P574">
            <v>2198.9700000000012</v>
          </cell>
          <cell r="Q574">
            <v>1985.4699999999975</v>
          </cell>
          <cell r="R574">
            <v>1870.1800000000039</v>
          </cell>
          <cell r="S574">
            <v>2145.0299999999988</v>
          </cell>
          <cell r="T574">
            <v>2170.8399999999965</v>
          </cell>
          <cell r="U574">
            <v>2389.7400000000052</v>
          </cell>
          <cell r="V574">
            <v>3092.7900000000009</v>
          </cell>
          <cell r="W574">
            <v>2966.5499999999956</v>
          </cell>
          <cell r="X574">
            <v>3082.5200000000114</v>
          </cell>
          <cell r="Y574">
            <v>2761.5599999999977</v>
          </cell>
          <cell r="Z574">
            <v>2201.7999999999956</v>
          </cell>
          <cell r="AA574">
            <v>2189.1399999999994</v>
          </cell>
          <cell r="AB574">
            <v>1944.619999999999</v>
          </cell>
          <cell r="AC574">
            <v>1891.4300000000003</v>
          </cell>
          <cell r="AD574">
            <v>1781.6499999999978</v>
          </cell>
          <cell r="AE574">
            <v>2043.5299999999988</v>
          </cell>
          <cell r="AF574">
            <v>2067.7200000000012</v>
          </cell>
          <cell r="AG574">
            <v>2276.619999999999</v>
          </cell>
          <cell r="AH574">
            <v>2945.9799999999959</v>
          </cell>
          <cell r="AI574">
            <v>2825.6399999999921</v>
          </cell>
          <cell r="AJ574">
            <v>2936.2000000000044</v>
          </cell>
          <cell r="AK574">
            <v>2630.0899999999965</v>
          </cell>
          <cell r="AL574">
            <v>2097.1399999999994</v>
          </cell>
          <cell r="AM574">
            <v>2084.91</v>
          </cell>
          <cell r="AN574">
            <v>1852.0800000000017</v>
          </cell>
          <cell r="AO574">
            <v>0</v>
          </cell>
          <cell r="AP574">
            <v>0</v>
          </cell>
          <cell r="AQ574">
            <v>0</v>
          </cell>
          <cell r="AR574">
            <v>0</v>
          </cell>
        </row>
        <row r="575">
          <cell r="E575">
            <v>161.40999999999997</v>
          </cell>
          <cell r="F575">
            <v>197.79</v>
          </cell>
          <cell r="G575">
            <v>341.34999999999997</v>
          </cell>
          <cell r="H575">
            <v>370.20000000000005</v>
          </cell>
          <cell r="I575">
            <v>454.53999999999996</v>
          </cell>
          <cell r="J575">
            <v>589.49999999999989</v>
          </cell>
          <cell r="K575">
            <v>1190.53</v>
          </cell>
          <cell r="L575">
            <v>556.62000000000012</v>
          </cell>
          <cell r="M575">
            <v>308.59000000000015</v>
          </cell>
          <cell r="N575">
            <v>138.92999999999995</v>
          </cell>
          <cell r="O575">
            <v>132.0100000000001</v>
          </cell>
          <cell r="P575">
            <v>236.5300000000002</v>
          </cell>
          <cell r="Q575">
            <v>81.069999999999936</v>
          </cell>
          <cell r="R575">
            <v>82.360000000000127</v>
          </cell>
          <cell r="S575">
            <v>87.199999999999818</v>
          </cell>
          <cell r="T575">
            <v>74.0300000000002</v>
          </cell>
          <cell r="U575">
            <v>98.529999999999745</v>
          </cell>
          <cell r="V575">
            <v>102.37000000000035</v>
          </cell>
          <cell r="W575">
            <v>87.509999999999991</v>
          </cell>
          <cell r="X575">
            <v>99.5</v>
          </cell>
          <cell r="Y575">
            <v>90.529999999999745</v>
          </cell>
          <cell r="Z575">
            <v>84.059999999999945</v>
          </cell>
          <cell r="AA575">
            <v>93.019999999999754</v>
          </cell>
          <cell r="AB575">
            <v>76.970000000000027</v>
          </cell>
          <cell r="AC575">
            <v>75.799999999999955</v>
          </cell>
          <cell r="AD575">
            <v>77.010000000000218</v>
          </cell>
          <cell r="AE575">
            <v>81.519999999999982</v>
          </cell>
          <cell r="AF575">
            <v>69.199999999999818</v>
          </cell>
          <cell r="AG575">
            <v>92.119999999999891</v>
          </cell>
          <cell r="AH575">
            <v>95.670000000000073</v>
          </cell>
          <cell r="AI575">
            <v>81.769999999999754</v>
          </cell>
          <cell r="AJ575">
            <v>92.980000000000473</v>
          </cell>
          <cell r="AK575">
            <v>84.5799999999997</v>
          </cell>
          <cell r="AL575">
            <v>78.569999999999936</v>
          </cell>
          <cell r="AM575">
            <v>86.939999999999827</v>
          </cell>
          <cell r="AN575">
            <v>71.940000000000055</v>
          </cell>
          <cell r="AO575">
            <v>0</v>
          </cell>
          <cell r="AP575">
            <v>0</v>
          </cell>
          <cell r="AQ575">
            <v>0</v>
          </cell>
          <cell r="AR575">
            <v>0</v>
          </cell>
        </row>
      </sheetData>
      <sheetData sheetId="5">
        <row r="436">
          <cell r="E436">
            <v>0</v>
          </cell>
          <cell r="F436">
            <v>-441.85000000000582</v>
          </cell>
          <cell r="G436">
            <v>-2668.8600000000151</v>
          </cell>
          <cell r="H436">
            <v>-5667.7799999999988</v>
          </cell>
          <cell r="I436">
            <v>-9722.4599999999919</v>
          </cell>
          <cell r="J436">
            <v>-16874.919999999984</v>
          </cell>
          <cell r="K436">
            <v>-22898.830000000016</v>
          </cell>
          <cell r="L436">
            <v>-27760.649999999994</v>
          </cell>
          <cell r="M436">
            <v>-33054.539999999979</v>
          </cell>
          <cell r="N436">
            <v>-27010.350000000006</v>
          </cell>
          <cell r="O436">
            <v>-34105.489999999991</v>
          </cell>
          <cell r="P436">
            <v>-44483.31</v>
          </cell>
          <cell r="Q436">
            <v>-43264.999999999971</v>
          </cell>
          <cell r="R436">
            <v>-41323.300000000032</v>
          </cell>
          <cell r="S436">
            <v>-40934.19</v>
          </cell>
          <cell r="T436">
            <v>-40827.24000000002</v>
          </cell>
          <cell r="U436">
            <v>-43379.020000000019</v>
          </cell>
          <cell r="V436">
            <v>-51031.050000000017</v>
          </cell>
          <cell r="W436">
            <v>-54551.73000000001</v>
          </cell>
          <cell r="X436">
            <v>-54656.450000000012</v>
          </cell>
          <cell r="Y436">
            <v>-54611.820000000007</v>
          </cell>
          <cell r="Z436">
            <v>-37279.160000000003</v>
          </cell>
          <cell r="AA436">
            <v>-40199.440000000031</v>
          </cell>
          <cell r="AB436">
            <v>-46830.53</v>
          </cell>
          <cell r="AC436">
            <v>0</v>
          </cell>
          <cell r="AD436">
            <v>0</v>
          </cell>
          <cell r="AE436">
            <v>0</v>
          </cell>
          <cell r="AF436">
            <v>0</v>
          </cell>
          <cell r="AG436">
            <v>0</v>
          </cell>
          <cell r="AH436">
            <v>9.9999999802093953E-3</v>
          </cell>
          <cell r="AI436">
            <v>1.0000000009313226E-2</v>
          </cell>
          <cell r="AJ436">
            <v>0</v>
          </cell>
          <cell r="AK436">
            <v>0</v>
          </cell>
          <cell r="AL436">
            <v>9.9999999947613105E-3</v>
          </cell>
          <cell r="AM436">
            <v>0</v>
          </cell>
          <cell r="AN436">
            <v>0</v>
          </cell>
          <cell r="AO436">
            <v>0</v>
          </cell>
          <cell r="AP436">
            <v>0</v>
          </cell>
          <cell r="AQ436">
            <v>0</v>
          </cell>
          <cell r="AR436">
            <v>0</v>
          </cell>
        </row>
        <row r="437">
          <cell r="E437">
            <v>0</v>
          </cell>
          <cell r="F437">
            <v>0</v>
          </cell>
          <cell r="G437">
            <v>-115.99000000000024</v>
          </cell>
          <cell r="H437">
            <v>-767.47999999999956</v>
          </cell>
          <cell r="I437">
            <v>-1349.2300000000014</v>
          </cell>
          <cell r="J437">
            <v>-1523.4000000000015</v>
          </cell>
          <cell r="K437">
            <v>-1493.2900000000009</v>
          </cell>
          <cell r="L437">
            <v>-1528.0699999999997</v>
          </cell>
          <cell r="M437">
            <v>-1450.0099999999984</v>
          </cell>
          <cell r="N437">
            <v>-1203.6700000000019</v>
          </cell>
          <cell r="O437">
            <v>-1176.7699999999968</v>
          </cell>
          <cell r="P437">
            <v>-1110.5599999999995</v>
          </cell>
          <cell r="Q437">
            <v>-1126.130000000001</v>
          </cell>
          <cell r="R437">
            <v>-1041.9699999999975</v>
          </cell>
          <cell r="S437">
            <v>-1181.1699999999983</v>
          </cell>
          <cell r="T437">
            <v>-1185.7299999999959</v>
          </cell>
          <cell r="U437">
            <v>-1313.8400000000001</v>
          </cell>
          <cell r="V437">
            <v>-1593.9600000000028</v>
          </cell>
          <cell r="W437">
            <v>-1554.7200000000012</v>
          </cell>
          <cell r="X437">
            <v>-1583.0799999999981</v>
          </cell>
          <cell r="Y437">
            <v>-1502.2099999999991</v>
          </cell>
          <cell r="Z437">
            <v>-1246.9900000000016</v>
          </cell>
          <cell r="AA437">
            <v>-1216.5400000000009</v>
          </cell>
          <cell r="AB437">
            <v>-1127.8300000000017</v>
          </cell>
          <cell r="AC437">
            <v>-9.9999999983992893E-3</v>
          </cell>
          <cell r="AD437">
            <v>0</v>
          </cell>
          <cell r="AE437">
            <v>0</v>
          </cell>
          <cell r="AF437">
            <v>0</v>
          </cell>
          <cell r="AG437">
            <v>0</v>
          </cell>
          <cell r="AH437">
            <v>0</v>
          </cell>
          <cell r="AI437">
            <v>0</v>
          </cell>
          <cell r="AJ437">
            <v>0</v>
          </cell>
          <cell r="AK437">
            <v>0</v>
          </cell>
          <cell r="AL437">
            <v>9.9999999983992893E-3</v>
          </cell>
          <cell r="AM437">
            <v>1.0000000002037268E-2</v>
          </cell>
          <cell r="AN437">
            <v>9.9999999983992893E-3</v>
          </cell>
          <cell r="AO437">
            <v>0</v>
          </cell>
          <cell r="AP437">
            <v>0</v>
          </cell>
          <cell r="AQ437">
            <v>0</v>
          </cell>
          <cell r="AR437">
            <v>0</v>
          </cell>
        </row>
        <row r="438">
          <cell r="E438">
            <v>0</v>
          </cell>
          <cell r="F438">
            <v>0</v>
          </cell>
          <cell r="G438">
            <v>0</v>
          </cell>
          <cell r="H438">
            <v>-4.3099999999999454</v>
          </cell>
          <cell r="I438">
            <v>-78.260000000000218</v>
          </cell>
          <cell r="J438">
            <v>-184.07999999999993</v>
          </cell>
          <cell r="K438">
            <v>-807.88000000000102</v>
          </cell>
          <cell r="L438">
            <v>-1528.8400000000001</v>
          </cell>
          <cell r="M438">
            <v>-1861.0600000000013</v>
          </cell>
          <cell r="N438">
            <v>-1736.9300000000003</v>
          </cell>
          <cell r="O438">
            <v>-1851.4599999999991</v>
          </cell>
          <cell r="P438">
            <v>-2082.510000000002</v>
          </cell>
          <cell r="Q438">
            <v>-2395.4800000000032</v>
          </cell>
          <cell r="R438">
            <v>-2208.6500000000015</v>
          </cell>
          <cell r="S438">
            <v>-2486.1100000000006</v>
          </cell>
          <cell r="T438">
            <v>-2556.0200000000041</v>
          </cell>
          <cell r="U438">
            <v>-2913.4599999999919</v>
          </cell>
          <cell r="V438">
            <v>-3655.900000000016</v>
          </cell>
          <cell r="W438">
            <v>-3587.4499999999971</v>
          </cell>
          <cell r="X438">
            <v>-3672.489999999998</v>
          </cell>
          <cell r="Y438">
            <v>-3433.6599999999962</v>
          </cell>
          <cell r="Z438">
            <v>-2651.3499999999913</v>
          </cell>
          <cell r="AA438">
            <v>-2683.2200000000012</v>
          </cell>
          <cell r="AB438">
            <v>-2419.739999999998</v>
          </cell>
          <cell r="AC438">
            <v>0</v>
          </cell>
          <cell r="AD438">
            <v>0</v>
          </cell>
          <cell r="AE438">
            <v>0</v>
          </cell>
          <cell r="AF438">
            <v>0</v>
          </cell>
          <cell r="AG438">
            <v>-9.9999999947613105E-3</v>
          </cell>
          <cell r="AH438">
            <v>0</v>
          </cell>
          <cell r="AI438">
            <v>0</v>
          </cell>
          <cell r="AJ438">
            <v>0</v>
          </cell>
          <cell r="AK438">
            <v>0</v>
          </cell>
          <cell r="AL438">
            <v>1.0000000009313226E-2</v>
          </cell>
          <cell r="AM438">
            <v>0</v>
          </cell>
          <cell r="AN438">
            <v>-9.9999999947613105E-3</v>
          </cell>
          <cell r="AO438">
            <v>0</v>
          </cell>
          <cell r="AP438">
            <v>0</v>
          </cell>
          <cell r="AQ438">
            <v>0</v>
          </cell>
          <cell r="AR438">
            <v>0</v>
          </cell>
        </row>
        <row r="439">
          <cell r="E439">
            <v>0</v>
          </cell>
          <cell r="F439">
            <v>0</v>
          </cell>
          <cell r="G439">
            <v>0</v>
          </cell>
          <cell r="H439">
            <v>-10.010000000000218</v>
          </cell>
          <cell r="I439">
            <v>-21.960000000000946</v>
          </cell>
          <cell r="J439">
            <v>-349.31000000000131</v>
          </cell>
          <cell r="K439">
            <v>-671.95999999999913</v>
          </cell>
          <cell r="L439">
            <v>-731.08000000000175</v>
          </cell>
          <cell r="M439">
            <v>-773.44000000000051</v>
          </cell>
          <cell r="N439">
            <v>-969.06999999999971</v>
          </cell>
          <cell r="O439">
            <v>-1227.010000000002</v>
          </cell>
          <cell r="P439">
            <v>-1244.7299999999959</v>
          </cell>
          <cell r="Q439">
            <v>-1422.8399999999965</v>
          </cell>
          <cell r="R439">
            <v>-1339.5</v>
          </cell>
          <cell r="S439">
            <v>-1535.7999999999993</v>
          </cell>
          <cell r="T439">
            <v>-1560.2799999999988</v>
          </cell>
          <cell r="U439">
            <v>-1711.5600000000049</v>
          </cell>
          <cell r="V439">
            <v>-2221.2700000000041</v>
          </cell>
          <cell r="W439">
            <v>-2131.9199999999983</v>
          </cell>
          <cell r="X439">
            <v>-2213.7400000000052</v>
          </cell>
          <cell r="Y439">
            <v>-1989.1199999999953</v>
          </cell>
          <cell r="Z439">
            <v>-1583.6200000000026</v>
          </cell>
          <cell r="AA439">
            <v>-1577.1100000000006</v>
          </cell>
          <cell r="AB439">
            <v>-1400.1399999999994</v>
          </cell>
          <cell r="AC439">
            <v>1.0000000002037268E-2</v>
          </cell>
          <cell r="AD439">
            <v>1.0000000002037268E-2</v>
          </cell>
          <cell r="AE439">
            <v>0</v>
          </cell>
          <cell r="AF439">
            <v>9.9999999983992893E-3</v>
          </cell>
          <cell r="AG439">
            <v>0</v>
          </cell>
          <cell r="AH439">
            <v>0</v>
          </cell>
          <cell r="AI439">
            <v>1.0000000002037268E-2</v>
          </cell>
          <cell r="AJ439">
            <v>0</v>
          </cell>
          <cell r="AK439">
            <v>-9.9999999947613105E-3</v>
          </cell>
          <cell r="AL439">
            <v>-2.0000000004074536E-2</v>
          </cell>
          <cell r="AM439">
            <v>0</v>
          </cell>
          <cell r="AN439">
            <v>9.9999999983992893E-3</v>
          </cell>
          <cell r="AO439">
            <v>0</v>
          </cell>
          <cell r="AP439">
            <v>0</v>
          </cell>
          <cell r="AQ439">
            <v>0</v>
          </cell>
          <cell r="AR439">
            <v>0</v>
          </cell>
        </row>
        <row r="440">
          <cell r="E440">
            <v>0</v>
          </cell>
          <cell r="F440">
            <v>0</v>
          </cell>
          <cell r="G440">
            <v>0</v>
          </cell>
          <cell r="H440">
            <v>0</v>
          </cell>
          <cell r="I440">
            <v>0</v>
          </cell>
          <cell r="J440">
            <v>0</v>
          </cell>
          <cell r="K440">
            <v>9.9999999997635314E-3</v>
          </cell>
          <cell r="L440">
            <v>0</v>
          </cell>
          <cell r="M440">
            <v>0</v>
          </cell>
          <cell r="N440">
            <v>0</v>
          </cell>
          <cell r="O440">
            <v>0</v>
          </cell>
          <cell r="P440">
            <v>-38.050000000000182</v>
          </cell>
          <cell r="Q440">
            <v>-79.799999999999955</v>
          </cell>
          <cell r="R440">
            <v>-80.990000000000009</v>
          </cell>
          <cell r="S440">
            <v>-85.799999999999727</v>
          </cell>
          <cell r="T440">
            <v>-73.160000000000309</v>
          </cell>
          <cell r="U440">
            <v>-96.9699999999998</v>
          </cell>
          <cell r="V440">
            <v>-101.36000000000013</v>
          </cell>
          <cell r="W440">
            <v>-86.900000000000091</v>
          </cell>
          <cell r="X440">
            <v>-98.599999999999454</v>
          </cell>
          <cell r="Y440">
            <v>-89.929999999999836</v>
          </cell>
          <cell r="Z440">
            <v>-83.039999999999964</v>
          </cell>
          <cell r="AA440">
            <v>-91.960000000000036</v>
          </cell>
          <cell r="AB440">
            <v>-76.089999999999918</v>
          </cell>
          <cell r="AC440">
            <v>0</v>
          </cell>
          <cell r="AD440">
            <v>0</v>
          </cell>
          <cell r="AE440">
            <v>1.0000000000218279E-2</v>
          </cell>
          <cell r="AF440">
            <v>0</v>
          </cell>
          <cell r="AG440">
            <v>0</v>
          </cell>
          <cell r="AH440">
            <v>0</v>
          </cell>
          <cell r="AI440">
            <v>0</v>
          </cell>
          <cell r="AJ440">
            <v>0</v>
          </cell>
          <cell r="AK440">
            <v>1.0000000000218279E-2</v>
          </cell>
          <cell r="AL440">
            <v>0</v>
          </cell>
          <cell r="AM440">
            <v>0</v>
          </cell>
          <cell r="AN440">
            <v>0</v>
          </cell>
          <cell r="AO440">
            <v>0</v>
          </cell>
          <cell r="AP440">
            <v>0</v>
          </cell>
          <cell r="AQ440">
            <v>0</v>
          </cell>
          <cell r="AR440">
            <v>0</v>
          </cell>
        </row>
      </sheetData>
      <sheetData sheetId="6"/>
      <sheetData sheetId="7">
        <row r="55">
          <cell r="C55">
            <v>-5.44</v>
          </cell>
          <cell r="D55">
            <v>-14.87</v>
          </cell>
          <cell r="E55">
            <v>-27.7</v>
          </cell>
          <cell r="F55">
            <v>-31.44</v>
          </cell>
          <cell r="G55">
            <v>-29.5</v>
          </cell>
          <cell r="H55">
            <v>-186.76</v>
          </cell>
          <cell r="I55">
            <v>-283.49</v>
          </cell>
          <cell r="J55">
            <v>-386.31</v>
          </cell>
          <cell r="K55">
            <v>-525.63</v>
          </cell>
          <cell r="L55">
            <v>-669.64</v>
          </cell>
          <cell r="M55">
            <v>-765.64</v>
          </cell>
          <cell r="N55">
            <v>-908.59</v>
          </cell>
          <cell r="O55">
            <v>-1013.91</v>
          </cell>
          <cell r="P55">
            <v>-1126.77</v>
          </cell>
          <cell r="Q55">
            <v>-844.24</v>
          </cell>
          <cell r="R55">
            <v>-760.62</v>
          </cell>
          <cell r="S55">
            <v>-1303.1600000000001</v>
          </cell>
          <cell r="T55">
            <v>-1453.18</v>
          </cell>
          <cell r="U55">
            <v>-1588.53</v>
          </cell>
          <cell r="V55">
            <v>-1762.14</v>
          </cell>
          <cell r="W55">
            <v>-1888.15</v>
          </cell>
          <cell r="X55">
            <v>-2050.9899999999998</v>
          </cell>
          <cell r="Y55">
            <v>-2139.0500000000002</v>
          </cell>
          <cell r="Z55">
            <v>-2237.6</v>
          </cell>
          <cell r="AA55">
            <v>-2236.4</v>
          </cell>
          <cell r="AB55">
            <v>-2140.44</v>
          </cell>
          <cell r="AC55">
            <v>-2047.1</v>
          </cell>
          <cell r="AD55">
            <v>-2020.96</v>
          </cell>
          <cell r="AE55">
            <v>-1757.84</v>
          </cell>
          <cell r="AF55">
            <v>-1748.97</v>
          </cell>
          <cell r="AG55">
            <v>-1637.28</v>
          </cell>
          <cell r="AH55">
            <v>-1530.21</v>
          </cell>
          <cell r="AI55">
            <v>-1409.19</v>
          </cell>
          <cell r="AJ55">
            <v>-1368.52</v>
          </cell>
          <cell r="AK55">
            <v>-1281.3599999999999</v>
          </cell>
          <cell r="AL55">
            <v>-1101.24</v>
          </cell>
          <cell r="AM55">
            <v>0</v>
          </cell>
          <cell r="AN55">
            <v>0</v>
          </cell>
          <cell r="AO55">
            <v>0</v>
          </cell>
          <cell r="AP55">
            <v>0</v>
          </cell>
        </row>
        <row r="56">
          <cell r="C56">
            <v>0.11</v>
          </cell>
          <cell r="D56">
            <v>0.33</v>
          </cell>
          <cell r="E56">
            <v>0.67</v>
          </cell>
          <cell r="F56">
            <v>0.56000000000000005</v>
          </cell>
          <cell r="G56">
            <v>0.14000000000000001</v>
          </cell>
          <cell r="H56">
            <v>-0.8</v>
          </cell>
          <cell r="I56">
            <v>0.23</v>
          </cell>
          <cell r="J56">
            <v>3.19</v>
          </cell>
          <cell r="K56">
            <v>3.95</v>
          </cell>
          <cell r="L56">
            <v>3.24</v>
          </cell>
          <cell r="M56">
            <v>2.69</v>
          </cell>
          <cell r="N56">
            <v>3.07</v>
          </cell>
          <cell r="O56">
            <v>3.98</v>
          </cell>
          <cell r="P56">
            <v>4.9800000000000004</v>
          </cell>
          <cell r="Q56">
            <v>4.0999999999999996</v>
          </cell>
          <cell r="R56">
            <v>3.99</v>
          </cell>
          <cell r="S56">
            <v>7.34</v>
          </cell>
          <cell r="T56">
            <v>8.76</v>
          </cell>
          <cell r="U56">
            <v>14.42</v>
          </cell>
          <cell r="V56">
            <v>24.43</v>
          </cell>
          <cell r="W56">
            <v>29.57</v>
          </cell>
          <cell r="X56">
            <v>31.32</v>
          </cell>
          <cell r="Y56">
            <v>32.32</v>
          </cell>
          <cell r="Z56">
            <v>33.28</v>
          </cell>
          <cell r="AA56">
            <v>37.119999999999997</v>
          </cell>
          <cell r="AB56">
            <v>43.8</v>
          </cell>
          <cell r="AC56">
            <v>50.66</v>
          </cell>
          <cell r="AD56">
            <v>59.1</v>
          </cell>
          <cell r="AE56">
            <v>61.01</v>
          </cell>
          <cell r="AF56">
            <v>72.92</v>
          </cell>
          <cell r="AG56">
            <v>86.73</v>
          </cell>
          <cell r="AH56">
            <v>105.01</v>
          </cell>
          <cell r="AI56">
            <v>118.16</v>
          </cell>
          <cell r="AJ56">
            <v>129.88999999999999</v>
          </cell>
          <cell r="AK56">
            <v>137.47</v>
          </cell>
          <cell r="AL56">
            <v>134.74</v>
          </cell>
          <cell r="AM56">
            <v>0</v>
          </cell>
          <cell r="AN56">
            <v>0</v>
          </cell>
          <cell r="AO56">
            <v>0</v>
          </cell>
          <cell r="AP56">
            <v>0</v>
          </cell>
        </row>
        <row r="57">
          <cell r="C57">
            <v>0.32</v>
          </cell>
          <cell r="D57">
            <v>0.92</v>
          </cell>
          <cell r="E57">
            <v>2.0499999999999998</v>
          </cell>
          <cell r="F57">
            <v>2.63</v>
          </cell>
          <cell r="G57">
            <v>2.66</v>
          </cell>
          <cell r="H57">
            <v>17.61</v>
          </cell>
          <cell r="I57">
            <v>28.77</v>
          </cell>
          <cell r="J57">
            <v>37.200000000000003</v>
          </cell>
          <cell r="K57">
            <v>41.02</v>
          </cell>
          <cell r="L57">
            <v>44.85</v>
          </cell>
          <cell r="M57">
            <v>46.83</v>
          </cell>
          <cell r="N57">
            <v>51.82</v>
          </cell>
          <cell r="O57">
            <v>55.31</v>
          </cell>
          <cell r="P57">
            <v>59.57</v>
          </cell>
          <cell r="Q57">
            <v>43.58</v>
          </cell>
          <cell r="R57">
            <v>38.700000000000003</v>
          </cell>
          <cell r="S57">
            <v>65.47</v>
          </cell>
          <cell r="T57">
            <v>72.34</v>
          </cell>
          <cell r="U57">
            <v>78.180000000000007</v>
          </cell>
          <cell r="V57">
            <v>85.67</v>
          </cell>
          <cell r="W57">
            <v>90.75</v>
          </cell>
          <cell r="X57">
            <v>97.94</v>
          </cell>
          <cell r="Y57">
            <v>101.75</v>
          </cell>
          <cell r="Z57">
            <v>105.39</v>
          </cell>
          <cell r="AA57">
            <v>115.01</v>
          </cell>
          <cell r="AB57">
            <v>130.66999999999999</v>
          </cell>
          <cell r="AC57">
            <v>146.69</v>
          </cell>
          <cell r="AD57">
            <v>167.35</v>
          </cell>
          <cell r="AE57">
            <v>169.82</v>
          </cell>
          <cell r="AF57">
            <v>200.45</v>
          </cell>
          <cell r="AG57">
            <v>224.58</v>
          </cell>
          <cell r="AH57">
            <v>250.43</v>
          </cell>
          <cell r="AI57">
            <v>274.11</v>
          </cell>
          <cell r="AJ57">
            <v>302.95999999999998</v>
          </cell>
          <cell r="AK57">
            <v>321.02</v>
          </cell>
          <cell r="AL57">
            <v>315.05</v>
          </cell>
          <cell r="AM57">
            <v>0</v>
          </cell>
          <cell r="AN57">
            <v>0</v>
          </cell>
          <cell r="AO57">
            <v>0</v>
          </cell>
          <cell r="AP57">
            <v>0</v>
          </cell>
        </row>
        <row r="58">
          <cell r="C58">
            <v>0.51</v>
          </cell>
          <cell r="D58">
            <v>1.47</v>
          </cell>
          <cell r="E58">
            <v>3.26</v>
          </cell>
          <cell r="F58">
            <v>4.2</v>
          </cell>
          <cell r="G58">
            <v>4.3</v>
          </cell>
          <cell r="H58">
            <v>28.27</v>
          </cell>
          <cell r="I58">
            <v>46.08</v>
          </cell>
          <cell r="J58">
            <v>60.73</v>
          </cell>
          <cell r="K58">
            <v>67.84</v>
          </cell>
          <cell r="L58">
            <v>73.45</v>
          </cell>
          <cell r="M58">
            <v>75.09</v>
          </cell>
          <cell r="N58">
            <v>80.98</v>
          </cell>
          <cell r="O58">
            <v>84.26</v>
          </cell>
          <cell r="P58">
            <v>88.66</v>
          </cell>
          <cell r="Q58">
            <v>63.51</v>
          </cell>
          <cell r="R58">
            <v>55.38</v>
          </cell>
          <cell r="S58">
            <v>91.8</v>
          </cell>
          <cell r="T58">
            <v>99.21</v>
          </cell>
          <cell r="U58">
            <v>104.94</v>
          </cell>
          <cell r="V58">
            <v>112.77</v>
          </cell>
          <cell r="W58">
            <v>117.38</v>
          </cell>
          <cell r="X58">
            <v>125.1</v>
          </cell>
          <cell r="Y58">
            <v>128.57</v>
          </cell>
          <cell r="Z58">
            <v>131.84</v>
          </cell>
          <cell r="AA58">
            <v>138.5</v>
          </cell>
          <cell r="AB58">
            <v>149.07</v>
          </cell>
          <cell r="AC58">
            <v>160.09</v>
          </cell>
          <cell r="AD58">
            <v>176.16</v>
          </cell>
          <cell r="AE58">
            <v>172.27</v>
          </cell>
          <cell r="AF58">
            <v>195.94</v>
          </cell>
          <cell r="AG58">
            <v>212.29</v>
          </cell>
          <cell r="AH58">
            <v>230.11</v>
          </cell>
          <cell r="AI58">
            <v>245.81</v>
          </cell>
          <cell r="AJ58">
            <v>267.25</v>
          </cell>
          <cell r="AK58">
            <v>279.27999999999997</v>
          </cell>
          <cell r="AL58">
            <v>270.64</v>
          </cell>
          <cell r="AM58">
            <v>0</v>
          </cell>
          <cell r="AN58">
            <v>0</v>
          </cell>
          <cell r="AO58">
            <v>0</v>
          </cell>
          <cell r="AP58">
            <v>0</v>
          </cell>
        </row>
        <row r="59">
          <cell r="C59">
            <v>0.18</v>
          </cell>
          <cell r="D59">
            <v>0.52</v>
          </cell>
          <cell r="E59">
            <v>1.1599999999999999</v>
          </cell>
          <cell r="F59">
            <v>1.48</v>
          </cell>
          <cell r="G59">
            <v>1.48</v>
          </cell>
          <cell r="H59">
            <v>9.6</v>
          </cell>
          <cell r="I59">
            <v>15.77</v>
          </cell>
          <cell r="J59">
            <v>21.01</v>
          </cell>
          <cell r="K59">
            <v>23.44</v>
          </cell>
          <cell r="L59">
            <v>25.13</v>
          </cell>
          <cell r="M59">
            <v>25.29</v>
          </cell>
          <cell r="N59">
            <v>26.69</v>
          </cell>
          <cell r="O59">
            <v>26.92</v>
          </cell>
          <cell r="P59">
            <v>27.32</v>
          </cell>
          <cell r="Q59">
            <v>18.87</v>
          </cell>
          <cell r="R59">
            <v>15.91</v>
          </cell>
          <cell r="S59">
            <v>25.41</v>
          </cell>
          <cell r="T59">
            <v>26.31</v>
          </cell>
          <cell r="U59">
            <v>26.6</v>
          </cell>
          <cell r="V59">
            <v>27.37</v>
          </cell>
          <cell r="W59">
            <v>27.38</v>
          </cell>
          <cell r="X59">
            <v>28.34</v>
          </cell>
          <cell r="Y59">
            <v>28.35</v>
          </cell>
          <cell r="Z59">
            <v>28.35</v>
          </cell>
          <cell r="AA59">
            <v>28.53</v>
          </cell>
          <cell r="AB59">
            <v>29</v>
          </cell>
          <cell r="AC59">
            <v>29.49</v>
          </cell>
          <cell r="AD59">
            <v>30.84</v>
          </cell>
          <cell r="AE59">
            <v>28.62</v>
          </cell>
          <cell r="AF59">
            <v>30.7</v>
          </cell>
          <cell r="AG59">
            <v>31.28</v>
          </cell>
          <cell r="AH59">
            <v>32.049999999999997</v>
          </cell>
          <cell r="AI59">
            <v>32.590000000000003</v>
          </cell>
          <cell r="AJ59">
            <v>34.270000000000003</v>
          </cell>
          <cell r="AK59">
            <v>34.78</v>
          </cell>
          <cell r="AL59">
            <v>32.840000000000003</v>
          </cell>
          <cell r="AM59">
            <v>0</v>
          </cell>
          <cell r="AN59">
            <v>0</v>
          </cell>
          <cell r="AO59">
            <v>0</v>
          </cell>
          <cell r="AP59">
            <v>0</v>
          </cell>
        </row>
      </sheetData>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KCPL CONTRACT_DETAIL IMPORT"/>
    </sheetNames>
    <sheetDataSet>
      <sheetData sheetId="0">
        <row r="208">
          <cell r="W208">
            <v>486143.32</v>
          </cell>
          <cell r="X208">
            <v>478274.64</v>
          </cell>
          <cell r="AZ208">
            <v>2626262.0900000003</v>
          </cell>
          <cell r="BA208">
            <v>1583523.09</v>
          </cell>
        </row>
        <row r="209">
          <cell r="W209">
            <v>79658.91</v>
          </cell>
          <cell r="X209">
            <v>77984.97</v>
          </cell>
          <cell r="AZ209">
            <v>443448.31</v>
          </cell>
          <cell r="BA209">
            <v>25077.37</v>
          </cell>
        </row>
        <row r="210">
          <cell r="W210">
            <v>150094.88999999998</v>
          </cell>
          <cell r="X210">
            <v>373509.23000000004</v>
          </cell>
          <cell r="AZ210">
            <v>1521302.94</v>
          </cell>
          <cell r="BA210">
            <v>340414.85</v>
          </cell>
        </row>
        <row r="211">
          <cell r="W211">
            <v>252451.29</v>
          </cell>
          <cell r="X211">
            <v>730821.22</v>
          </cell>
          <cell r="AZ211">
            <v>2869282.25</v>
          </cell>
          <cell r="BA211">
            <v>705315.30999999994</v>
          </cell>
        </row>
        <row r="212">
          <cell r="W212">
            <v>67322.52</v>
          </cell>
          <cell r="X212">
            <v>276992.43</v>
          </cell>
          <cell r="AZ212">
            <v>1013658.14</v>
          </cell>
          <cell r="BA212">
            <v>294322.42</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O Matrix @Meter"/>
      <sheetName val="PY2 Final EM&amp;V"/>
      <sheetName val="Tariff Table"/>
      <sheetName val="EMV Results"/>
    </sheetNames>
    <sheetDataSet>
      <sheetData sheetId="0">
        <row r="20">
          <cell r="AL20">
            <v>1385047.189</v>
          </cell>
          <cell r="AP20">
            <v>76053.37000000001</v>
          </cell>
          <cell r="AQ20">
            <v>187581.29000000004</v>
          </cell>
          <cell r="AR20">
            <v>528596.72000000009</v>
          </cell>
          <cell r="AS20">
            <v>47357.25</v>
          </cell>
        </row>
      </sheetData>
      <sheetData sheetId="1"/>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sheetData sheetId="1"/>
      <sheetData sheetId="2"/>
      <sheetData sheetId="3"/>
      <sheetData sheetId="4">
        <row r="571">
          <cell r="Q571">
            <v>-15140.699999999997</v>
          </cell>
          <cell r="R571">
            <v>-16044.399999999994</v>
          </cell>
          <cell r="S571">
            <v>-9528.1799999999785</v>
          </cell>
          <cell r="T571">
            <v>-16466.47</v>
          </cell>
          <cell r="U571">
            <v>-16256.750000000029</v>
          </cell>
          <cell r="V571">
            <v>-35277.160000000033</v>
          </cell>
          <cell r="W571">
            <v>-35915.890000000014</v>
          </cell>
          <cell r="X571">
            <v>-35302.489999999932</v>
          </cell>
          <cell r="Y571">
            <v>-32507.559999999998</v>
          </cell>
          <cell r="Z571">
            <v>-15753.00999999998</v>
          </cell>
          <cell r="AA571">
            <v>-19763.369999999995</v>
          </cell>
          <cell r="AB571">
            <v>-14899.379999999976</v>
          </cell>
          <cell r="AC571">
            <v>-6153.8199999999924</v>
          </cell>
          <cell r="AD571">
            <v>-5862.8099999999831</v>
          </cell>
          <cell r="AE571">
            <v>-6085.8899999999994</v>
          </cell>
          <cell r="AF571">
            <v>-6041.769999999975</v>
          </cell>
          <cell r="AG571">
            <v>-6548.7399999999761</v>
          </cell>
          <cell r="AH571">
            <v>-9060.7200000000012</v>
          </cell>
          <cell r="AI571">
            <v>-13837.729999999952</v>
          </cell>
          <cell r="AJ571">
            <v>-13078.48000000004</v>
          </cell>
          <cell r="AK571">
            <v>-8749.1000000000058</v>
          </cell>
          <cell r="AL571">
            <v>-5596.9700000000012</v>
          </cell>
          <cell r="AM571">
            <v>-6006.2599999999948</v>
          </cell>
          <cell r="AN571">
            <v>-6644.7799999999843</v>
          </cell>
        </row>
        <row r="572">
          <cell r="Q572">
            <v>109.94999999999993</v>
          </cell>
          <cell r="R572">
            <v>109.33000000000004</v>
          </cell>
          <cell r="S572">
            <v>-10105.220000000001</v>
          </cell>
          <cell r="T572">
            <v>1061.2000000000003</v>
          </cell>
          <cell r="U572">
            <v>-1653.4000000000005</v>
          </cell>
          <cell r="V572">
            <v>1166.1599999999999</v>
          </cell>
          <cell r="W572">
            <v>2060.59</v>
          </cell>
          <cell r="X572">
            <v>1930.8799999999992</v>
          </cell>
          <cell r="Y572">
            <v>2446.2599999999984</v>
          </cell>
          <cell r="Z572">
            <v>1212.1900000000005</v>
          </cell>
          <cell r="AA572">
            <v>-849.01000000000022</v>
          </cell>
          <cell r="AB572">
            <v>916.17000000000189</v>
          </cell>
          <cell r="AC572">
            <v>760.65000000000146</v>
          </cell>
          <cell r="AD572">
            <v>834.40999999999804</v>
          </cell>
          <cell r="AE572">
            <v>793.10999999999876</v>
          </cell>
          <cell r="AF572">
            <v>863.23999999999978</v>
          </cell>
          <cell r="AG572">
            <v>881.8700000000008</v>
          </cell>
          <cell r="AH572">
            <v>1138.1200000000008</v>
          </cell>
          <cell r="AI572">
            <v>2071.1400000000012</v>
          </cell>
          <cell r="AJ572">
            <v>1929.4500000000007</v>
          </cell>
          <cell r="AK572">
            <v>1115.7199999999993</v>
          </cell>
          <cell r="AL572">
            <v>836.22000000000116</v>
          </cell>
          <cell r="AM572">
            <v>894.57999999999811</v>
          </cell>
          <cell r="AN572">
            <v>825.89999999999964</v>
          </cell>
        </row>
        <row r="573">
          <cell r="Q573">
            <v>254.37999999999994</v>
          </cell>
          <cell r="R573">
            <v>367.73999999999978</v>
          </cell>
          <cell r="S573">
            <v>1564.0400000000009</v>
          </cell>
          <cell r="T573">
            <v>554.75000000000091</v>
          </cell>
          <cell r="U573">
            <v>106.98999999999978</v>
          </cell>
          <cell r="V573">
            <v>-183.47000000000298</v>
          </cell>
          <cell r="W573">
            <v>1053.9599999999991</v>
          </cell>
          <cell r="X573">
            <v>1988.1100000000042</v>
          </cell>
          <cell r="Y573">
            <v>2417.8400000000038</v>
          </cell>
          <cell r="Z573">
            <v>1650.559999999994</v>
          </cell>
          <cell r="AA573">
            <v>-493.71999999999753</v>
          </cell>
          <cell r="AB573">
            <v>1032.4800000000032</v>
          </cell>
          <cell r="AC573">
            <v>-697.29000000000087</v>
          </cell>
          <cell r="AD573">
            <v>-644.48999999999796</v>
          </cell>
          <cell r="AE573">
            <v>-732.27000000000044</v>
          </cell>
          <cell r="AF573">
            <v>-744.47999999999956</v>
          </cell>
          <cell r="AG573">
            <v>-851.95999999999913</v>
          </cell>
          <cell r="AH573">
            <v>-1089.9799999999996</v>
          </cell>
          <cell r="AI573">
            <v>-1075.4499999999971</v>
          </cell>
          <cell r="AJ573">
            <v>-1099.6599999999999</v>
          </cell>
          <cell r="AK573">
            <v>-1020.3000000000029</v>
          </cell>
          <cell r="AL573">
            <v>-767.63000000000466</v>
          </cell>
          <cell r="AM573">
            <v>-776.88000000000102</v>
          </cell>
          <cell r="AN573">
            <v>-698.98999999999796</v>
          </cell>
        </row>
        <row r="574">
          <cell r="Q574">
            <v>417.28</v>
          </cell>
          <cell r="R574">
            <v>539.18999999999994</v>
          </cell>
          <cell r="S574">
            <v>2486.8899999999985</v>
          </cell>
          <cell r="T574">
            <v>1451.7999999999993</v>
          </cell>
          <cell r="U574">
            <v>1357.1400000000031</v>
          </cell>
          <cell r="V574">
            <v>1939.3300000000017</v>
          </cell>
          <cell r="W574">
            <v>4501.0799999999872</v>
          </cell>
          <cell r="X574">
            <v>6232.7200000000012</v>
          </cell>
          <cell r="Y574">
            <v>6682.8199999999924</v>
          </cell>
          <cell r="Z574">
            <v>4840.739999999998</v>
          </cell>
          <cell r="AA574">
            <v>1402.5799999999945</v>
          </cell>
          <cell r="AB574">
            <v>3699.7500000000073</v>
          </cell>
          <cell r="AC574">
            <v>891.03999999999724</v>
          </cell>
          <cell r="AD574">
            <v>838.33999999999651</v>
          </cell>
          <cell r="AE574">
            <v>952.36000000000058</v>
          </cell>
          <cell r="AF574">
            <v>974.22000000000844</v>
          </cell>
          <cell r="AG574">
            <v>1065.75</v>
          </cell>
          <cell r="AH574">
            <v>1348.4500000000044</v>
          </cell>
          <cell r="AI574">
            <v>1280.3700000000026</v>
          </cell>
          <cell r="AJ574">
            <v>1335.3599999999933</v>
          </cell>
          <cell r="AK574">
            <v>1200.4199999999983</v>
          </cell>
          <cell r="AL574">
            <v>993.17999999999302</v>
          </cell>
          <cell r="AM574">
            <v>985.22999999999593</v>
          </cell>
          <cell r="AN574">
            <v>876.76000000000568</v>
          </cell>
        </row>
        <row r="575">
          <cell r="Q575">
            <v>111.69</v>
          </cell>
          <cell r="R575">
            <v>144.48000000000002</v>
          </cell>
          <cell r="S575">
            <v>648.6400000000001</v>
          </cell>
          <cell r="T575">
            <v>250.21</v>
          </cell>
          <cell r="U575">
            <v>72.77000000000001</v>
          </cell>
          <cell r="V575">
            <v>-15.050000000000011</v>
          </cell>
          <cell r="W575">
            <v>574.35999999999979</v>
          </cell>
          <cell r="X575">
            <v>1019.4699999999999</v>
          </cell>
          <cell r="Y575">
            <v>1223.0999999999997</v>
          </cell>
          <cell r="Z575">
            <v>857.06999999999994</v>
          </cell>
          <cell r="AA575">
            <v>-56.689999999999941</v>
          </cell>
          <cell r="AB575">
            <v>647.17000000000007</v>
          </cell>
          <cell r="AC575">
            <v>-6.9700000000000273</v>
          </cell>
          <cell r="AD575">
            <v>-5.6799999999998363</v>
          </cell>
          <cell r="AE575">
            <v>-9.7799999999999727</v>
          </cell>
          <cell r="AF575">
            <v>-11.430000000000064</v>
          </cell>
          <cell r="AG575">
            <v>-9.6399999999998727</v>
          </cell>
          <cell r="AH575">
            <v>-26.5</v>
          </cell>
          <cell r="AI575">
            <v>-30.929999999999836</v>
          </cell>
          <cell r="AJ575">
            <v>-29.020000000000209</v>
          </cell>
          <cell r="AK575">
            <v>-26.909999999999854</v>
          </cell>
          <cell r="AL575">
            <v>-9.319999999999709</v>
          </cell>
          <cell r="AM575">
            <v>-9.459999999999809</v>
          </cell>
          <cell r="AN575">
            <v>-8.5299999999999727</v>
          </cell>
        </row>
      </sheetData>
      <sheetData sheetId="5">
        <row r="436">
          <cell r="Q436">
            <v>-1007.0500000000029</v>
          </cell>
          <cell r="R436">
            <v>-2870.8699999999953</v>
          </cell>
          <cell r="S436">
            <v>-7533.1999999999971</v>
          </cell>
          <cell r="T436">
            <v>-12275.150000000009</v>
          </cell>
          <cell r="U436">
            <v>-16699.169999999969</v>
          </cell>
          <cell r="V436">
            <v>-25817.789999999979</v>
          </cell>
          <cell r="W436">
            <v>-33207.489999999991</v>
          </cell>
          <cell r="X436">
            <v>-37254.52999999997</v>
          </cell>
          <cell r="Y436">
            <v>-40467.679999999993</v>
          </cell>
          <cell r="Z436">
            <v>-30337.23000000001</v>
          </cell>
          <cell r="AA436">
            <v>-36349.22</v>
          </cell>
          <cell r="AB436">
            <v>-46149.109999999986</v>
          </cell>
          <cell r="AC436">
            <v>263.60999999998603</v>
          </cell>
          <cell r="AD436">
            <v>263.16999999999825</v>
          </cell>
          <cell r="AE436">
            <v>41.39000000001397</v>
          </cell>
          <cell r="AF436">
            <v>67.459999999991851</v>
          </cell>
          <cell r="AG436">
            <v>-46.510000000009313</v>
          </cell>
          <cell r="AH436">
            <v>-1205.4100000000035</v>
          </cell>
          <cell r="AI436">
            <v>-1743.1199999999953</v>
          </cell>
          <cell r="AJ436">
            <v>-1453.6599999999744</v>
          </cell>
          <cell r="AK436">
            <v>-446.02999999999884</v>
          </cell>
          <cell r="AL436">
            <v>-2.25</v>
          </cell>
          <cell r="AM436">
            <v>23.10999999998603</v>
          </cell>
          <cell r="AN436">
            <v>297.64999999999418</v>
          </cell>
        </row>
        <row r="437">
          <cell r="Q437">
            <v>-49.479999999999961</v>
          </cell>
          <cell r="R437">
            <v>-141.51</v>
          </cell>
          <cell r="S437">
            <v>-318.5300000000002</v>
          </cell>
          <cell r="T437">
            <v>-497.34000000000015</v>
          </cell>
          <cell r="U437">
            <v>-669.27000000000044</v>
          </cell>
          <cell r="V437">
            <v>-948.70999999999913</v>
          </cell>
          <cell r="W437">
            <v>-1100.0299999999988</v>
          </cell>
          <cell r="X437">
            <v>-1298.4000000000015</v>
          </cell>
          <cell r="Y437">
            <v>-1342.6599999999999</v>
          </cell>
          <cell r="Z437">
            <v>-1138.9799999999996</v>
          </cell>
          <cell r="AA437">
            <v>-1236.6999999999998</v>
          </cell>
          <cell r="AB437">
            <v>-1341.6399999999994</v>
          </cell>
          <cell r="AC437">
            <v>-1370.1499999999996</v>
          </cell>
          <cell r="AD437">
            <v>-1268.8399999999992</v>
          </cell>
          <cell r="AE437">
            <v>-1439.3600000000006</v>
          </cell>
          <cell r="AF437">
            <v>-1436.0900000000001</v>
          </cell>
          <cell r="AG437">
            <v>-1600.1399999999994</v>
          </cell>
          <cell r="AH437">
            <v>-1933.5599999999995</v>
          </cell>
          <cell r="AI437">
            <v>-1884.380000000001</v>
          </cell>
          <cell r="AJ437">
            <v>-1920.7200000000012</v>
          </cell>
          <cell r="AK437">
            <v>-1814.2000000000007</v>
          </cell>
          <cell r="AL437">
            <v>-1508.6500000000015</v>
          </cell>
          <cell r="AM437">
            <v>-1468.08</v>
          </cell>
          <cell r="AN437">
            <v>-1362.1999999999989</v>
          </cell>
        </row>
        <row r="438">
          <cell r="Q438">
            <v>-19.609999999999957</v>
          </cell>
          <cell r="R438">
            <v>-203.98999999999978</v>
          </cell>
          <cell r="S438">
            <v>-673.92000000000007</v>
          </cell>
          <cell r="T438">
            <v>-1027.2300000000014</v>
          </cell>
          <cell r="U438">
            <v>-1355.5200000000004</v>
          </cell>
          <cell r="V438">
            <v>-2022.4699999999975</v>
          </cell>
          <cell r="W438">
            <v>-2474.1899999999987</v>
          </cell>
          <cell r="X438">
            <v>-2915.6000000000022</v>
          </cell>
          <cell r="Y438">
            <v>-2939.130000000001</v>
          </cell>
          <cell r="Z438">
            <v>-2501.630000000001</v>
          </cell>
          <cell r="AA438">
            <v>-2700.3500000000022</v>
          </cell>
          <cell r="AB438">
            <v>-2812.1200000000026</v>
          </cell>
          <cell r="AC438">
            <v>-2374.7999999999993</v>
          </cell>
          <cell r="AD438">
            <v>-2191.5300000000007</v>
          </cell>
          <cell r="AE438">
            <v>-2468.6299999999974</v>
          </cell>
          <cell r="AF438">
            <v>-2522.0200000000004</v>
          </cell>
          <cell r="AG438">
            <v>-2891.3100000000013</v>
          </cell>
          <cell r="AH438">
            <v>-3613.0600000000013</v>
          </cell>
          <cell r="AI438">
            <v>-3542.4000000000015</v>
          </cell>
          <cell r="AJ438">
            <v>-3630.2100000000028</v>
          </cell>
          <cell r="AK438">
            <v>-3377.8999999999978</v>
          </cell>
          <cell r="AL438">
            <v>-2613.0599999999977</v>
          </cell>
          <cell r="AM438">
            <v>-2637.5399999999972</v>
          </cell>
          <cell r="AN438">
            <v>-2380.6700000000019</v>
          </cell>
        </row>
        <row r="439">
          <cell r="Q439">
            <v>-1.5699999999999363</v>
          </cell>
          <cell r="R439">
            <v>-3.3099999999999454</v>
          </cell>
          <cell r="S439">
            <v>-562.6299999999992</v>
          </cell>
          <cell r="T439">
            <v>-1739.8499999999985</v>
          </cell>
          <cell r="U439">
            <v>-2726.3000000000029</v>
          </cell>
          <cell r="V439">
            <v>-4696.760000000002</v>
          </cell>
          <cell r="W439">
            <v>-5459.4199999999983</v>
          </cell>
          <cell r="X439">
            <v>-5727.8700000000026</v>
          </cell>
          <cell r="Y439">
            <v>-5278.0800000000017</v>
          </cell>
          <cell r="Z439">
            <v>-4338.1000000000058</v>
          </cell>
          <cell r="AA439">
            <v>-4415.4599999999955</v>
          </cell>
          <cell r="AB439">
            <v>-4286.25</v>
          </cell>
          <cell r="AC439">
            <v>-1394.3599999999969</v>
          </cell>
          <cell r="AD439">
            <v>-1314.1399999999994</v>
          </cell>
          <cell r="AE439">
            <v>-1508.1099999999933</v>
          </cell>
          <cell r="AF439">
            <v>-1519.9400000000023</v>
          </cell>
          <cell r="AG439">
            <v>-1679.4699999999939</v>
          </cell>
          <cell r="AH439">
            <v>-2168.239999999998</v>
          </cell>
          <cell r="AI439">
            <v>-2078.7700000000041</v>
          </cell>
          <cell r="AJ439">
            <v>-2161.4300000000003</v>
          </cell>
          <cell r="AK439">
            <v>-1930.3799999999974</v>
          </cell>
          <cell r="AL439">
            <v>-1540.3899999999994</v>
          </cell>
          <cell r="AM439">
            <v>-1529</v>
          </cell>
          <cell r="AN439">
            <v>-1358.9600000000064</v>
          </cell>
        </row>
        <row r="440">
          <cell r="Q440">
            <v>0</v>
          </cell>
          <cell r="R440">
            <v>0</v>
          </cell>
          <cell r="S440">
            <v>0</v>
          </cell>
          <cell r="T440">
            <v>0</v>
          </cell>
          <cell r="U440">
            <v>0</v>
          </cell>
          <cell r="V440">
            <v>-3.5099999999999909</v>
          </cell>
          <cell r="W440">
            <v>-6.0099999999997635</v>
          </cell>
          <cell r="X440">
            <v>-6.8299999999999272</v>
          </cell>
          <cell r="Y440">
            <v>-10.319999999999709</v>
          </cell>
          <cell r="Z440">
            <v>-26.960000000000036</v>
          </cell>
          <cell r="AA440">
            <v>-44.850000000000023</v>
          </cell>
          <cell r="AB440">
            <v>-79.050000000000182</v>
          </cell>
          <cell r="AC440">
            <v>-53.829999999999927</v>
          </cell>
          <cell r="AD440">
            <v>-54.680000000000064</v>
          </cell>
          <cell r="AE440">
            <v>-57.980000000000018</v>
          </cell>
          <cell r="AF440">
            <v>-49.099999999999909</v>
          </cell>
          <cell r="AG440">
            <v>-65.490000000000009</v>
          </cell>
          <cell r="AH440">
            <v>-68.139999999999873</v>
          </cell>
          <cell r="AI440">
            <v>-58.369999999999891</v>
          </cell>
          <cell r="AJ440">
            <v>-66.289999999999736</v>
          </cell>
          <cell r="AK440">
            <v>-60.140000000000327</v>
          </cell>
          <cell r="AL440">
            <v>-55.650000000000091</v>
          </cell>
          <cell r="AM440">
            <v>-61.440000000000055</v>
          </cell>
          <cell r="AN440">
            <v>-50.870000000000118</v>
          </cell>
        </row>
      </sheetData>
      <sheetData sheetId="6">
        <row r="55">
          <cell r="O55">
            <v>-46.09</v>
          </cell>
          <cell r="P55">
            <v>-148.30000000000001</v>
          </cell>
          <cell r="Q55">
            <v>-174.37</v>
          </cell>
          <cell r="R55">
            <v>-218.42</v>
          </cell>
          <cell r="S55">
            <v>-509.73</v>
          </cell>
          <cell r="T55">
            <v>-781.59</v>
          </cell>
          <cell r="U55">
            <v>-1145.42</v>
          </cell>
          <cell r="V55">
            <v>-1576.53</v>
          </cell>
          <cell r="W55">
            <v>-1985.23</v>
          </cell>
          <cell r="X55">
            <v>-2365.0100000000002</v>
          </cell>
          <cell r="Y55">
            <v>-2653.3</v>
          </cell>
          <cell r="Z55">
            <v>-2983.79</v>
          </cell>
          <cell r="AA55">
            <v>-3167.93</v>
          </cell>
          <cell r="AB55">
            <v>-3205.03</v>
          </cell>
          <cell r="AC55">
            <v>-3242.66</v>
          </cell>
          <cell r="AD55">
            <v>-3371.17</v>
          </cell>
          <cell r="AE55">
            <v>-3114.77</v>
          </cell>
          <cell r="AF55">
            <v>-3331.74</v>
          </cell>
          <cell r="AG55">
            <v>-3412.48</v>
          </cell>
          <cell r="AH55">
            <v>-3526.68</v>
          </cell>
          <cell r="AI55">
            <v>-3597.46</v>
          </cell>
          <cell r="AJ55">
            <v>-3773.22</v>
          </cell>
          <cell r="AK55">
            <v>-3811.07</v>
          </cell>
          <cell r="AL55">
            <v>-3585.91</v>
          </cell>
        </row>
        <row r="56">
          <cell r="O56">
            <v>0.17</v>
          </cell>
          <cell r="P56">
            <v>0.26</v>
          </cell>
          <cell r="Q56">
            <v>-20.73</v>
          </cell>
          <cell r="R56">
            <v>-33.1</v>
          </cell>
          <cell r="S56">
            <v>-57.45</v>
          </cell>
          <cell r="T56">
            <v>-65.16</v>
          </cell>
          <cell r="U56">
            <v>-62.64</v>
          </cell>
          <cell r="V56">
            <v>-59.99</v>
          </cell>
          <cell r="W56">
            <v>-55.11</v>
          </cell>
          <cell r="X56">
            <v>-53.92</v>
          </cell>
          <cell r="Y56">
            <v>-59.6</v>
          </cell>
          <cell r="Z56">
            <v>-66.680000000000007</v>
          </cell>
          <cell r="AA56">
            <v>-69.5</v>
          </cell>
          <cell r="AB56">
            <v>-72.540000000000006</v>
          </cell>
          <cell r="AC56">
            <v>-75.7</v>
          </cell>
          <cell r="AD56">
            <v>-81.28</v>
          </cell>
          <cell r="AE56">
            <v>-77.64</v>
          </cell>
          <cell r="AF56">
            <v>-86.03</v>
          </cell>
          <cell r="AG56">
            <v>-87.95</v>
          </cell>
          <cell r="AH56">
            <v>-88.22</v>
          </cell>
          <cell r="AI56">
            <v>-90.25</v>
          </cell>
          <cell r="AJ56">
            <v>-97.44</v>
          </cell>
          <cell r="AK56">
            <v>-101.05</v>
          </cell>
          <cell r="AL56">
            <v>-97.11</v>
          </cell>
        </row>
        <row r="57">
          <cell r="O57">
            <v>0.67</v>
          </cell>
          <cell r="P57">
            <v>1.83</v>
          </cell>
          <cell r="Q57">
            <v>3.37</v>
          </cell>
          <cell r="R57">
            <v>3.46</v>
          </cell>
          <cell r="S57">
            <v>1.03</v>
          </cell>
          <cell r="T57">
            <v>-8.26</v>
          </cell>
          <cell r="U57">
            <v>-18.239999999999998</v>
          </cell>
          <cell r="V57">
            <v>-25.37</v>
          </cell>
          <cell r="W57">
            <v>-29.44</v>
          </cell>
          <cell r="X57">
            <v>-33.869999999999997</v>
          </cell>
          <cell r="Y57">
            <v>-45.28</v>
          </cell>
          <cell r="Z57">
            <v>-59.31</v>
          </cell>
          <cell r="AA57">
            <v>-72.89</v>
          </cell>
          <cell r="AB57">
            <v>-89.66</v>
          </cell>
          <cell r="AC57">
            <v>-106.85</v>
          </cell>
          <cell r="AD57">
            <v>-127.24</v>
          </cell>
          <cell r="AE57">
            <v>-134.41999999999999</v>
          </cell>
          <cell r="AF57">
            <v>-164.78</v>
          </cell>
          <cell r="AG57">
            <v>-190.72</v>
          </cell>
          <cell r="AH57">
            <v>-218.22</v>
          </cell>
          <cell r="AI57">
            <v>-243.72</v>
          </cell>
          <cell r="AJ57">
            <v>-272.77</v>
          </cell>
          <cell r="AK57">
            <v>-292.07</v>
          </cell>
          <cell r="AL57">
            <v>-289.19</v>
          </cell>
        </row>
        <row r="58">
          <cell r="O58">
            <v>1.19</v>
          </cell>
          <cell r="P58">
            <v>3.96</v>
          </cell>
          <cell r="Q58">
            <v>7.65</v>
          </cell>
          <cell r="R58">
            <v>8.9700000000000006</v>
          </cell>
          <cell r="S58">
            <v>10</v>
          </cell>
          <cell r="T58">
            <v>-0.8</v>
          </cell>
          <cell r="U58">
            <v>-10.94</v>
          </cell>
          <cell r="V58">
            <v>-12.54</v>
          </cell>
          <cell r="W58">
            <v>-7.17</v>
          </cell>
          <cell r="X58">
            <v>-1.9</v>
          </cell>
          <cell r="Y58">
            <v>-8.98</v>
          </cell>
          <cell r="Z58">
            <v>-19.13</v>
          </cell>
          <cell r="AA58">
            <v>-22.17</v>
          </cell>
          <cell r="AB58">
            <v>-24.97</v>
          </cell>
          <cell r="AC58">
            <v>-27.92</v>
          </cell>
          <cell r="AD58">
            <v>-31.58</v>
          </cell>
          <cell r="AE58">
            <v>-31.86</v>
          </cell>
          <cell r="AF58">
            <v>-37.51</v>
          </cell>
          <cell r="AG58">
            <v>-42.04</v>
          </cell>
          <cell r="AH58">
            <v>-46.9</v>
          </cell>
          <cell r="AI58">
            <v>-51.26</v>
          </cell>
          <cell r="AJ58">
            <v>-56.46</v>
          </cell>
          <cell r="AK58">
            <v>-59.57</v>
          </cell>
          <cell r="AL58">
            <v>-58.21</v>
          </cell>
        </row>
        <row r="59">
          <cell r="O59">
            <v>0.32</v>
          </cell>
          <cell r="P59">
            <v>1.07</v>
          </cell>
          <cell r="Q59">
            <v>2.3199999999999998</v>
          </cell>
          <cell r="R59">
            <v>3.38</v>
          </cell>
          <cell r="S59">
            <v>6.23</v>
          </cell>
          <cell r="T59">
            <v>6.6</v>
          </cell>
          <cell r="U59">
            <v>8.17</v>
          </cell>
          <cell r="V59">
            <v>12.85</v>
          </cell>
          <cell r="W59">
            <v>19.100000000000001</v>
          </cell>
          <cell r="X59">
            <v>25.26</v>
          </cell>
          <cell r="Y59">
            <v>27.32</v>
          </cell>
          <cell r="Z59">
            <v>28.64</v>
          </cell>
          <cell r="AA59">
            <v>30.02</v>
          </cell>
          <cell r="AB59">
            <v>29.72</v>
          </cell>
          <cell r="AC59">
            <v>29.41</v>
          </cell>
          <cell r="AD59">
            <v>29.96</v>
          </cell>
          <cell r="AE59">
            <v>27.05</v>
          </cell>
          <cell r="AF59">
            <v>28.07</v>
          </cell>
          <cell r="AG59">
            <v>27.65</v>
          </cell>
          <cell r="AH59">
            <v>27.4</v>
          </cell>
          <cell r="AI59">
            <v>26.94</v>
          </cell>
          <cell r="AJ59">
            <v>27.6</v>
          </cell>
          <cell r="AK59">
            <v>27.27</v>
          </cell>
          <cell r="AL59">
            <v>25.09</v>
          </cell>
        </row>
      </sheetData>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O Matrix @Meter"/>
      <sheetName val="PY3 Final EM&amp;V"/>
      <sheetName val="Tariff Table"/>
      <sheetName val="EMV Results"/>
    </sheetNames>
    <sheetDataSet>
      <sheetData sheetId="0">
        <row r="22">
          <cell r="AL22">
            <v>1307790.0990000002</v>
          </cell>
          <cell r="AP22">
            <v>151360.22999999998</v>
          </cell>
          <cell r="AQ22">
            <v>256696.35999999993</v>
          </cell>
          <cell r="AR22">
            <v>391442.94</v>
          </cell>
          <cell r="AS22">
            <v>77738.070000000007</v>
          </cell>
        </row>
      </sheetData>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put"/>
      <sheetName val="Program Descriptions"/>
      <sheetName val="Deemed TD Calc"/>
      <sheetName val="Deemed kW Savings"/>
      <sheetName val="Ex Post Gross TD Calc"/>
      <sheetName val="NTG TD Calc"/>
      <sheetName val="EO TD Carrying Costs"/>
      <sheetName val="Jnl Import"/>
      <sheetName val="EMV Results"/>
      <sheetName val="Summary"/>
    </sheetNames>
    <sheetDataSet>
      <sheetData sheetId="0" refreshError="1"/>
      <sheetData sheetId="1" refreshError="1"/>
      <sheetData sheetId="2" refreshError="1"/>
      <sheetData sheetId="3" refreshError="1"/>
      <sheetData sheetId="4">
        <row r="571">
          <cell r="AC571">
            <v>-5411.179999999993</v>
          </cell>
          <cell r="AD571">
            <v>-3071.1700000000128</v>
          </cell>
          <cell r="AE571">
            <v>-3181.4700000000157</v>
          </cell>
          <cell r="AF571">
            <v>-7092.8899999999849</v>
          </cell>
          <cell r="AG571">
            <v>-8992.6299999999901</v>
          </cell>
          <cell r="AH571">
            <v>-17585.030000000057</v>
          </cell>
          <cell r="AI571">
            <v>-27443.090000000026</v>
          </cell>
          <cell r="AJ571">
            <v>-10613.02999999997</v>
          </cell>
          <cell r="AK571">
            <v>-9092.86</v>
          </cell>
          <cell r="AL571">
            <v>-6589.429999999993</v>
          </cell>
          <cell r="AM571">
            <v>-7679.3799999999901</v>
          </cell>
          <cell r="AN571">
            <v>-11240.109999999986</v>
          </cell>
          <cell r="AO571">
            <v>-10255.550000000003</v>
          </cell>
          <cell r="AP571">
            <v>-9871.6399999999849</v>
          </cell>
          <cell r="AQ571">
            <v>-10156.210000000021</v>
          </cell>
          <cell r="AR571">
            <v>-10501.119999999981</v>
          </cell>
          <cell r="AS571">
            <v>-10855.100000000006</v>
          </cell>
          <cell r="AT571">
            <v>-16245.080000000016</v>
          </cell>
          <cell r="AU571">
            <v>-19913.609999999986</v>
          </cell>
          <cell r="AV571">
            <v>-19264.889999999985</v>
          </cell>
          <cell r="AW571">
            <v>-15878.970000000001</v>
          </cell>
          <cell r="AX571">
            <v>-9541.7899999999936</v>
          </cell>
          <cell r="AY571">
            <v>-10488.130000000005</v>
          </cell>
          <cell r="AZ571">
            <v>-11291.850000000006</v>
          </cell>
          <cell r="BA571">
            <v>-10139.920000000027</v>
          </cell>
          <cell r="BB571">
            <v>-9612.1800000000076</v>
          </cell>
          <cell r="BC571">
            <v>-9923.7999999999884</v>
          </cell>
          <cell r="BD571">
            <v>-10259.37999999999</v>
          </cell>
          <cell r="BE571">
            <v>-10617.960000000021</v>
          </cell>
          <cell r="BF571">
            <v>-16058.950000000012</v>
          </cell>
          <cell r="BG571">
            <v>-19754.460000000021</v>
          </cell>
          <cell r="BH571">
            <v>-19078.669999999955</v>
          </cell>
          <cell r="BI571">
            <v>-15599.49000000002</v>
          </cell>
          <cell r="BJ571">
            <v>-9330.9500000000116</v>
          </cell>
          <cell r="BK571">
            <v>-10255</v>
          </cell>
          <cell r="BL571">
            <v>-10987.919999999998</v>
          </cell>
          <cell r="BM571">
            <v>-10139.920000000027</v>
          </cell>
          <cell r="BN571">
            <v>-9612.1800000000076</v>
          </cell>
          <cell r="BO571">
            <v>-9923.7999999999884</v>
          </cell>
          <cell r="BP571">
            <v>-10259.37999999999</v>
          </cell>
          <cell r="BQ571">
            <v>-10448.590000000026</v>
          </cell>
          <cell r="BR571">
            <v>-15802.390000000014</v>
          </cell>
          <cell r="BS571">
            <v>-19488.110000000015</v>
          </cell>
          <cell r="BT571">
            <v>-18811.109999999957</v>
          </cell>
          <cell r="BU571">
            <v>-15326.100000000006</v>
          </cell>
          <cell r="BV571">
            <v>-9139.570000000007</v>
          </cell>
          <cell r="BW571">
            <v>-10032.86</v>
          </cell>
          <cell r="BX571">
            <v>-10775.179999999993</v>
          </cell>
          <cell r="BY571">
            <v>-7777.8200000000215</v>
          </cell>
          <cell r="BZ571">
            <v>-7186.4000000000087</v>
          </cell>
          <cell r="CA571">
            <v>-7446.6999999999971</v>
          </cell>
          <cell r="CB571">
            <v>-7621.3399999999965</v>
          </cell>
        </row>
        <row r="572">
          <cell r="AC572">
            <v>376.6099999999999</v>
          </cell>
          <cell r="AD572">
            <v>434.28999999999985</v>
          </cell>
          <cell r="AE572">
            <v>526.82999999999993</v>
          </cell>
          <cell r="AF572">
            <v>283.43000000000029</v>
          </cell>
          <cell r="AG572">
            <v>-31.169999999999163</v>
          </cell>
          <cell r="AH572">
            <v>-146.65000000000146</v>
          </cell>
          <cell r="AI572">
            <v>-606.07000000000153</v>
          </cell>
          <cell r="AJ572">
            <v>-848.8799999999992</v>
          </cell>
          <cell r="AK572">
            <v>-361.42000000000189</v>
          </cell>
          <cell r="AL572">
            <v>-272.35999999999876</v>
          </cell>
          <cell r="AM572">
            <v>-317.54999999999927</v>
          </cell>
          <cell r="AN572">
            <v>-470.59000000000378</v>
          </cell>
          <cell r="AO572">
            <v>-171.67999999999847</v>
          </cell>
          <cell r="AP572">
            <v>-154.57999999999993</v>
          </cell>
          <cell r="AQ572">
            <v>-180.57999999999811</v>
          </cell>
          <cell r="AR572">
            <v>-178.8600000000024</v>
          </cell>
          <cell r="AS572">
            <v>-196.91999999999825</v>
          </cell>
          <cell r="AT572">
            <v>-273.57999999999811</v>
          </cell>
          <cell r="AU572">
            <v>-2277.9599999999991</v>
          </cell>
          <cell r="AV572">
            <v>-2001.6500000000015</v>
          </cell>
          <cell r="AW572">
            <v>-250.5099999999984</v>
          </cell>
          <cell r="AX572">
            <v>-180.74999999999818</v>
          </cell>
          <cell r="AY572">
            <v>-182.06999999999971</v>
          </cell>
          <cell r="AZ572">
            <v>-168.60000000000036</v>
          </cell>
          <cell r="BA572">
            <v>-292.80999999999767</v>
          </cell>
          <cell r="BB572">
            <v>-266.31999999999971</v>
          </cell>
          <cell r="BC572">
            <v>-307.40999999999985</v>
          </cell>
          <cell r="BD572">
            <v>-305.90000000000146</v>
          </cell>
          <cell r="BE572">
            <v>-337.15999999999622</v>
          </cell>
          <cell r="BF572">
            <v>-448.31999999999607</v>
          </cell>
          <cell r="BG572">
            <v>-2444.8400000000038</v>
          </cell>
          <cell r="BH572">
            <v>-2169.1600000000035</v>
          </cell>
          <cell r="BI572">
            <v>-405.64000000000306</v>
          </cell>
          <cell r="BJ572">
            <v>-313.04999999999927</v>
          </cell>
          <cell r="BK572">
            <v>-312.53999999999724</v>
          </cell>
          <cell r="BL572">
            <v>-291.64999999999964</v>
          </cell>
          <cell r="BM572">
            <v>-292.80999999999767</v>
          </cell>
          <cell r="BN572">
            <v>-266.31999999999971</v>
          </cell>
          <cell r="BO572">
            <v>-307.40999999999985</v>
          </cell>
          <cell r="BP572">
            <v>-305.90000000000146</v>
          </cell>
          <cell r="BQ572">
            <v>-337.15999999999622</v>
          </cell>
          <cell r="BR572">
            <v>-448.31999999999607</v>
          </cell>
          <cell r="BS572">
            <v>-2444.8400000000038</v>
          </cell>
          <cell r="BT572">
            <v>-2169.1600000000035</v>
          </cell>
          <cell r="BU572">
            <v>-405.64000000000306</v>
          </cell>
          <cell r="BV572">
            <v>-313.04999999999927</v>
          </cell>
          <cell r="BW572">
            <v>-312.53999999999724</v>
          </cell>
          <cell r="BX572">
            <v>-291.64999999999964</v>
          </cell>
          <cell r="BY572">
            <v>-292.80999999999767</v>
          </cell>
          <cell r="BZ572">
            <v>-266.31999999999971</v>
          </cell>
          <cell r="CA572">
            <v>-307.40999999999985</v>
          </cell>
          <cell r="CB572">
            <v>-305.90000000000146</v>
          </cell>
        </row>
        <row r="573">
          <cell r="AC573">
            <v>768.48</v>
          </cell>
          <cell r="AD573">
            <v>-811.65000000000009</v>
          </cell>
          <cell r="AE573">
            <v>1113.4700000000003</v>
          </cell>
          <cell r="AF573">
            <v>833.1899999999996</v>
          </cell>
          <cell r="AG573">
            <v>542.86000000000013</v>
          </cell>
          <cell r="AH573">
            <v>351.46000000000095</v>
          </cell>
          <cell r="AI573">
            <v>138.00000000000364</v>
          </cell>
          <cell r="AJ573">
            <v>-535.25</v>
          </cell>
          <cell r="AK573">
            <v>-624.19999999999709</v>
          </cell>
          <cell r="AL573">
            <v>-523.83999999999833</v>
          </cell>
          <cell r="AM573">
            <v>-1220.4499999999971</v>
          </cell>
          <cell r="AN573">
            <v>-2129.1800000000003</v>
          </cell>
          <cell r="AO573">
            <v>-2011.9699999999975</v>
          </cell>
          <cell r="AP573">
            <v>-1839.4500000000007</v>
          </cell>
          <cell r="AQ573">
            <v>-2102.760000000002</v>
          </cell>
          <cell r="AR573">
            <v>-2134.4700000000012</v>
          </cell>
          <cell r="AS573">
            <v>-2391.6200000000026</v>
          </cell>
          <cell r="AT573">
            <v>-3233.1000000000058</v>
          </cell>
          <cell r="AU573">
            <v>-3124.8699999999953</v>
          </cell>
          <cell r="AV573">
            <v>-3157.8900000000067</v>
          </cell>
          <cell r="AW573">
            <v>-2928.5</v>
          </cell>
          <cell r="AX573">
            <v>-2185.4700000000012</v>
          </cell>
          <cell r="AY573">
            <v>-2201.2400000000016</v>
          </cell>
          <cell r="AZ573">
            <v>-2045.3400000000038</v>
          </cell>
          <cell r="BA573">
            <v>-2393.4400000000023</v>
          </cell>
          <cell r="BB573">
            <v>-2185.4700000000012</v>
          </cell>
          <cell r="BC573">
            <v>-2496.5699999999997</v>
          </cell>
          <cell r="BD573">
            <v>-2534.1399999999994</v>
          </cell>
          <cell r="BE573">
            <v>-2841.1600000000035</v>
          </cell>
          <cell r="BF573">
            <v>-3831.0300000000061</v>
          </cell>
          <cell r="BG573">
            <v>-3699.169999999991</v>
          </cell>
          <cell r="BH573">
            <v>-3738.6399999999994</v>
          </cell>
          <cell r="BI573">
            <v>-3466.8099999999977</v>
          </cell>
          <cell r="BJ573">
            <v>-2596.2800000000061</v>
          </cell>
          <cell r="BK573">
            <v>-2613.4399999999987</v>
          </cell>
          <cell r="BL573">
            <v>-2429.4200000000019</v>
          </cell>
          <cell r="BM573">
            <v>-2393.4400000000023</v>
          </cell>
          <cell r="BN573">
            <v>-2185.4700000000012</v>
          </cell>
          <cell r="BO573">
            <v>-2496.5699999999997</v>
          </cell>
          <cell r="BP573">
            <v>-2534.1399999999994</v>
          </cell>
          <cell r="BQ573">
            <v>-2841.1600000000035</v>
          </cell>
          <cell r="BR573">
            <v>-3831.0300000000061</v>
          </cell>
          <cell r="BS573">
            <v>-3699.169999999991</v>
          </cell>
          <cell r="BT573">
            <v>-3738.6399999999994</v>
          </cell>
          <cell r="BU573">
            <v>-3466.8099999999977</v>
          </cell>
          <cell r="BV573">
            <v>-2596.2800000000061</v>
          </cell>
          <cell r="BW573">
            <v>-2613.4399999999987</v>
          </cell>
          <cell r="BX573">
            <v>-2429.4200000000019</v>
          </cell>
          <cell r="BY573">
            <v>-2393.4400000000023</v>
          </cell>
          <cell r="BZ573">
            <v>-2185.4700000000012</v>
          </cell>
          <cell r="CA573">
            <v>-2496.5699999999997</v>
          </cell>
          <cell r="CB573">
            <v>-2534.1399999999994</v>
          </cell>
        </row>
        <row r="574">
          <cell r="AC574">
            <v>1222.67</v>
          </cell>
          <cell r="AD574">
            <v>1443.62</v>
          </cell>
          <cell r="AE574">
            <v>1677.1099999999997</v>
          </cell>
          <cell r="AF574">
            <v>1289.3200000000002</v>
          </cell>
          <cell r="AG574">
            <v>874.84000000000015</v>
          </cell>
          <cell r="AH574">
            <v>580.55000000000018</v>
          </cell>
          <cell r="AI574">
            <v>299.78000000000065</v>
          </cell>
          <cell r="AJ574">
            <v>-728.89999999999964</v>
          </cell>
          <cell r="AK574">
            <v>-881.67000000000007</v>
          </cell>
          <cell r="AL574">
            <v>-669.48999999999978</v>
          </cell>
          <cell r="AM574">
            <v>-661.48999999999796</v>
          </cell>
          <cell r="AN574">
            <v>-783.74999999999636</v>
          </cell>
          <cell r="AO574">
            <v>-615.94999999999709</v>
          </cell>
          <cell r="AP574">
            <v>-567.43999999999869</v>
          </cell>
          <cell r="AQ574">
            <v>-661.21999999999753</v>
          </cell>
          <cell r="AR574">
            <v>-671.97000000000116</v>
          </cell>
          <cell r="AS574">
            <v>-728.96000000000276</v>
          </cell>
          <cell r="AT574">
            <v>-1055.6099999999933</v>
          </cell>
          <cell r="AU574">
            <v>-1040.7299999999959</v>
          </cell>
          <cell r="AV574">
            <v>-1059.5200000000041</v>
          </cell>
          <cell r="AW574">
            <v>-962.2300000000032</v>
          </cell>
          <cell r="AX574">
            <v>-646.93000000000029</v>
          </cell>
          <cell r="AY574">
            <v>-677.84999999999854</v>
          </cell>
          <cell r="AZ574">
            <v>-625.0199999999968</v>
          </cell>
          <cell r="BA574">
            <v>-855.85000000000218</v>
          </cell>
          <cell r="BB574">
            <v>-781.20000000000073</v>
          </cell>
          <cell r="BC574">
            <v>-904.56000000000131</v>
          </cell>
          <cell r="BD574">
            <v>-920.73999999999796</v>
          </cell>
          <cell r="BE574">
            <v>-1000.9799999999996</v>
          </cell>
          <cell r="BF574">
            <v>-1420.6200000000026</v>
          </cell>
          <cell r="BG574">
            <v>-1389.4699999999939</v>
          </cell>
          <cell r="BH574">
            <v>-1417.0199999999968</v>
          </cell>
          <cell r="BI574">
            <v>-1284.1599999999962</v>
          </cell>
          <cell r="BJ574">
            <v>-887.65999999999622</v>
          </cell>
          <cell r="BK574">
            <v>-927.93000000000393</v>
          </cell>
          <cell r="BL574">
            <v>-859.10000000000582</v>
          </cell>
          <cell r="BM574">
            <v>-855.85000000000218</v>
          </cell>
          <cell r="BN574">
            <v>-781.20000000000073</v>
          </cell>
          <cell r="BO574">
            <v>-904.56000000000131</v>
          </cell>
          <cell r="BP574">
            <v>-920.73999999999796</v>
          </cell>
          <cell r="BQ574">
            <v>-1000.9799999999996</v>
          </cell>
          <cell r="BR574">
            <v>-1420.6200000000026</v>
          </cell>
          <cell r="BS574">
            <v>-1389.4699999999939</v>
          </cell>
          <cell r="BT574">
            <v>-1417.0199999999968</v>
          </cell>
          <cell r="BU574">
            <v>-1284.1599999999962</v>
          </cell>
          <cell r="BV574">
            <v>-887.65999999999622</v>
          </cell>
          <cell r="BW574">
            <v>-927.93000000000393</v>
          </cell>
          <cell r="BX574">
            <v>-859.10000000000582</v>
          </cell>
          <cell r="BY574">
            <v>-855.85000000000218</v>
          </cell>
          <cell r="BZ574">
            <v>-781.20000000000073</v>
          </cell>
          <cell r="CA574">
            <v>-904.56000000000131</v>
          </cell>
          <cell r="CB574">
            <v>-920.73999999999796</v>
          </cell>
        </row>
        <row r="575">
          <cell r="AC575">
            <v>326.75</v>
          </cell>
          <cell r="AD575">
            <v>385.81000000000006</v>
          </cell>
          <cell r="AE575">
            <v>453.42000000000007</v>
          </cell>
          <cell r="AF575">
            <v>357.46999999999991</v>
          </cell>
          <cell r="AG575">
            <v>254.17999999999995</v>
          </cell>
          <cell r="AH575">
            <v>226.93000000000006</v>
          </cell>
          <cell r="AI575">
            <v>183.3900000000001</v>
          </cell>
          <cell r="AJ575">
            <v>-59.240000000000066</v>
          </cell>
          <cell r="AK575">
            <v>-77.170000000000073</v>
          </cell>
          <cell r="AL575">
            <v>-8.2900000000000773</v>
          </cell>
          <cell r="AM575">
            <v>32.019999999999982</v>
          </cell>
          <cell r="AN575">
            <v>31.559999999999945</v>
          </cell>
          <cell r="AO575">
            <v>44.990000000000009</v>
          </cell>
          <cell r="AP575">
            <v>58.239999999999782</v>
          </cell>
          <cell r="AQ575">
            <v>58.009999999999991</v>
          </cell>
          <cell r="AR575">
            <v>48.2199999999998</v>
          </cell>
          <cell r="AS575">
            <v>52.559999999999945</v>
          </cell>
          <cell r="AT575">
            <v>32.569999999999709</v>
          </cell>
          <cell r="AU575">
            <v>14.169999999999618</v>
          </cell>
          <cell r="AV575">
            <v>25.630000000000109</v>
          </cell>
          <cell r="AW575">
            <v>19.519999999999982</v>
          </cell>
          <cell r="AX575">
            <v>48.470000000000027</v>
          </cell>
          <cell r="AY575">
            <v>42.679999999999836</v>
          </cell>
          <cell r="AZ575">
            <v>50.199999999999818</v>
          </cell>
          <cell r="BA575">
            <v>37.049999999999955</v>
          </cell>
          <cell r="BB575">
            <v>57.560000000000173</v>
          </cell>
          <cell r="BC575">
            <v>57.269999999999754</v>
          </cell>
          <cell r="BD575">
            <v>47.539999999999964</v>
          </cell>
          <cell r="BE575">
            <v>51.819999999999709</v>
          </cell>
          <cell r="BF575">
            <v>31.699999999999818</v>
          </cell>
          <cell r="BG575">
            <v>13.400000000000091</v>
          </cell>
          <cell r="BH575">
            <v>24.789999999999964</v>
          </cell>
          <cell r="BI575">
            <v>18.759999999999764</v>
          </cell>
          <cell r="BJ575">
            <v>47.799999999999955</v>
          </cell>
          <cell r="BK575">
            <v>42.029999999999973</v>
          </cell>
          <cell r="BL575">
            <v>49.529999999999745</v>
          </cell>
          <cell r="BM575">
            <v>37.049999999999955</v>
          </cell>
          <cell r="BN575">
            <v>57.560000000000173</v>
          </cell>
          <cell r="BO575">
            <v>57.269999999999754</v>
          </cell>
          <cell r="BP575">
            <v>47.539999999999964</v>
          </cell>
          <cell r="BQ575">
            <v>51.819999999999709</v>
          </cell>
          <cell r="BR575">
            <v>31.699999999999818</v>
          </cell>
          <cell r="BS575">
            <v>13.400000000000091</v>
          </cell>
          <cell r="BT575">
            <v>24.789999999999964</v>
          </cell>
          <cell r="BU575">
            <v>18.759999999999764</v>
          </cell>
          <cell r="BV575">
            <v>47.799999999999955</v>
          </cell>
          <cell r="BW575">
            <v>42.029999999999973</v>
          </cell>
          <cell r="BX575">
            <v>49.529999999999745</v>
          </cell>
          <cell r="BY575">
            <v>37.049999999999955</v>
          </cell>
          <cell r="BZ575">
            <v>57.560000000000173</v>
          </cell>
          <cell r="CA575">
            <v>57.269999999999754</v>
          </cell>
          <cell r="CB575">
            <v>47.539999999999964</v>
          </cell>
        </row>
      </sheetData>
      <sheetData sheetId="5">
        <row r="436">
          <cell r="AC436">
            <v>-92.430000000007567</v>
          </cell>
          <cell r="AD436">
            <v>-407.36999999999534</v>
          </cell>
          <cell r="AE436">
            <v>-755.53000000001339</v>
          </cell>
          <cell r="AF436">
            <v>-1028.5599999999977</v>
          </cell>
          <cell r="AG436">
            <v>-1367.0299999999988</v>
          </cell>
          <cell r="AH436">
            <v>-2115.6800000000221</v>
          </cell>
          <cell r="AI436">
            <v>-2901.1700000000419</v>
          </cell>
          <cell r="AJ436">
            <v>-3225.2200000000012</v>
          </cell>
          <cell r="AK436">
            <v>-3632.6600000000035</v>
          </cell>
          <cell r="AL436">
            <v>-2919.7300000000105</v>
          </cell>
          <cell r="AM436">
            <v>-3452.0500000000029</v>
          </cell>
          <cell r="AN436">
            <v>-4932.4200000000128</v>
          </cell>
          <cell r="AO436">
            <v>-4176.9400000000023</v>
          </cell>
          <cell r="AP436">
            <v>-3940.5900000000256</v>
          </cell>
          <cell r="AQ436">
            <v>-3713.9999999999854</v>
          </cell>
          <cell r="AR436">
            <v>-3838.320000000007</v>
          </cell>
          <cell r="AS436">
            <v>-3870.6200000000244</v>
          </cell>
          <cell r="AT436">
            <v>-4141.1900000000023</v>
          </cell>
          <cell r="AU436">
            <v>-4214.8600000000151</v>
          </cell>
          <cell r="AV436">
            <v>-4385.3999999999942</v>
          </cell>
          <cell r="AW436">
            <v>-4941.160000000018</v>
          </cell>
          <cell r="AX436">
            <v>-3405.3500000000058</v>
          </cell>
          <cell r="AY436">
            <v>-3741.5200000000041</v>
          </cell>
          <cell r="AZ436">
            <v>-4616.6700000000128</v>
          </cell>
          <cell r="BA436">
            <v>-2.9999999984283932E-2</v>
          </cell>
          <cell r="BB436">
            <v>0</v>
          </cell>
          <cell r="BC436">
            <v>9.9999999947613105E-3</v>
          </cell>
          <cell r="BD436">
            <v>0</v>
          </cell>
          <cell r="BE436">
            <v>0</v>
          </cell>
          <cell r="BF436">
            <v>0</v>
          </cell>
          <cell r="BG436">
            <v>0</v>
          </cell>
          <cell r="BH436">
            <v>0</v>
          </cell>
          <cell r="BI436">
            <v>-9.9999999947613105E-3</v>
          </cell>
          <cell r="BJ436">
            <v>0</v>
          </cell>
          <cell r="BK436">
            <v>9.9999999947613105E-3</v>
          </cell>
          <cell r="BL436">
            <v>0</v>
          </cell>
          <cell r="BM436">
            <v>-2.9999999984283932E-2</v>
          </cell>
          <cell r="BN436">
            <v>0</v>
          </cell>
          <cell r="BO436">
            <v>9.9999999947613105E-3</v>
          </cell>
          <cell r="BP436">
            <v>0</v>
          </cell>
          <cell r="BQ436">
            <v>0</v>
          </cell>
          <cell r="BR436">
            <v>0</v>
          </cell>
          <cell r="BS436">
            <v>0</v>
          </cell>
          <cell r="BT436">
            <v>0</v>
          </cell>
          <cell r="BU436">
            <v>-9.9999999947613105E-3</v>
          </cell>
          <cell r="BV436">
            <v>0</v>
          </cell>
          <cell r="BW436">
            <v>9.9999999947613105E-3</v>
          </cell>
          <cell r="BX436">
            <v>0</v>
          </cell>
          <cell r="BY436">
            <v>-2.9999999984283932E-2</v>
          </cell>
          <cell r="BZ436">
            <v>0</v>
          </cell>
          <cell r="CA436">
            <v>9.9999999947613105E-3</v>
          </cell>
          <cell r="CB436">
            <v>0</v>
          </cell>
        </row>
        <row r="437">
          <cell r="AC437">
            <v>-1.9200000000000728</v>
          </cell>
          <cell r="AD437">
            <v>-5.4299999999998363</v>
          </cell>
          <cell r="AE437">
            <v>-2.6599999999998545</v>
          </cell>
          <cell r="AF437">
            <v>-42.570000000000164</v>
          </cell>
          <cell r="AG437">
            <v>-100.59000000000015</v>
          </cell>
          <cell r="AH437">
            <v>-126.35999999999967</v>
          </cell>
          <cell r="AI437">
            <v>-139.14999999999964</v>
          </cell>
          <cell r="AJ437">
            <v>-137.53000000000065</v>
          </cell>
          <cell r="AK437">
            <v>-107.73999999999978</v>
          </cell>
          <cell r="AL437">
            <v>-99.329999999998108</v>
          </cell>
          <cell r="AM437">
            <v>-110.34999999999854</v>
          </cell>
          <cell r="AN437">
            <v>-160.24999999999636</v>
          </cell>
          <cell r="AO437">
            <v>1264.1699999999964</v>
          </cell>
          <cell r="AP437">
            <v>1121.3899999999994</v>
          </cell>
          <cell r="AQ437">
            <v>1272.75</v>
          </cell>
          <cell r="AR437">
            <v>1274.6900000000005</v>
          </cell>
          <cell r="AS437">
            <v>1407.2000000000044</v>
          </cell>
          <cell r="AT437">
            <v>1753.3199999999997</v>
          </cell>
          <cell r="AU437">
            <v>1674.4099999999962</v>
          </cell>
          <cell r="AV437">
            <v>1680.7599999999948</v>
          </cell>
          <cell r="AW437">
            <v>1556.5399999999972</v>
          </cell>
          <cell r="AX437">
            <v>1327.4599999999973</v>
          </cell>
          <cell r="AY437">
            <v>1309.0500000000011</v>
          </cell>
          <cell r="AZ437">
            <v>1234.6100000000024</v>
          </cell>
          <cell r="BA437">
            <v>0</v>
          </cell>
          <cell r="BB437">
            <v>1.0000000000218279E-2</v>
          </cell>
          <cell r="BC437">
            <v>0</v>
          </cell>
          <cell r="BD437">
            <v>0</v>
          </cell>
          <cell r="BE437">
            <v>0</v>
          </cell>
          <cell r="BF437">
            <v>-1.0000000002037268E-2</v>
          </cell>
          <cell r="BG437">
            <v>0</v>
          </cell>
          <cell r="BH437">
            <v>9.9999999983992893E-3</v>
          </cell>
          <cell r="BI437">
            <v>0</v>
          </cell>
          <cell r="BJ437">
            <v>9.9999999983992893E-3</v>
          </cell>
          <cell r="BK437">
            <v>0</v>
          </cell>
          <cell r="BL437">
            <v>0</v>
          </cell>
          <cell r="BM437">
            <v>0</v>
          </cell>
          <cell r="BN437">
            <v>1.0000000000218279E-2</v>
          </cell>
          <cell r="BO437">
            <v>0</v>
          </cell>
          <cell r="BP437">
            <v>0</v>
          </cell>
          <cell r="BQ437">
            <v>0</v>
          </cell>
          <cell r="BR437">
            <v>-1.0000000002037268E-2</v>
          </cell>
          <cell r="BS437">
            <v>0</v>
          </cell>
          <cell r="BT437">
            <v>9.9999999983992893E-3</v>
          </cell>
          <cell r="BU437">
            <v>0</v>
          </cell>
          <cell r="BV437">
            <v>9.9999999983992893E-3</v>
          </cell>
          <cell r="BW437">
            <v>0</v>
          </cell>
          <cell r="BX437">
            <v>0</v>
          </cell>
          <cell r="BY437">
            <v>0</v>
          </cell>
          <cell r="BZ437">
            <v>1.0000000000218279E-2</v>
          </cell>
          <cell r="CA437">
            <v>0</v>
          </cell>
          <cell r="CB437">
            <v>0</v>
          </cell>
        </row>
        <row r="438">
          <cell r="AC438">
            <v>0</v>
          </cell>
          <cell r="AD438">
            <v>-5.9899999999997817</v>
          </cell>
          <cell r="AE438">
            <v>-30.840000000000146</v>
          </cell>
          <cell r="AF438">
            <v>-50.600000000000364</v>
          </cell>
          <cell r="AG438">
            <v>-69.019999999999527</v>
          </cell>
          <cell r="AH438">
            <v>-126.96000000000095</v>
          </cell>
          <cell r="AI438">
            <v>-161.43000000000029</v>
          </cell>
          <cell r="AJ438">
            <v>-193.21999999999935</v>
          </cell>
          <cell r="AK438">
            <v>-206.46000000000276</v>
          </cell>
          <cell r="AL438">
            <v>-178.61000000000058</v>
          </cell>
          <cell r="AM438">
            <v>-385.52999999999884</v>
          </cell>
          <cell r="AN438">
            <v>-650.53999999999724</v>
          </cell>
          <cell r="AO438">
            <v>3855.8999999999978</v>
          </cell>
          <cell r="AP438">
            <v>3522.5799999999981</v>
          </cell>
          <cell r="AQ438">
            <v>4008.9399999999987</v>
          </cell>
          <cell r="AR438">
            <v>4068.6200000000026</v>
          </cell>
          <cell r="AS438">
            <v>4576.3499999999949</v>
          </cell>
          <cell r="AT438">
            <v>6086.93</v>
          </cell>
          <cell r="AU438">
            <v>5846.3100000000049</v>
          </cell>
          <cell r="AV438">
            <v>5912.010000000002</v>
          </cell>
          <cell r="AW438">
            <v>5480.0299999999988</v>
          </cell>
          <cell r="AX438">
            <v>4182.0099999999984</v>
          </cell>
          <cell r="AY438">
            <v>4196.2100000000028</v>
          </cell>
          <cell r="AZ438">
            <v>3909.9900000000016</v>
          </cell>
          <cell r="BA438">
            <v>-9.9999999983992893E-3</v>
          </cell>
          <cell r="BB438">
            <v>-1.0000000002037268E-2</v>
          </cell>
          <cell r="BC438">
            <v>-1.0000000002037268E-2</v>
          </cell>
          <cell r="BD438">
            <v>-9.9999999983992893E-3</v>
          </cell>
          <cell r="BE438">
            <v>0</v>
          </cell>
          <cell r="BF438">
            <v>0</v>
          </cell>
          <cell r="BG438">
            <v>0</v>
          </cell>
          <cell r="BH438">
            <v>0</v>
          </cell>
          <cell r="BI438">
            <v>-1.0000000002037268E-2</v>
          </cell>
          <cell r="BJ438">
            <v>0</v>
          </cell>
          <cell r="BK438">
            <v>0</v>
          </cell>
          <cell r="BL438">
            <v>0</v>
          </cell>
          <cell r="BM438">
            <v>-9.9999999983992893E-3</v>
          </cell>
          <cell r="BN438">
            <v>-1.0000000002037268E-2</v>
          </cell>
          <cell r="BO438">
            <v>-1.0000000002037268E-2</v>
          </cell>
          <cell r="BP438">
            <v>-9.9999999983992893E-3</v>
          </cell>
          <cell r="BQ438">
            <v>0</v>
          </cell>
          <cell r="BR438">
            <v>0</v>
          </cell>
          <cell r="BS438">
            <v>0</v>
          </cell>
          <cell r="BT438">
            <v>0</v>
          </cell>
          <cell r="BU438">
            <v>-1.0000000002037268E-2</v>
          </cell>
          <cell r="BV438">
            <v>0</v>
          </cell>
          <cell r="BW438">
            <v>0</v>
          </cell>
          <cell r="BX438">
            <v>0</v>
          </cell>
          <cell r="BY438">
            <v>-9.9999999983992893E-3</v>
          </cell>
          <cell r="BZ438">
            <v>-1.0000000002037268E-2</v>
          </cell>
          <cell r="CA438">
            <v>-1.0000000002037268E-2</v>
          </cell>
          <cell r="CB438">
            <v>-9.9999999983992893E-3</v>
          </cell>
        </row>
        <row r="439">
          <cell r="AC439">
            <v>0</v>
          </cell>
          <cell r="AD439">
            <v>0</v>
          </cell>
          <cell r="AE439">
            <v>-5.8100000000004002</v>
          </cell>
          <cell r="AF439">
            <v>-14.360000000000127</v>
          </cell>
          <cell r="AG439">
            <v>-22.700000000000273</v>
          </cell>
          <cell r="AH439">
            <v>-80.960000000000946</v>
          </cell>
          <cell r="AI439">
            <v>-118.86000000000058</v>
          </cell>
          <cell r="AJ439">
            <v>-156.97000000000116</v>
          </cell>
          <cell r="AK439">
            <v>-181.92000000000007</v>
          </cell>
          <cell r="AL439">
            <v>-153.04999999999927</v>
          </cell>
          <cell r="AM439">
            <v>-148.18000000000029</v>
          </cell>
          <cell r="AN439">
            <v>-197.09999999999854</v>
          </cell>
          <cell r="AO439">
            <v>2370.1899999999987</v>
          </cell>
          <cell r="AP439">
            <v>2176.010000000002</v>
          </cell>
          <cell r="AQ439">
            <v>2477.1800000000003</v>
          </cell>
          <cell r="AR439">
            <v>2532.4900000000052</v>
          </cell>
          <cell r="AS439">
            <v>2769.3400000000038</v>
          </cell>
          <cell r="AT439">
            <v>3715.7799999999988</v>
          </cell>
          <cell r="AU439">
            <v>3550.2099999999991</v>
          </cell>
          <cell r="AV439">
            <v>3639.3300000000017</v>
          </cell>
          <cell r="AW439">
            <v>3277.2100000000064</v>
          </cell>
          <cell r="AX439">
            <v>2450.75</v>
          </cell>
          <cell r="AY439">
            <v>2545.7299999999959</v>
          </cell>
          <cell r="AZ439">
            <v>2382.9099999999962</v>
          </cell>
          <cell r="BA439">
            <v>-1.0000000002037268E-2</v>
          </cell>
          <cell r="BB439">
            <v>-9.9999999947613105E-3</v>
          </cell>
          <cell r="BC439">
            <v>1.0000000002037268E-2</v>
          </cell>
          <cell r="BD439">
            <v>0</v>
          </cell>
          <cell r="BE439">
            <v>1.0000000002037268E-2</v>
          </cell>
          <cell r="BF439">
            <v>0</v>
          </cell>
          <cell r="BG439">
            <v>0</v>
          </cell>
          <cell r="BH439">
            <v>1.0000000002037268E-2</v>
          </cell>
          <cell r="BI439">
            <v>0</v>
          </cell>
          <cell r="BJ439">
            <v>-1.0000000002037268E-2</v>
          </cell>
          <cell r="BK439">
            <v>0</v>
          </cell>
          <cell r="BL439">
            <v>0</v>
          </cell>
          <cell r="BM439">
            <v>-1.0000000002037268E-2</v>
          </cell>
          <cell r="BN439">
            <v>-9.9999999947613105E-3</v>
          </cell>
          <cell r="BO439">
            <v>1.0000000002037268E-2</v>
          </cell>
          <cell r="BP439">
            <v>0</v>
          </cell>
          <cell r="BQ439">
            <v>1.0000000002037268E-2</v>
          </cell>
          <cell r="BR439">
            <v>0</v>
          </cell>
          <cell r="BS439">
            <v>0</v>
          </cell>
          <cell r="BT439">
            <v>1.0000000002037268E-2</v>
          </cell>
          <cell r="BU439">
            <v>0</v>
          </cell>
          <cell r="BV439">
            <v>-1.0000000002037268E-2</v>
          </cell>
          <cell r="BW439">
            <v>0</v>
          </cell>
          <cell r="BX439">
            <v>0</v>
          </cell>
          <cell r="BY439">
            <v>-1.0000000002037268E-2</v>
          </cell>
          <cell r="BZ439">
            <v>-9.9999999947613105E-3</v>
          </cell>
          <cell r="CA439">
            <v>1.0000000002037268E-2</v>
          </cell>
          <cell r="CB439">
            <v>0</v>
          </cell>
        </row>
        <row r="440">
          <cell r="AC440">
            <v>0</v>
          </cell>
          <cell r="AD440">
            <v>0</v>
          </cell>
          <cell r="AE440">
            <v>0</v>
          </cell>
          <cell r="AF440">
            <v>0</v>
          </cell>
          <cell r="AG440">
            <v>0</v>
          </cell>
          <cell r="AH440">
            <v>0</v>
          </cell>
          <cell r="AI440">
            <v>0</v>
          </cell>
          <cell r="AJ440">
            <v>0</v>
          </cell>
          <cell r="AK440">
            <v>0</v>
          </cell>
          <cell r="AL440">
            <v>9.57000000000005</v>
          </cell>
          <cell r="AM440">
            <v>21.190000000000055</v>
          </cell>
          <cell r="AN440">
            <v>20.889999999999873</v>
          </cell>
          <cell r="AO440">
            <v>6.2000000000000455</v>
          </cell>
          <cell r="AP440">
            <v>6.9700000000000273</v>
          </cell>
          <cell r="AQ440">
            <v>7.6099999999999</v>
          </cell>
          <cell r="AR440">
            <v>6.9600000000000364</v>
          </cell>
          <cell r="AS440">
            <v>7.4199999999998454</v>
          </cell>
          <cell r="AT440">
            <v>8.7600000000002183</v>
          </cell>
          <cell r="AU440">
            <v>7.7800000000002001</v>
          </cell>
          <cell r="AV440">
            <v>8.6199999999998909</v>
          </cell>
          <cell r="AW440">
            <v>7.7300000000000182</v>
          </cell>
          <cell r="AX440">
            <v>6.819999999999709</v>
          </cell>
          <cell r="AY440">
            <v>6.6600000000000819</v>
          </cell>
          <cell r="AZ440">
            <v>6.7699999999999818</v>
          </cell>
          <cell r="BA440">
            <v>0</v>
          </cell>
          <cell r="BB440">
            <v>0</v>
          </cell>
          <cell r="BC440">
            <v>-9.9999999999909051E-3</v>
          </cell>
          <cell r="BD440">
            <v>0</v>
          </cell>
          <cell r="BE440">
            <v>0</v>
          </cell>
          <cell r="BF440">
            <v>0</v>
          </cell>
          <cell r="BG440">
            <v>0</v>
          </cell>
          <cell r="BH440">
            <v>-9.9999999997635314E-3</v>
          </cell>
          <cell r="BI440">
            <v>0</v>
          </cell>
          <cell r="BJ440">
            <v>9.9999999997635314E-3</v>
          </cell>
          <cell r="BK440">
            <v>-9.9999999999909051E-3</v>
          </cell>
          <cell r="BL440">
            <v>-1.999999999998181E-2</v>
          </cell>
          <cell r="BM440">
            <v>0</v>
          </cell>
          <cell r="BN440">
            <v>0</v>
          </cell>
          <cell r="BO440">
            <v>-9.9999999999909051E-3</v>
          </cell>
          <cell r="BP440">
            <v>0</v>
          </cell>
          <cell r="BQ440">
            <v>0</v>
          </cell>
          <cell r="BR440">
            <v>0</v>
          </cell>
          <cell r="BS440">
            <v>0</v>
          </cell>
          <cell r="BT440">
            <v>-9.9999999997635314E-3</v>
          </cell>
          <cell r="BU440">
            <v>0</v>
          </cell>
          <cell r="BV440">
            <v>9.9999999997635314E-3</v>
          </cell>
          <cell r="BW440">
            <v>-9.9999999999909051E-3</v>
          </cell>
          <cell r="BX440">
            <v>-1.999999999998181E-2</v>
          </cell>
          <cell r="BY440">
            <v>0</v>
          </cell>
          <cell r="BZ440">
            <v>0</v>
          </cell>
          <cell r="CA440">
            <v>-9.9999999999909051E-3</v>
          </cell>
          <cell r="CB440">
            <v>0</v>
          </cell>
        </row>
      </sheetData>
      <sheetData sheetId="6">
        <row r="55">
          <cell r="AA55">
            <v>-15.5</v>
          </cell>
          <cell r="AB55">
            <v>-40.86</v>
          </cell>
          <cell r="AC55">
            <v>-61.87</v>
          </cell>
          <cell r="AD55">
            <v>-96.46</v>
          </cell>
          <cell r="AE55">
            <v>-135.86000000000001</v>
          </cell>
          <cell r="AF55">
            <v>-225.12</v>
          </cell>
          <cell r="AG55">
            <v>-362.39</v>
          </cell>
          <cell r="AH55">
            <v>-487.39</v>
          </cell>
          <cell r="AI55">
            <v>-561.4</v>
          </cell>
          <cell r="AJ55">
            <v>-636.86</v>
          </cell>
          <cell r="AK55">
            <v>-695.18</v>
          </cell>
          <cell r="AL55">
            <v>-719.05</v>
          </cell>
          <cell r="AM55">
            <v>-781.68</v>
          </cell>
          <cell r="AN55">
            <v>-832.33</v>
          </cell>
          <cell r="AO55">
            <v>-878.1</v>
          </cell>
          <cell r="AP55">
            <v>-1013.22</v>
          </cell>
          <cell r="AQ55">
            <v>-1104.54</v>
          </cell>
          <cell r="AR55">
            <v>-1136.48</v>
          </cell>
          <cell r="AS55">
            <v>-1240.92</v>
          </cell>
          <cell r="AT55">
            <v>-1410.63</v>
          </cell>
          <cell r="AU55">
            <v>-1485.46</v>
          </cell>
          <cell r="AV55">
            <v>-1564.55</v>
          </cell>
          <cell r="AW55">
            <v>-1711.8</v>
          </cell>
          <cell r="AX55">
            <v>-1802.65</v>
          </cell>
          <cell r="AY55">
            <v>-1856.73</v>
          </cell>
          <cell r="AZ55">
            <v>-1718.22</v>
          </cell>
          <cell r="BA55">
            <v>-1852.98</v>
          </cell>
          <cell r="BB55">
            <v>-2104.42</v>
          </cell>
          <cell r="BC55">
            <v>-2168.79</v>
          </cell>
          <cell r="BD55">
            <v>-2227.27</v>
          </cell>
          <cell r="BE55">
            <v>-2357.1999999999998</v>
          </cell>
          <cell r="BF55">
            <v>-2587.9499999999998</v>
          </cell>
          <cell r="BG55">
            <v>-2671.6</v>
          </cell>
          <cell r="BH55">
            <v>-2813.54</v>
          </cell>
          <cell r="BI55">
            <v>-2915.18</v>
          </cell>
          <cell r="BJ55">
            <v>-2885.69</v>
          </cell>
          <cell r="BK55">
            <v>-2784.45</v>
          </cell>
          <cell r="BL55">
            <v>-2314.15</v>
          </cell>
          <cell r="BM55">
            <v>-2566.12</v>
          </cell>
          <cell r="BN55">
            <v>-2430.9499999999998</v>
          </cell>
          <cell r="BO55">
            <v>-2318.75</v>
          </cell>
          <cell r="BP55">
            <v>-2502.27</v>
          </cell>
          <cell r="BQ55">
            <v>-2647.87</v>
          </cell>
          <cell r="BR55">
            <v>-2939.42</v>
          </cell>
          <cell r="BS55">
            <v>-3344.43</v>
          </cell>
          <cell r="BT55">
            <v>-3556.5</v>
          </cell>
          <cell r="BU55">
            <v>-3634.91</v>
          </cell>
          <cell r="BV55">
            <v>-3456.18</v>
          </cell>
          <cell r="BW55">
            <v>-2849.1</v>
          </cell>
          <cell r="BX55">
            <v>-2390.64</v>
          </cell>
          <cell r="BY55">
            <v>-2500.7800000000002</v>
          </cell>
          <cell r="BZ55">
            <v>-2887.16</v>
          </cell>
        </row>
        <row r="56">
          <cell r="AA56">
            <v>1.06</v>
          </cell>
          <cell r="AB56">
            <v>3.32</v>
          </cell>
          <cell r="AC56">
            <v>6.02</v>
          </cell>
          <cell r="AD56">
            <v>8.23</v>
          </cell>
          <cell r="AE56">
            <v>7.81</v>
          </cell>
          <cell r="AF56">
            <v>7.13</v>
          </cell>
          <cell r="AG56">
            <v>4.38</v>
          </cell>
          <cell r="AH56">
            <v>-0.35</v>
          </cell>
          <cell r="AI56">
            <v>-4.37</v>
          </cell>
          <cell r="AJ56">
            <v>-6.6</v>
          </cell>
          <cell r="AK56">
            <v>-8.83</v>
          </cell>
          <cell r="AL56">
            <v>-10.98</v>
          </cell>
          <cell r="AM56">
            <v>-9.58</v>
          </cell>
          <cell r="AN56">
            <v>-4.25</v>
          </cell>
          <cell r="AO56">
            <v>0.83</v>
          </cell>
          <cell r="AP56">
            <v>6.19</v>
          </cell>
          <cell r="AQ56">
            <v>12.21</v>
          </cell>
          <cell r="AR56">
            <v>18.18</v>
          </cell>
          <cell r="AS56">
            <v>20.25</v>
          </cell>
          <cell r="AT56">
            <v>18.71</v>
          </cell>
          <cell r="AU56">
            <v>20.68</v>
          </cell>
          <cell r="AV56">
            <v>26.52</v>
          </cell>
          <cell r="AW56">
            <v>33.590000000000003</v>
          </cell>
          <cell r="AX56">
            <v>39.450000000000003</v>
          </cell>
          <cell r="AY56">
            <v>41.15</v>
          </cell>
          <cell r="AZ56">
            <v>35.81</v>
          </cell>
          <cell r="BA56">
            <v>36.270000000000003</v>
          </cell>
          <cell r="BB56">
            <v>38.619999999999997</v>
          </cell>
          <cell r="BC56">
            <v>37.14</v>
          </cell>
          <cell r="BD56">
            <v>34.93</v>
          </cell>
          <cell r="BE56">
            <v>27.9</v>
          </cell>
          <cell r="BF56">
            <v>16.61</v>
          </cell>
          <cell r="BG56">
            <v>9.4600000000000009</v>
          </cell>
          <cell r="BH56">
            <v>8.3699999999999992</v>
          </cell>
          <cell r="BI56">
            <v>6.77</v>
          </cell>
          <cell r="BJ56">
            <v>4.93</v>
          </cell>
          <cell r="BK56">
            <v>3.16</v>
          </cell>
          <cell r="BL56">
            <v>1.41</v>
          </cell>
          <cell r="BM56">
            <v>0.23</v>
          </cell>
          <cell r="BN56">
            <v>-0.95</v>
          </cell>
          <cell r="BO56">
            <v>-2.14</v>
          </cell>
          <cell r="BP56">
            <v>-3.86</v>
          </cell>
          <cell r="BQ56">
            <v>-10.039999999999999</v>
          </cell>
          <cell r="BR56">
            <v>-21.26</v>
          </cell>
          <cell r="BS56">
            <v>-30.03</v>
          </cell>
          <cell r="BT56">
            <v>-32.82</v>
          </cell>
          <cell r="BU56">
            <v>-34.700000000000003</v>
          </cell>
          <cell r="BV56">
            <v>-33.97</v>
          </cell>
          <cell r="BW56">
            <v>-28.79</v>
          </cell>
          <cell r="BX56">
            <v>-24.83</v>
          </cell>
          <cell r="BY56">
            <v>-26.68</v>
          </cell>
          <cell r="BZ56">
            <v>-31.68</v>
          </cell>
        </row>
        <row r="57">
          <cell r="AA57">
            <v>2.16</v>
          </cell>
          <cell r="AB57">
            <v>2.0299999999999998</v>
          </cell>
          <cell r="AC57">
            <v>2.78</v>
          </cell>
          <cell r="AD57">
            <v>8.08</v>
          </cell>
          <cell r="AE57">
            <v>10.63</v>
          </cell>
          <cell r="AF57">
            <v>13.11</v>
          </cell>
          <cell r="AG57">
            <v>13.7</v>
          </cell>
          <cell r="AH57">
            <v>11.75</v>
          </cell>
          <cell r="AI57">
            <v>7.47</v>
          </cell>
          <cell r="AJ57">
            <v>3.62</v>
          </cell>
          <cell r="AK57">
            <v>-2.79</v>
          </cell>
          <cell r="AL57">
            <v>-13.97</v>
          </cell>
          <cell r="AM57">
            <v>-16.05</v>
          </cell>
          <cell r="AN57">
            <v>-6.93</v>
          </cell>
          <cell r="AO57">
            <v>1.91</v>
          </cell>
          <cell r="AP57">
            <v>11.52</v>
          </cell>
          <cell r="AQ57">
            <v>22.28</v>
          </cell>
          <cell r="AR57">
            <v>33.5</v>
          </cell>
          <cell r="AS57">
            <v>46.95</v>
          </cell>
          <cell r="AT57">
            <v>62.65</v>
          </cell>
          <cell r="AU57">
            <v>74.19</v>
          </cell>
          <cell r="AV57">
            <v>84.45</v>
          </cell>
          <cell r="AW57">
            <v>98.77</v>
          </cell>
          <cell r="AX57">
            <v>109.42</v>
          </cell>
          <cell r="AY57">
            <v>107.36</v>
          </cell>
          <cell r="AZ57">
            <v>86.31</v>
          </cell>
          <cell r="BA57">
            <v>79.510000000000005</v>
          </cell>
          <cell r="BB57">
            <v>75.66</v>
          </cell>
          <cell r="BC57">
            <v>62.08</v>
          </cell>
          <cell r="BD57">
            <v>44.54</v>
          </cell>
          <cell r="BE57">
            <v>25.49</v>
          </cell>
          <cell r="BF57">
            <v>6.28</v>
          </cell>
          <cell r="BG57">
            <v>-13.56</v>
          </cell>
          <cell r="BH57">
            <v>-29.09</v>
          </cell>
          <cell r="BI57">
            <v>-44.12</v>
          </cell>
          <cell r="BJ57">
            <v>-56.46</v>
          </cell>
          <cell r="BK57">
            <v>-65.78</v>
          </cell>
          <cell r="BL57">
            <v>-63.27</v>
          </cell>
          <cell r="BM57">
            <v>-79.61</v>
          </cell>
          <cell r="BN57">
            <v>-83.81</v>
          </cell>
          <cell r="BO57">
            <v>-88.96</v>
          </cell>
          <cell r="BP57">
            <v>-107.57</v>
          </cell>
          <cell r="BQ57">
            <v>-126.45</v>
          </cell>
          <cell r="BR57">
            <v>-153.06</v>
          </cell>
          <cell r="BS57">
            <v>-187.77</v>
          </cell>
          <cell r="BT57">
            <v>-210.85</v>
          </cell>
          <cell r="BU57">
            <v>-226</v>
          </cell>
          <cell r="BV57">
            <v>-223.95</v>
          </cell>
          <cell r="BW57">
            <v>-191.73</v>
          </cell>
          <cell r="BX57">
            <v>-166.72</v>
          </cell>
          <cell r="BY57">
            <v>-180.59</v>
          </cell>
          <cell r="BZ57">
            <v>-216.12</v>
          </cell>
        </row>
        <row r="58">
          <cell r="AA58">
            <v>3.44</v>
          </cell>
          <cell r="AB58">
            <v>10.97</v>
          </cell>
          <cell r="AC58">
            <v>19.79</v>
          </cell>
          <cell r="AD58">
            <v>28.26</v>
          </cell>
          <cell r="AE58">
            <v>31.33</v>
          </cell>
          <cell r="AF58">
            <v>36.72</v>
          </cell>
          <cell r="AG58">
            <v>38.69</v>
          </cell>
          <cell r="AH58">
            <v>37.11</v>
          </cell>
          <cell r="AI58">
            <v>31.79</v>
          </cell>
          <cell r="AJ58">
            <v>27.88</v>
          </cell>
          <cell r="AK58">
            <v>23.38</v>
          </cell>
          <cell r="AL58">
            <v>17.16</v>
          </cell>
          <cell r="AM58">
            <v>18.77</v>
          </cell>
          <cell r="AN58">
            <v>26.63</v>
          </cell>
          <cell r="AO58">
            <v>34.22</v>
          </cell>
          <cell r="AP58">
            <v>45.84</v>
          </cell>
          <cell r="AQ58">
            <v>56.61</v>
          </cell>
          <cell r="AR58">
            <v>65.33</v>
          </cell>
          <cell r="AS58">
            <v>77.69</v>
          </cell>
          <cell r="AT58">
            <v>93.62</v>
          </cell>
          <cell r="AU58">
            <v>103.38</v>
          </cell>
          <cell r="AV58">
            <v>112.79</v>
          </cell>
          <cell r="AW58">
            <v>127.73</v>
          </cell>
          <cell r="AX58">
            <v>138.01</v>
          </cell>
          <cell r="AY58">
            <v>139.38999999999999</v>
          </cell>
          <cell r="AZ58">
            <v>121.88</v>
          </cell>
          <cell r="BA58">
            <v>124.08</v>
          </cell>
          <cell r="BB58">
            <v>133.03</v>
          </cell>
          <cell r="BC58">
            <v>128.68</v>
          </cell>
          <cell r="BD58">
            <v>121.81</v>
          </cell>
          <cell r="BE58">
            <v>116.39</v>
          </cell>
          <cell r="BF58">
            <v>114.74</v>
          </cell>
          <cell r="BG58">
            <v>106.79</v>
          </cell>
          <cell r="BH58">
            <v>104.63</v>
          </cell>
          <cell r="BI58">
            <v>101.3</v>
          </cell>
          <cell r="BJ58">
            <v>93.44</v>
          </cell>
          <cell r="BK58">
            <v>84.01</v>
          </cell>
          <cell r="BL58">
            <v>65.150000000000006</v>
          </cell>
          <cell r="BM58">
            <v>67.150000000000006</v>
          </cell>
          <cell r="BN58">
            <v>59.13</v>
          </cell>
          <cell r="BO58">
            <v>51.71</v>
          </cell>
          <cell r="BP58">
            <v>49.67</v>
          </cell>
          <cell r="BQ58">
            <v>45.18</v>
          </cell>
          <cell r="BR58">
            <v>42.33</v>
          </cell>
          <cell r="BS58">
            <v>40.15</v>
          </cell>
          <cell r="BT58">
            <v>36.869999999999997</v>
          </cell>
          <cell r="BU58">
            <v>32.49</v>
          </cell>
          <cell r="BV58">
            <v>26.12</v>
          </cell>
          <cell r="BW58">
            <v>17.89</v>
          </cell>
          <cell r="BX58">
            <v>12.18</v>
          </cell>
          <cell r="BY58">
            <v>9.77</v>
          </cell>
          <cell r="BZ58">
            <v>7.63</v>
          </cell>
        </row>
        <row r="59">
          <cell r="AA59">
            <v>0.92</v>
          </cell>
          <cell r="AB59">
            <v>2.93</v>
          </cell>
          <cell r="AC59">
            <v>5.31</v>
          </cell>
          <cell r="AD59">
            <v>7.64</v>
          </cell>
          <cell r="AE59">
            <v>8.56</v>
          </cell>
          <cell r="AF59">
            <v>10.34</v>
          </cell>
          <cell r="AG59">
            <v>11.49</v>
          </cell>
          <cell r="AH59">
            <v>11.94</v>
          </cell>
          <cell r="AI59">
            <v>11.58</v>
          </cell>
          <cell r="AJ59">
            <v>11.78</v>
          </cell>
          <cell r="AK59">
            <v>11.95</v>
          </cell>
          <cell r="AL59">
            <v>11.42</v>
          </cell>
          <cell r="AM59">
            <v>11.44</v>
          </cell>
          <cell r="AN59">
            <v>11.45</v>
          </cell>
          <cell r="AO59">
            <v>11.48</v>
          </cell>
          <cell r="AP59">
            <v>12.67</v>
          </cell>
          <cell r="AQ59">
            <v>13.17</v>
          </cell>
          <cell r="AR59">
            <v>12.78</v>
          </cell>
          <cell r="AS59">
            <v>12.89</v>
          </cell>
          <cell r="AT59">
            <v>13.54</v>
          </cell>
          <cell r="AU59">
            <v>13.35</v>
          </cell>
          <cell r="AV59">
            <v>13.59</v>
          </cell>
          <cell r="AW59">
            <v>14.54</v>
          </cell>
          <cell r="AX59">
            <v>14.93</v>
          </cell>
          <cell r="AY59">
            <v>15.07</v>
          </cell>
          <cell r="AZ59">
            <v>13.8</v>
          </cell>
          <cell r="BA59">
            <v>14.78</v>
          </cell>
          <cell r="BB59">
            <v>16.649999999999999</v>
          </cell>
          <cell r="BC59">
            <v>16.989999999999998</v>
          </cell>
          <cell r="BD59">
            <v>17.12</v>
          </cell>
          <cell r="BE59">
            <v>17.52</v>
          </cell>
          <cell r="BF59">
            <v>18.54</v>
          </cell>
          <cell r="BG59">
            <v>18.579999999999998</v>
          </cell>
          <cell r="BH59">
            <v>19.309999999999999</v>
          </cell>
          <cell r="BI59">
            <v>19.88</v>
          </cell>
          <cell r="BJ59">
            <v>19.54</v>
          </cell>
          <cell r="BK59">
            <v>18.71</v>
          </cell>
          <cell r="BL59">
            <v>15.47</v>
          </cell>
          <cell r="BM59">
            <v>17.12</v>
          </cell>
          <cell r="BN59">
            <v>16.16</v>
          </cell>
          <cell r="BO59">
            <v>15.34</v>
          </cell>
          <cell r="BP59">
            <v>16.37</v>
          </cell>
          <cell r="BQ59">
            <v>16.93</v>
          </cell>
          <cell r="BR59">
            <v>18.329999999999998</v>
          </cell>
          <cell r="BS59">
            <v>20.43</v>
          </cell>
          <cell r="BT59">
            <v>21.54</v>
          </cell>
          <cell r="BU59">
            <v>21.94</v>
          </cell>
          <cell r="BV59">
            <v>20.78</v>
          </cell>
          <cell r="BW59">
            <v>17.079999999999998</v>
          </cell>
          <cell r="BX59">
            <v>14.34</v>
          </cell>
          <cell r="BY59">
            <v>15.05</v>
          </cell>
          <cell r="BZ59">
            <v>17.399999999999999</v>
          </cell>
        </row>
      </sheetData>
      <sheetData sheetId="7" refreshError="1"/>
      <sheetData sheetId="8" refreshError="1"/>
      <sheetData sheetId="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E EO Summary"/>
      <sheetName val="PY4 2023 EO"/>
      <sheetName val="Small Business"/>
      <sheetName val="Summary- Custom"/>
      <sheetName val="Summary- Std"/>
      <sheetName val="MEEIA 3 PY4 Bus Cust Std"/>
      <sheetName val="MEEIA 3 PY4 by month"/>
      <sheetName val="MEEIA 3 PY4"/>
      <sheetName val="Intake Form Summary"/>
      <sheetName val="Energy Audit Summary"/>
      <sheetName val="RDR Events"/>
      <sheetName val="MEEIA 3"/>
      <sheetName val="MEEIA 3 PY3"/>
      <sheetName val="SI Projects YTD data"/>
      <sheetName val="Instructions"/>
    </sheetNames>
    <sheetDataSet>
      <sheetData sheetId="0"/>
      <sheetData sheetId="1">
        <row r="116">
          <cell r="D116">
            <v>1237690.19</v>
          </cell>
        </row>
        <row r="117">
          <cell r="D117">
            <v>150961.88</v>
          </cell>
        </row>
        <row r="118">
          <cell r="D118">
            <v>302870.92000000004</v>
          </cell>
        </row>
        <row r="119">
          <cell r="D119">
            <v>481870.85</v>
          </cell>
        </row>
        <row r="120">
          <cell r="D120">
            <v>128779.09999999999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E EO Summary"/>
      <sheetName val="MEEIA 3 PY5 EO"/>
      <sheetName val="Allocated PY5 spend by program"/>
      <sheetName val="MEEIA 3 PY5 Monthly spend data"/>
      <sheetName val="MEEIA 3 PY5 Bus Cust Std NL SGS"/>
      <sheetName val="Summary FOR EO Rpt"/>
      <sheetName val="MEEIA 3 YTD PY5-Labor"/>
      <sheetName val="MEEIA 3 YTD PY5"/>
      <sheetName val="SI Projects YTD data"/>
      <sheetName val="Instructions"/>
    </sheetNames>
    <sheetDataSet>
      <sheetData sheetId="0"/>
      <sheetData sheetId="1">
        <row r="278">
          <cell r="D278">
            <v>1213667.6473015237</v>
          </cell>
        </row>
        <row r="279">
          <cell r="D279">
            <v>260501.47379357362</v>
          </cell>
        </row>
        <row r="280">
          <cell r="D280">
            <v>436549.83105952013</v>
          </cell>
        </row>
        <row r="281">
          <cell r="D281">
            <v>328143.75201071985</v>
          </cell>
        </row>
        <row r="282">
          <cell r="D282">
            <v>58068.455513098081</v>
          </cell>
        </row>
      </sheetData>
      <sheetData sheetId="2"/>
      <sheetData sheetId="3"/>
      <sheetData sheetId="4"/>
      <sheetData sheetId="5"/>
      <sheetData sheetId="6"/>
      <sheetData sheetId="7"/>
      <sheetData sheetId="8"/>
      <sheetData sheetId="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E EO Summary"/>
      <sheetName val="MEEIA 3 PY5 EO"/>
      <sheetName val="2024 DR called events"/>
      <sheetName val="Allocated PY5 spend by program"/>
      <sheetName val="MEEIA 3 PY5 Monthly spend data"/>
      <sheetName val="MEEIA 3 PY5 Bus Cust Std NL SGS"/>
      <sheetName val="Summary FOR EO Rpt"/>
      <sheetName val="MEEIA 3 YTD PY5-Labor"/>
      <sheetName val="MEEIA 3 YTD PY5"/>
      <sheetName val="SI Projects YTD data"/>
      <sheetName val="Instructions"/>
    </sheetNames>
    <sheetDataSet>
      <sheetData sheetId="0"/>
      <sheetData sheetId="1">
        <row r="300">
          <cell r="D300">
            <v>1564.833685759455</v>
          </cell>
        </row>
        <row r="301">
          <cell r="D301">
            <v>237.68314613745315</v>
          </cell>
        </row>
        <row r="302">
          <cell r="D302">
            <v>584.67587752465624</v>
          </cell>
        </row>
        <row r="303">
          <cell r="D303">
            <v>635.97007872577524</v>
          </cell>
        </row>
        <row r="304">
          <cell r="D304">
            <v>118.07377483970049</v>
          </cell>
        </row>
      </sheetData>
      <sheetData sheetId="2"/>
      <sheetData sheetId="3"/>
      <sheetData sheetId="4"/>
      <sheetData sheetId="5"/>
      <sheetData sheetId="6"/>
      <sheetData sheetId="7"/>
      <sheetData sheetId="8"/>
      <sheetData sheetId="9"/>
      <sheetData sheetId="1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E EO Summary"/>
      <sheetName val="MEEIA 3 PY5 EO"/>
      <sheetName val="2024 DR called events"/>
      <sheetName val="MEEIA 3 Monthly spend"/>
      <sheetName val="Allocated PY5 spend by program"/>
      <sheetName val="MEEIA 3 PY5 Monthly spend data"/>
      <sheetName val="MEEIA 3 PY5 Bus Cust Std NL SGS"/>
      <sheetName val="RI Business Detail "/>
      <sheetName val="Summary FOR EO Rpt"/>
      <sheetName val="MEEIA 3 YTD PY5-Labor"/>
      <sheetName val="MEEIA 3 YTD PY5"/>
      <sheetName val="SI Projects YTD data"/>
      <sheetName val="Instructions"/>
    </sheetNames>
    <sheetDataSet>
      <sheetData sheetId="0" refreshError="1"/>
      <sheetData sheetId="1">
        <row r="300">
          <cell r="D300">
            <v>-1464.6890373730566</v>
          </cell>
        </row>
        <row r="301">
          <cell r="D301">
            <v>-143.76239377161255</v>
          </cell>
        </row>
        <row r="302">
          <cell r="D302">
            <v>-373.68759120500181</v>
          </cell>
        </row>
        <row r="303">
          <cell r="D303">
            <v>-341.56789007352199</v>
          </cell>
        </row>
        <row r="304">
          <cell r="D304">
            <v>-51.888045673433226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A Summary by Rate Class"/>
      <sheetName val="EMM M3 Summary"/>
      <sheetName val="EMW M3 Summary"/>
      <sheetName val="EMM M4 Summary"/>
      <sheetName val="Electrification Reclass Ledger"/>
      <sheetName val="OA Pivot_Alloc Summary"/>
      <sheetName val="Pivot_Alloc Electrification"/>
      <sheetName val="Ledger Data"/>
      <sheetName val="SI0000METROM4 202502 ALLOC"/>
      <sheetName val="Electrification Allocations"/>
      <sheetName val="OA plus Int calc- Q0003_ Progra"/>
    </sheetNames>
    <sheetDataSet>
      <sheetData sheetId="0">
        <row r="8">
          <cell r="D8">
            <v>-18190.329999999998</v>
          </cell>
        </row>
        <row r="9">
          <cell r="D9">
            <v>-930.2</v>
          </cell>
        </row>
        <row r="10">
          <cell r="D10">
            <v>-1932.7199999999998</v>
          </cell>
        </row>
        <row r="11">
          <cell r="D11">
            <v>-2843.0699999999997</v>
          </cell>
        </row>
        <row r="12">
          <cell r="D12">
            <v>-730.88</v>
          </cell>
        </row>
        <row r="26">
          <cell r="D26">
            <v>-82.46</v>
          </cell>
        </row>
        <row r="27">
          <cell r="D27">
            <v>-17.36</v>
          </cell>
        </row>
        <row r="28">
          <cell r="D28">
            <v>-79.569999999999993</v>
          </cell>
        </row>
        <row r="29">
          <cell r="D29">
            <v>-27.82</v>
          </cell>
        </row>
        <row r="30">
          <cell r="D30">
            <v>-9.9300000000000015</v>
          </cell>
        </row>
      </sheetData>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ivot - SI Project"/>
      <sheetName val="SI0000 Alloc"/>
      <sheetName val="SI Project Data"/>
      <sheetName val="Input"/>
      <sheetName val="Program Descriptions"/>
    </sheetNames>
    <sheetDataSet>
      <sheetData sheetId="0">
        <row r="32">
          <cell r="N32">
            <v>-8631.8000000000011</v>
          </cell>
          <cell r="O32">
            <v>-847.23</v>
          </cell>
          <cell r="P32">
            <v>-2202.2399999999998</v>
          </cell>
          <cell r="Q32">
            <v>-2012.95</v>
          </cell>
          <cell r="R32">
            <v>-305.7800000000002</v>
          </cell>
        </row>
      </sheetData>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EMM Nov25"/>
      <sheetName val="EMM Dec25"/>
      <sheetName val="EMM Jan26"/>
      <sheetName val="EMM Feb26"/>
      <sheetName val="EMM Mar26"/>
      <sheetName val="EMM Apr26"/>
    </sheetNames>
    <sheetDataSet>
      <sheetData sheetId="0">
        <row r="97">
          <cell r="G97">
            <v>-8.27</v>
          </cell>
        </row>
        <row r="98">
          <cell r="G98">
            <v>0.56000000000000005</v>
          </cell>
        </row>
        <row r="99">
          <cell r="G99">
            <v>0</v>
          </cell>
        </row>
        <row r="100">
          <cell r="G100">
            <v>0</v>
          </cell>
        </row>
        <row r="101">
          <cell r="G101">
            <v>0</v>
          </cell>
        </row>
        <row r="105">
          <cell r="G105">
            <v>92763.59</v>
          </cell>
        </row>
        <row r="106">
          <cell r="G106">
            <v>36611.03</v>
          </cell>
        </row>
        <row r="107">
          <cell r="G107">
            <v>75290.100000000006</v>
          </cell>
        </row>
        <row r="108">
          <cell r="G108">
            <v>-10617.88</v>
          </cell>
        </row>
        <row r="109">
          <cell r="G109">
            <v>-22545.67</v>
          </cell>
        </row>
        <row r="113">
          <cell r="G113">
            <v>148085.04999999999</v>
          </cell>
        </row>
        <row r="114">
          <cell r="G114">
            <v>65570.36</v>
          </cell>
        </row>
        <row r="115">
          <cell r="G115">
            <v>104124.6</v>
          </cell>
        </row>
        <row r="116">
          <cell r="G116">
            <v>67689.02</v>
          </cell>
        </row>
        <row r="117">
          <cell r="G117">
            <v>4855.99</v>
          </cell>
        </row>
        <row r="121">
          <cell r="G121">
            <v>-3257.7700000000004</v>
          </cell>
        </row>
        <row r="122">
          <cell r="G122">
            <v>6101.74</v>
          </cell>
        </row>
        <row r="123">
          <cell r="G123">
            <v>11213.419999999998</v>
          </cell>
        </row>
        <row r="124">
          <cell r="G124">
            <v>0</v>
          </cell>
        </row>
        <row r="125">
          <cell r="G125">
            <v>346.86</v>
          </cell>
        </row>
        <row r="129">
          <cell r="G129">
            <v>-1626.99</v>
          </cell>
        </row>
        <row r="130">
          <cell r="G130">
            <v>0</v>
          </cell>
        </row>
        <row r="131">
          <cell r="G131">
            <v>0</v>
          </cell>
        </row>
        <row r="132">
          <cell r="G132">
            <v>0</v>
          </cell>
        </row>
        <row r="133">
          <cell r="G133">
            <v>0</v>
          </cell>
        </row>
        <row r="137">
          <cell r="G137">
            <v>87877.47</v>
          </cell>
        </row>
        <row r="138">
          <cell r="G138">
            <v>22868.550000000003</v>
          </cell>
        </row>
        <row r="139">
          <cell r="G139">
            <v>37645.040000000001</v>
          </cell>
        </row>
        <row r="140">
          <cell r="G140">
            <v>39817.07</v>
          </cell>
        </row>
        <row r="141">
          <cell r="G141">
            <v>11446.27</v>
          </cell>
        </row>
        <row r="145">
          <cell r="G145">
            <v>408469.66</v>
          </cell>
        </row>
        <row r="146">
          <cell r="G146">
            <v>71657.81</v>
          </cell>
        </row>
        <row r="147">
          <cell r="G147">
            <v>269923</v>
          </cell>
        </row>
        <row r="148">
          <cell r="G148">
            <v>228284.52</v>
          </cell>
        </row>
        <row r="149">
          <cell r="G149">
            <v>83245.56</v>
          </cell>
        </row>
        <row r="153">
          <cell r="G153">
            <v>-84619.04</v>
          </cell>
        </row>
        <row r="154">
          <cell r="G154">
            <v>-5590.5300000000007</v>
          </cell>
        </row>
        <row r="155">
          <cell r="G155">
            <v>-20023.77</v>
          </cell>
        </row>
        <row r="156">
          <cell r="G156">
            <v>-23890.21</v>
          </cell>
        </row>
        <row r="157">
          <cell r="G157">
            <v>-4509.170000000001</v>
          </cell>
        </row>
        <row r="161">
          <cell r="G161">
            <v>13019.1</v>
          </cell>
        </row>
        <row r="162">
          <cell r="G162">
            <v>4065.23</v>
          </cell>
        </row>
        <row r="163">
          <cell r="G163">
            <v>4805.75</v>
          </cell>
        </row>
        <row r="164">
          <cell r="G164">
            <v>3981.71</v>
          </cell>
        </row>
        <row r="165">
          <cell r="G165">
            <v>346.86</v>
          </cell>
        </row>
        <row r="169">
          <cell r="G169">
            <v>-6509.27</v>
          </cell>
        </row>
        <row r="170">
          <cell r="G170">
            <v>-508.11</v>
          </cell>
        </row>
        <row r="171">
          <cell r="G171">
            <v>-800.96</v>
          </cell>
        </row>
        <row r="172">
          <cell r="G172">
            <v>0</v>
          </cell>
        </row>
        <row r="173">
          <cell r="G173">
            <v>0</v>
          </cell>
        </row>
        <row r="177">
          <cell r="G177">
            <v>0</v>
          </cell>
        </row>
        <row r="178">
          <cell r="G178">
            <v>0</v>
          </cell>
        </row>
        <row r="179">
          <cell r="G179">
            <v>0</v>
          </cell>
        </row>
        <row r="180">
          <cell r="G180">
            <v>0</v>
          </cell>
        </row>
        <row r="181">
          <cell r="G181">
            <v>0</v>
          </cell>
        </row>
        <row r="205">
          <cell r="G205">
            <v>162734059.22889999</v>
          </cell>
        </row>
        <row r="206">
          <cell r="G206">
            <v>50829307.346099995</v>
          </cell>
        </row>
        <row r="207">
          <cell r="G207">
            <v>80268080.061399966</v>
          </cell>
        </row>
        <row r="208">
          <cell r="G208">
            <v>132723559.21120001</v>
          </cell>
        </row>
        <row r="209">
          <cell r="G209">
            <v>34685650.500599995</v>
          </cell>
        </row>
      </sheetData>
      <sheetData sheetId="1">
        <row r="97">
          <cell r="G97">
            <v>4.72</v>
          </cell>
        </row>
        <row r="98">
          <cell r="G98">
            <v>51.39</v>
          </cell>
        </row>
        <row r="99">
          <cell r="G99">
            <v>-0.15</v>
          </cell>
        </row>
        <row r="100">
          <cell r="G100">
            <v>0</v>
          </cell>
        </row>
        <row r="101">
          <cell r="G101">
            <v>0</v>
          </cell>
        </row>
        <row r="105">
          <cell r="G105">
            <v>130320.5</v>
          </cell>
        </row>
        <row r="106">
          <cell r="G106">
            <v>43445.25</v>
          </cell>
        </row>
        <row r="107">
          <cell r="G107">
            <v>86068.58</v>
          </cell>
        </row>
        <row r="108">
          <cell r="G108">
            <v>-12286.07</v>
          </cell>
        </row>
        <row r="109">
          <cell r="G109">
            <v>-23075.47</v>
          </cell>
        </row>
        <row r="113">
          <cell r="G113">
            <v>208050.94</v>
          </cell>
        </row>
        <row r="114">
          <cell r="G114">
            <v>77814.27</v>
          </cell>
        </row>
        <row r="115">
          <cell r="G115">
            <v>119033.04</v>
          </cell>
        </row>
        <row r="116">
          <cell r="G116">
            <v>78323.72</v>
          </cell>
        </row>
        <row r="117">
          <cell r="G117">
            <v>4970.1000000000004</v>
          </cell>
        </row>
        <row r="121">
          <cell r="G121">
            <v>-4571.8</v>
          </cell>
        </row>
        <row r="122">
          <cell r="G122">
            <v>7238.8899999999994</v>
          </cell>
        </row>
        <row r="123">
          <cell r="G123">
            <v>12818.69</v>
          </cell>
        </row>
        <row r="124">
          <cell r="G124">
            <v>0</v>
          </cell>
        </row>
        <row r="125">
          <cell r="G125">
            <v>355.01</v>
          </cell>
        </row>
        <row r="129">
          <cell r="G129">
            <v>-2286.33</v>
          </cell>
        </row>
        <row r="130">
          <cell r="G130">
            <v>0</v>
          </cell>
        </row>
        <row r="131">
          <cell r="G131">
            <v>0</v>
          </cell>
        </row>
        <row r="132">
          <cell r="G132">
            <v>0</v>
          </cell>
        </row>
        <row r="133">
          <cell r="G133">
            <v>0</v>
          </cell>
        </row>
        <row r="137">
          <cell r="G137">
            <v>123457.07</v>
          </cell>
        </row>
        <row r="138">
          <cell r="G138">
            <v>27133.85</v>
          </cell>
        </row>
        <row r="139">
          <cell r="G139">
            <v>43035.82</v>
          </cell>
        </row>
        <row r="140">
          <cell r="G140">
            <v>46072.78</v>
          </cell>
        </row>
        <row r="141">
          <cell r="G141">
            <v>11715.24</v>
          </cell>
        </row>
        <row r="145">
          <cell r="G145">
            <v>573848.43999999994</v>
          </cell>
        </row>
        <row r="146">
          <cell r="G146">
            <v>84961.75</v>
          </cell>
        </row>
        <row r="147">
          <cell r="G147">
            <v>308572.69</v>
          </cell>
        </row>
        <row r="148">
          <cell r="G148">
            <v>264150.59000000003</v>
          </cell>
        </row>
        <row r="149">
          <cell r="G149">
            <v>85201.73</v>
          </cell>
        </row>
        <row r="153">
          <cell r="G153">
            <v>-118877.86</v>
          </cell>
        </row>
        <row r="154">
          <cell r="G154">
            <v>-6624.5399999999991</v>
          </cell>
        </row>
        <row r="155">
          <cell r="G155">
            <v>-22892.07</v>
          </cell>
        </row>
        <row r="156">
          <cell r="G156">
            <v>-27643.71</v>
          </cell>
        </row>
        <row r="157">
          <cell r="G157">
            <v>-4615.13</v>
          </cell>
        </row>
        <row r="161">
          <cell r="G161">
            <v>18290.32</v>
          </cell>
        </row>
        <row r="162">
          <cell r="G162">
            <v>4818.8900000000003</v>
          </cell>
        </row>
        <row r="163">
          <cell r="G163">
            <v>5493.97</v>
          </cell>
        </row>
        <row r="164">
          <cell r="G164">
            <v>4607.28</v>
          </cell>
        </row>
        <row r="165">
          <cell r="G165">
            <v>355.01</v>
          </cell>
        </row>
        <row r="169">
          <cell r="G169">
            <v>-9144.5400000000009</v>
          </cell>
        </row>
        <row r="170">
          <cell r="G170">
            <v>-602.20000000000005</v>
          </cell>
        </row>
        <row r="171">
          <cell r="G171">
            <v>-915.67</v>
          </cell>
        </row>
        <row r="172">
          <cell r="G172">
            <v>0</v>
          </cell>
        </row>
        <row r="173">
          <cell r="G173">
            <v>0</v>
          </cell>
        </row>
        <row r="177">
          <cell r="G177">
            <v>0</v>
          </cell>
        </row>
        <row r="178">
          <cell r="G178">
            <v>0</v>
          </cell>
        </row>
        <row r="179">
          <cell r="G179">
            <v>0</v>
          </cell>
        </row>
        <row r="180">
          <cell r="G180">
            <v>0</v>
          </cell>
        </row>
        <row r="181">
          <cell r="G181">
            <v>0</v>
          </cell>
        </row>
        <row r="205">
          <cell r="G205">
            <v>228627406.22139996</v>
          </cell>
        </row>
        <row r="206">
          <cell r="G206">
            <v>60346672.082100026</v>
          </cell>
        </row>
        <row r="207">
          <cell r="G207">
            <v>91563681.871600002</v>
          </cell>
        </row>
        <row r="208">
          <cell r="G208">
            <v>153575926.29779994</v>
          </cell>
        </row>
        <row r="209">
          <cell r="G209">
            <v>35500721.634300001</v>
          </cell>
        </row>
      </sheetData>
      <sheetData sheetId="2">
        <row r="97">
          <cell r="G97">
            <v>-5.93</v>
          </cell>
        </row>
        <row r="98">
          <cell r="G98">
            <v>-0.08</v>
          </cell>
        </row>
        <row r="99">
          <cell r="G99">
            <v>-0.28000000000000003</v>
          </cell>
        </row>
        <row r="100">
          <cell r="G100">
            <v>-0.15</v>
          </cell>
        </row>
        <row r="101">
          <cell r="G101">
            <v>0</v>
          </cell>
        </row>
        <row r="105">
          <cell r="G105">
            <v>139826.78</v>
          </cell>
        </row>
        <row r="106">
          <cell r="G106">
            <v>43456.35</v>
          </cell>
        </row>
        <row r="107">
          <cell r="G107">
            <v>85664.69</v>
          </cell>
        </row>
        <row r="108">
          <cell r="G108">
            <v>-11697.27</v>
          </cell>
        </row>
        <row r="109">
          <cell r="G109">
            <v>-14506.41</v>
          </cell>
        </row>
        <row r="113">
          <cell r="G113">
            <v>223221.9</v>
          </cell>
        </row>
        <row r="114">
          <cell r="G114">
            <v>77858.61</v>
          </cell>
        </row>
        <row r="115">
          <cell r="G115">
            <v>118473.78</v>
          </cell>
        </row>
        <row r="116">
          <cell r="G116">
            <v>74570.179999999993</v>
          </cell>
        </row>
        <row r="117">
          <cell r="G117">
            <v>3124.46</v>
          </cell>
        </row>
        <row r="121">
          <cell r="G121">
            <v>-4905.47</v>
          </cell>
        </row>
        <row r="122">
          <cell r="G122">
            <v>7242.3600000000006</v>
          </cell>
        </row>
        <row r="123">
          <cell r="G123">
            <v>12758.529999999999</v>
          </cell>
        </row>
        <row r="124">
          <cell r="G124">
            <v>-1.999999999998181E-2</v>
          </cell>
        </row>
        <row r="125">
          <cell r="G125">
            <v>223.18</v>
          </cell>
        </row>
        <row r="129">
          <cell r="G129">
            <v>-12893.75</v>
          </cell>
        </row>
        <row r="130">
          <cell r="G130">
            <v>0</v>
          </cell>
        </row>
        <row r="131">
          <cell r="G131">
            <v>0</v>
          </cell>
        </row>
        <row r="132">
          <cell r="G132">
            <v>0</v>
          </cell>
        </row>
        <row r="133">
          <cell r="G133">
            <v>0</v>
          </cell>
        </row>
        <row r="137">
          <cell r="G137">
            <v>132460</v>
          </cell>
        </row>
        <row r="138">
          <cell r="G138">
            <v>27160.71</v>
          </cell>
        </row>
        <row r="139">
          <cell r="G139">
            <v>42833.31</v>
          </cell>
        </row>
        <row r="140">
          <cell r="G140">
            <v>43864.78</v>
          </cell>
        </row>
        <row r="141">
          <cell r="G141">
            <v>7364.79</v>
          </cell>
        </row>
        <row r="145">
          <cell r="G145">
            <v>615704.37</v>
          </cell>
        </row>
        <row r="146">
          <cell r="G146">
            <v>85106.1</v>
          </cell>
        </row>
        <row r="147">
          <cell r="G147">
            <v>307122.65000000002</v>
          </cell>
        </row>
        <row r="148">
          <cell r="G148">
            <v>251491.92</v>
          </cell>
        </row>
        <row r="149">
          <cell r="G149">
            <v>53562.12</v>
          </cell>
        </row>
        <row r="153">
          <cell r="G153">
            <v>-117109.54</v>
          </cell>
        </row>
        <row r="154">
          <cell r="G154">
            <v>-6661.4299999999994</v>
          </cell>
        </row>
        <row r="155">
          <cell r="G155">
            <v>-22783.89</v>
          </cell>
        </row>
        <row r="156">
          <cell r="G156">
            <v>-26318.98</v>
          </cell>
        </row>
        <row r="157">
          <cell r="G157">
            <v>-2901.3200000000006</v>
          </cell>
        </row>
        <row r="161">
          <cell r="G161">
            <v>19624.38</v>
          </cell>
        </row>
        <row r="162">
          <cell r="G162">
            <v>4828.8100000000004</v>
          </cell>
        </row>
        <row r="163">
          <cell r="G163">
            <v>5468.12</v>
          </cell>
        </row>
        <row r="164">
          <cell r="G164">
            <v>4386.49</v>
          </cell>
        </row>
        <row r="165">
          <cell r="G165">
            <v>223.18</v>
          </cell>
        </row>
        <row r="169">
          <cell r="G169">
            <v>-9811.5499999999993</v>
          </cell>
        </row>
        <row r="170">
          <cell r="G170">
            <v>-603.61</v>
          </cell>
        </row>
        <row r="171">
          <cell r="G171">
            <v>-911.36</v>
          </cell>
        </row>
        <row r="172">
          <cell r="G172">
            <v>0</v>
          </cell>
        </row>
        <row r="173">
          <cell r="G173">
            <v>0</v>
          </cell>
        </row>
        <row r="177">
          <cell r="G177">
            <v>0</v>
          </cell>
        </row>
        <row r="178">
          <cell r="G178">
            <v>0</v>
          </cell>
        </row>
        <row r="179">
          <cell r="G179">
            <v>0</v>
          </cell>
        </row>
        <row r="180">
          <cell r="G180">
            <v>0</v>
          </cell>
        </row>
        <row r="181">
          <cell r="G181">
            <v>0</v>
          </cell>
        </row>
        <row r="205">
          <cell r="G205">
            <v>245298082.39400011</v>
          </cell>
        </row>
        <row r="206">
          <cell r="G206">
            <v>60355321.517299995</v>
          </cell>
        </row>
        <row r="207">
          <cell r="G207">
            <v>91133523.030600041</v>
          </cell>
        </row>
        <row r="208">
          <cell r="G208">
            <v>146216045.25309998</v>
          </cell>
        </row>
        <row r="209">
          <cell r="G209">
            <v>22317551.949500002</v>
          </cell>
        </row>
      </sheetData>
      <sheetData sheetId="3">
        <row r="97">
          <cell r="G97">
            <v>-4.29</v>
          </cell>
        </row>
        <row r="98">
          <cell r="G98">
            <v>7.45</v>
          </cell>
        </row>
        <row r="99">
          <cell r="G99">
            <v>0</v>
          </cell>
        </row>
        <row r="100">
          <cell r="G100">
            <v>0</v>
          </cell>
        </row>
        <row r="101">
          <cell r="G101">
            <v>0</v>
          </cell>
        </row>
        <row r="105">
          <cell r="G105">
            <v>120343.77</v>
          </cell>
        </row>
        <row r="106">
          <cell r="G106">
            <v>35693.019999999997</v>
          </cell>
        </row>
        <row r="107">
          <cell r="G107">
            <v>71513.16</v>
          </cell>
        </row>
        <row r="108">
          <cell r="G108">
            <v>-11621.39</v>
          </cell>
        </row>
        <row r="109">
          <cell r="G109">
            <v>-11042.87</v>
          </cell>
        </row>
        <row r="113">
          <cell r="G113">
            <v>242503.69</v>
          </cell>
        </row>
        <row r="114">
          <cell r="G114">
            <v>79069.03</v>
          </cell>
        </row>
        <row r="115">
          <cell r="G115">
            <v>118864.46</v>
          </cell>
        </row>
        <row r="116">
          <cell r="G116">
            <v>74871.17</v>
          </cell>
        </row>
        <row r="117">
          <cell r="G117">
            <v>2828.95</v>
          </cell>
        </row>
        <row r="121">
          <cell r="G121">
            <v>3301.5699999999997</v>
          </cell>
        </row>
        <row r="122">
          <cell r="G122">
            <v>6294.31</v>
          </cell>
        </row>
        <row r="123">
          <cell r="G123">
            <v>12675.05</v>
          </cell>
        </row>
        <row r="124">
          <cell r="G124">
            <v>570.76</v>
          </cell>
        </row>
        <row r="125">
          <cell r="G125">
            <v>207.53000000000003</v>
          </cell>
        </row>
        <row r="129">
          <cell r="G129">
            <v>0</v>
          </cell>
        </row>
        <row r="130">
          <cell r="G130">
            <v>0</v>
          </cell>
        </row>
        <row r="131">
          <cell r="G131">
            <v>0</v>
          </cell>
        </row>
        <row r="132">
          <cell r="G132">
            <v>0</v>
          </cell>
        </row>
        <row r="133">
          <cell r="G133">
            <v>0</v>
          </cell>
        </row>
        <row r="137">
          <cell r="G137">
            <v>119989.14</v>
          </cell>
        </row>
        <row r="138">
          <cell r="G138">
            <v>23950.920000000002</v>
          </cell>
        </row>
        <row r="139">
          <cell r="G139">
            <v>37227.74</v>
          </cell>
        </row>
        <row r="140">
          <cell r="G140">
            <v>37159.18</v>
          </cell>
        </row>
        <row r="141">
          <cell r="G141">
            <v>5625.2</v>
          </cell>
        </row>
        <row r="145">
          <cell r="G145">
            <v>653005.4</v>
          </cell>
        </row>
        <row r="146">
          <cell r="G146">
            <v>115518.70000000001</v>
          </cell>
        </row>
        <row r="147">
          <cell r="G147">
            <v>350595.77</v>
          </cell>
        </row>
        <row r="148">
          <cell r="G148">
            <v>228456.48</v>
          </cell>
        </row>
        <row r="149">
          <cell r="G149">
            <v>38797.629999999997</v>
          </cell>
        </row>
        <row r="153">
          <cell r="G153">
            <v>-166365.81000000003</v>
          </cell>
        </row>
        <row r="154">
          <cell r="G154">
            <v>29598.34</v>
          </cell>
        </row>
        <row r="155">
          <cell r="G155">
            <v>-13914.16</v>
          </cell>
        </row>
        <row r="156">
          <cell r="G156">
            <v>-42815.07</v>
          </cell>
        </row>
        <row r="157">
          <cell r="G157">
            <v>-8498.3799999999992</v>
          </cell>
        </row>
        <row r="161">
          <cell r="G161">
            <v>18597.990000000002</v>
          </cell>
        </row>
        <row r="162">
          <cell r="G162">
            <v>10874.03</v>
          </cell>
        </row>
        <row r="163">
          <cell r="G163">
            <v>7673.93</v>
          </cell>
        </row>
        <row r="164">
          <cell r="G164">
            <v>4001.3</v>
          </cell>
        </row>
        <row r="165">
          <cell r="G165">
            <v>131.08000000000001</v>
          </cell>
        </row>
        <row r="169">
          <cell r="G169">
            <v>-13634.83</v>
          </cell>
        </row>
        <row r="170">
          <cell r="G170">
            <v>-409.31</v>
          </cell>
        </row>
        <row r="171">
          <cell r="G171">
            <v>-1278.99</v>
          </cell>
        </row>
        <row r="172">
          <cell r="G172">
            <v>-1141.52</v>
          </cell>
        </row>
        <row r="173">
          <cell r="G173">
            <v>-76.45</v>
          </cell>
        </row>
        <row r="177">
          <cell r="G177">
            <v>-82.46</v>
          </cell>
        </row>
        <row r="178">
          <cell r="G178">
            <v>-17.36</v>
          </cell>
        </row>
        <row r="179">
          <cell r="G179">
            <v>-79.569999999999993</v>
          </cell>
        </row>
        <row r="180">
          <cell r="G180">
            <v>-27.82</v>
          </cell>
        </row>
        <row r="181">
          <cell r="G181">
            <v>-9.93</v>
          </cell>
        </row>
        <row r="205">
          <cell r="G205">
            <v>268605456.00260001</v>
          </cell>
        </row>
        <row r="206">
          <cell r="G206">
            <v>63975683.882099986</v>
          </cell>
        </row>
        <row r="207">
          <cell r="G207">
            <v>95206410.949800014</v>
          </cell>
        </row>
        <row r="208">
          <cell r="G208">
            <v>152401897.12570003</v>
          </cell>
        </row>
        <row r="209">
          <cell r="G209">
            <v>20752875.676399998</v>
          </cell>
        </row>
      </sheetData>
      <sheetData sheetId="4">
        <row r="97">
          <cell r="G97">
            <v>-58.12</v>
          </cell>
        </row>
        <row r="98">
          <cell r="G98">
            <v>0.28000000000000003</v>
          </cell>
        </row>
        <row r="99">
          <cell r="G99">
            <v>0.77</v>
          </cell>
        </row>
        <row r="100">
          <cell r="G100">
            <v>0</v>
          </cell>
        </row>
        <row r="101">
          <cell r="G101">
            <v>0</v>
          </cell>
        </row>
        <row r="105">
          <cell r="G105">
            <v>44813.760000000002</v>
          </cell>
        </row>
        <row r="106">
          <cell r="G106">
            <v>14175.41</v>
          </cell>
        </row>
        <row r="107">
          <cell r="G107">
            <v>30223.23</v>
          </cell>
        </row>
        <row r="108">
          <cell r="G108">
            <v>-9895.14</v>
          </cell>
        </row>
        <row r="109">
          <cell r="G109">
            <v>-7500.2999999999993</v>
          </cell>
        </row>
        <row r="113">
          <cell r="G113">
            <v>172295.47</v>
          </cell>
        </row>
        <row r="114">
          <cell r="G114">
            <v>61491.49</v>
          </cell>
        </row>
        <row r="115">
          <cell r="G115">
            <v>91670.28</v>
          </cell>
        </row>
        <row r="116">
          <cell r="G116">
            <v>64971.38</v>
          </cell>
        </row>
        <row r="117">
          <cell r="G117">
            <v>2951.94</v>
          </cell>
        </row>
        <row r="121">
          <cell r="G121">
            <v>13469.84</v>
          </cell>
        </row>
        <row r="122">
          <cell r="G122">
            <v>3187.8</v>
          </cell>
        </row>
        <row r="123">
          <cell r="G123">
            <v>9559.2999999999993</v>
          </cell>
        </row>
        <row r="124">
          <cell r="G124">
            <v>1374.43</v>
          </cell>
        </row>
        <row r="125">
          <cell r="G125">
            <v>226.9</v>
          </cell>
        </row>
        <row r="129">
          <cell r="G129">
            <v>0</v>
          </cell>
        </row>
        <row r="130">
          <cell r="G130">
            <v>0</v>
          </cell>
        </row>
        <row r="131">
          <cell r="G131">
            <v>0</v>
          </cell>
        </row>
        <row r="132">
          <cell r="G132">
            <v>0</v>
          </cell>
        </row>
        <row r="133">
          <cell r="G133">
            <v>0</v>
          </cell>
        </row>
        <row r="137">
          <cell r="G137">
            <v>54422.01</v>
          </cell>
        </row>
        <row r="138">
          <cell r="G138">
            <v>12773.039999999999</v>
          </cell>
        </row>
        <row r="139">
          <cell r="G139">
            <v>18779.62</v>
          </cell>
        </row>
        <row r="140">
          <cell r="G140">
            <v>21644.5</v>
          </cell>
        </row>
        <row r="141">
          <cell r="G141">
            <v>3892.69</v>
          </cell>
        </row>
        <row r="145">
          <cell r="G145">
            <v>443523.37</v>
          </cell>
        </row>
        <row r="146">
          <cell r="G146">
            <v>136746.76999999999</v>
          </cell>
        </row>
        <row r="147">
          <cell r="G147">
            <v>343727.3</v>
          </cell>
        </row>
        <row r="148">
          <cell r="G148">
            <v>161204.62</v>
          </cell>
        </row>
        <row r="149">
          <cell r="G149">
            <v>22100.77</v>
          </cell>
        </row>
        <row r="153">
          <cell r="G153">
            <v>-150794.56</v>
          </cell>
        </row>
        <row r="154">
          <cell r="G154">
            <v>81529.930000000008</v>
          </cell>
        </row>
        <row r="155">
          <cell r="G155">
            <v>4526.21</v>
          </cell>
        </row>
        <row r="156">
          <cell r="G156">
            <v>-62200.14</v>
          </cell>
        </row>
        <row r="157">
          <cell r="G157">
            <v>-20026.41</v>
          </cell>
        </row>
        <row r="161">
          <cell r="G161">
            <v>9705.17</v>
          </cell>
        </row>
        <row r="162">
          <cell r="G162">
            <v>18079.349999999999</v>
          </cell>
        </row>
        <row r="163">
          <cell r="G163">
            <v>9697.16</v>
          </cell>
        </row>
        <row r="164">
          <cell r="G164">
            <v>2851.66</v>
          </cell>
        </row>
        <row r="165">
          <cell r="G165">
            <v>2.21</v>
          </cell>
        </row>
        <row r="169">
          <cell r="G169">
            <v>-13526.49</v>
          </cell>
        </row>
        <row r="170">
          <cell r="G170">
            <v>9.6300000000000008</v>
          </cell>
        </row>
        <row r="171">
          <cell r="G171">
            <v>-1616.13</v>
          </cell>
        </row>
        <row r="172">
          <cell r="G172">
            <v>-2748.85</v>
          </cell>
        </row>
        <row r="173">
          <cell r="G173">
            <v>-224.69</v>
          </cell>
        </row>
        <row r="177">
          <cell r="G177">
            <v>0</v>
          </cell>
        </row>
        <row r="178">
          <cell r="G178">
            <v>0</v>
          </cell>
        </row>
        <row r="179">
          <cell r="G179">
            <v>0</v>
          </cell>
        </row>
        <row r="180">
          <cell r="G180">
            <v>0</v>
          </cell>
        </row>
        <row r="181">
          <cell r="G181">
            <v>0</v>
          </cell>
        </row>
        <row r="205">
          <cell r="G205">
            <v>193574517.22830001</v>
          </cell>
        </row>
        <row r="206">
          <cell r="G206">
            <v>54065143.568999991</v>
          </cell>
        </row>
        <row r="207">
          <cell r="G207">
            <v>79942384.585599989</v>
          </cell>
        </row>
        <row r="208">
          <cell r="G208">
            <v>141085808.06309998</v>
          </cell>
        </row>
        <row r="209">
          <cell r="G209">
            <v>24144788.203200001</v>
          </cell>
        </row>
      </sheetData>
      <sheetData sheetId="5">
        <row r="97">
          <cell r="G97">
            <v>-130.02000000000001</v>
          </cell>
        </row>
        <row r="98">
          <cell r="G98">
            <v>0</v>
          </cell>
        </row>
        <row r="99">
          <cell r="G99">
            <v>0</v>
          </cell>
        </row>
        <row r="100">
          <cell r="G100">
            <v>0</v>
          </cell>
        </row>
        <row r="101">
          <cell r="G101">
            <v>0</v>
          </cell>
        </row>
        <row r="105">
          <cell r="G105">
            <v>38685.64</v>
          </cell>
        </row>
        <row r="106">
          <cell r="G106">
            <v>12951.29</v>
          </cell>
        </row>
        <row r="107">
          <cell r="G107">
            <v>29796.97</v>
          </cell>
        </row>
        <row r="108">
          <cell r="G108">
            <v>-9244.76</v>
          </cell>
        </row>
        <row r="109">
          <cell r="G109">
            <v>-12540.24</v>
          </cell>
        </row>
        <row r="113">
          <cell r="G113">
            <v>149682.96</v>
          </cell>
        </row>
        <row r="114">
          <cell r="G114">
            <v>55509.08</v>
          </cell>
        </row>
        <row r="115">
          <cell r="G115">
            <v>87865.21</v>
          </cell>
        </row>
        <row r="116">
          <cell r="G116">
            <v>60743.8</v>
          </cell>
        </row>
        <row r="117">
          <cell r="G117">
            <v>4940.67</v>
          </cell>
        </row>
        <row r="121">
          <cell r="G121">
            <v>11764.39</v>
          </cell>
        </row>
        <row r="122">
          <cell r="G122">
            <v>2896.94</v>
          </cell>
        </row>
        <row r="123">
          <cell r="G123">
            <v>9168.5299999999988</v>
          </cell>
        </row>
        <row r="124">
          <cell r="G124">
            <v>1315.26</v>
          </cell>
        </row>
        <row r="125">
          <cell r="G125">
            <v>380.05</v>
          </cell>
        </row>
        <row r="129">
          <cell r="G129">
            <v>0</v>
          </cell>
        </row>
        <row r="130">
          <cell r="G130">
            <v>0</v>
          </cell>
        </row>
        <row r="131">
          <cell r="G131">
            <v>0</v>
          </cell>
        </row>
        <row r="132">
          <cell r="G132">
            <v>0</v>
          </cell>
        </row>
        <row r="133">
          <cell r="G133">
            <v>0</v>
          </cell>
        </row>
        <row r="137">
          <cell r="G137">
            <v>47087.39</v>
          </cell>
        </row>
        <row r="138">
          <cell r="G138">
            <v>11601.95</v>
          </cell>
        </row>
        <row r="139">
          <cell r="G139">
            <v>18336.77</v>
          </cell>
        </row>
        <row r="140">
          <cell r="G140">
            <v>19871.150000000001</v>
          </cell>
        </row>
        <row r="141">
          <cell r="G141">
            <v>6460.15</v>
          </cell>
        </row>
        <row r="145">
          <cell r="G145">
            <v>385282.38</v>
          </cell>
        </row>
        <row r="146">
          <cell r="G146">
            <v>122892.23</v>
          </cell>
        </row>
        <row r="147">
          <cell r="G147">
            <v>327013.71999999997</v>
          </cell>
        </row>
        <row r="148">
          <cell r="G148">
            <v>149439.97</v>
          </cell>
        </row>
        <row r="149">
          <cell r="G149">
            <v>36478.18</v>
          </cell>
        </row>
        <row r="153">
          <cell r="G153">
            <v>-131247.79</v>
          </cell>
        </row>
        <row r="154">
          <cell r="G154">
            <v>72874.539999999994</v>
          </cell>
        </row>
        <row r="155">
          <cell r="G155">
            <v>3820.7</v>
          </cell>
        </row>
        <row r="156">
          <cell r="G156">
            <v>-59272.02</v>
          </cell>
        </row>
        <row r="157">
          <cell r="G157">
            <v>-33828.730000000003</v>
          </cell>
        </row>
        <row r="161">
          <cell r="G161">
            <v>8411.07</v>
          </cell>
        </row>
        <row r="162">
          <cell r="G162">
            <v>16206.87</v>
          </cell>
        </row>
        <row r="163">
          <cell r="G163">
            <v>9168.66</v>
          </cell>
        </row>
        <row r="164">
          <cell r="G164">
            <v>2644.75</v>
          </cell>
        </row>
        <row r="165">
          <cell r="G165">
            <v>-0.05</v>
          </cell>
        </row>
        <row r="169">
          <cell r="G169">
            <v>-11778.92</v>
          </cell>
        </row>
        <row r="170">
          <cell r="G170">
            <v>4.72</v>
          </cell>
        </row>
        <row r="171">
          <cell r="G171">
            <v>-1528.11</v>
          </cell>
        </row>
        <row r="172">
          <cell r="G172">
            <v>-2630.52</v>
          </cell>
        </row>
        <row r="173">
          <cell r="G173">
            <v>-380.1</v>
          </cell>
        </row>
        <row r="177">
          <cell r="G177">
            <v>0</v>
          </cell>
        </row>
        <row r="178">
          <cell r="G178">
            <v>0</v>
          </cell>
        </row>
        <row r="179">
          <cell r="G179">
            <v>0</v>
          </cell>
        </row>
        <row r="180">
          <cell r="G180">
            <v>0</v>
          </cell>
        </row>
        <row r="181">
          <cell r="G181">
            <v>0</v>
          </cell>
        </row>
        <row r="205">
          <cell r="G205">
            <v>168194039.28560004</v>
          </cell>
        </row>
        <row r="206">
          <cell r="G206">
            <v>48754256.241300024</v>
          </cell>
        </row>
        <row r="207">
          <cell r="G207">
            <v>76404738.001299992</v>
          </cell>
        </row>
        <row r="208">
          <cell r="G208">
            <v>132000198.2251</v>
          </cell>
        </row>
        <row r="209">
          <cell r="G209">
            <v>38005533.522399999</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Metro ST Rate Apr26"/>
      <sheetName val="Metro ST Rate Mar26"/>
      <sheetName val="Metro ST Rate Feb26"/>
      <sheetName val="Metro ST Rate Jan26"/>
      <sheetName val="Metro ST Rate Dec25"/>
      <sheetName val="Metro ST Rate Nov25"/>
    </sheetNames>
    <sheetDataSet>
      <sheetData sheetId="0" refreshError="1">
        <row r="42">
          <cell r="E42">
            <v>4.0677700000000001E-3</v>
          </cell>
        </row>
      </sheetData>
      <sheetData sheetId="1" refreshError="1">
        <row r="43">
          <cell r="E43">
            <v>4.1620499999999996E-3</v>
          </cell>
        </row>
      </sheetData>
      <sheetData sheetId="2" refreshError="1">
        <row r="40">
          <cell r="E40">
            <v>4.0773399999999996E-3</v>
          </cell>
        </row>
      </sheetData>
      <sheetData sheetId="3" refreshError="1">
        <row r="43">
          <cell r="E43">
            <v>4.0829999999999998E-3</v>
          </cell>
        </row>
      </sheetData>
      <sheetData sheetId="4" refreshError="1">
        <row r="43">
          <cell r="E43">
            <v>4.1470099999999996E-3</v>
          </cell>
        </row>
      </sheetData>
      <sheetData sheetId="5" refreshError="1">
        <row r="42">
          <cell r="E42">
            <v>4.3276900000000004E-3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etro"/>
      <sheetName val="Pivot - SI Project Metro"/>
      <sheetName val="SI0000 Alloc"/>
      <sheetName val="SI Project Data"/>
      <sheetName val="Spending-Alloc Rates"/>
    </sheetNames>
    <sheetDataSet>
      <sheetData sheetId="0"/>
      <sheetData sheetId="1">
        <row r="58">
          <cell r="N58">
            <v>342567.05</v>
          </cell>
          <cell r="O58">
            <v>228591.91</v>
          </cell>
          <cell r="P58">
            <v>279442.39</v>
          </cell>
          <cell r="Q58">
            <v>227328.76</v>
          </cell>
          <cell r="R58">
            <v>57196.88</v>
          </cell>
        </row>
      </sheetData>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etro"/>
      <sheetName val="Pivot - SI Project Metro"/>
      <sheetName val="SI0000 Alloc"/>
      <sheetName val="SI Project Data"/>
      <sheetName val="Spending-Alloc Rates"/>
    </sheetNames>
    <sheetDataSet>
      <sheetData sheetId="0"/>
      <sheetData sheetId="1">
        <row r="58">
          <cell r="N58">
            <v>690682.32</v>
          </cell>
          <cell r="O58">
            <v>99470.93</v>
          </cell>
          <cell r="P58">
            <v>305416.17</v>
          </cell>
          <cell r="Q58">
            <v>159072.91</v>
          </cell>
          <cell r="R58">
            <v>24636.79</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etro"/>
      <sheetName val="Pivot - SI Project Metro"/>
      <sheetName val="SI0000 Alloc"/>
      <sheetName val="SI Project Data"/>
      <sheetName val="Spending-Alloc Rates"/>
    </sheetNames>
    <sheetDataSet>
      <sheetData sheetId="0"/>
      <sheetData sheetId="1">
        <row r="58">
          <cell r="N58">
            <v>341702.78</v>
          </cell>
          <cell r="O58">
            <v>-150617.12</v>
          </cell>
          <cell r="P58">
            <v>216412.62</v>
          </cell>
          <cell r="Q58">
            <v>12674.4</v>
          </cell>
          <cell r="R58">
            <v>3257.38</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pend EO- Metro"/>
      <sheetName val="Pivot - SI Project Metro"/>
      <sheetName val="SI0000 Alloc"/>
      <sheetName val="SI Project Data"/>
      <sheetName val="Spending-Alloc Rates"/>
    </sheetNames>
    <sheetDataSet>
      <sheetData sheetId="0"/>
      <sheetData sheetId="1">
        <row r="58">
          <cell r="N58">
            <v>143249.97</v>
          </cell>
          <cell r="O58">
            <v>16665.060000000001</v>
          </cell>
          <cell r="P58">
            <v>44951.9</v>
          </cell>
          <cell r="Q58">
            <v>27549.439999999999</v>
          </cell>
          <cell r="R58">
            <v>2670.26</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2B4A1-150A-49F4-9589-E4D8EEB24C17}">
  <sheetPr codeName="Sheet1"/>
  <dimension ref="A1:E69"/>
  <sheetViews>
    <sheetView workbookViewId="0">
      <pane xSplit="1" ySplit="4" topLeftCell="B10" activePane="bottomRight" state="frozen"/>
      <selection activeCell="B5" sqref="B5"/>
      <selection pane="topRight" activeCell="B5" sqref="B5"/>
      <selection pane="bottomLeft" activeCell="B5" sqref="B5"/>
      <selection pane="bottomRight" activeCell="C11" sqref="C11"/>
    </sheetView>
  </sheetViews>
  <sheetFormatPr defaultRowHeight="15"/>
  <cols>
    <col min="1" max="1" width="17" style="3" bestFit="1" customWidth="1"/>
    <col min="2" max="2" width="62.28515625" style="308" customWidth="1"/>
    <col min="3" max="3" width="62.140625" style="308" customWidth="1"/>
    <col min="4" max="16384" width="9.140625" style="45"/>
  </cols>
  <sheetData>
    <row r="1" spans="1:5">
      <c r="A1" s="62" t="str">
        <f>'PTD Cycle 3'!A1</f>
        <v>Evergy Metro, Inc. - DSIM Rider Update Filed 06/01/2026</v>
      </c>
    </row>
    <row r="4" spans="1:5" s="3" customFormat="1">
      <c r="A4" s="263" t="s">
        <v>154</v>
      </c>
      <c r="B4" s="264" t="s">
        <v>156</v>
      </c>
      <c r="C4" s="264" t="s">
        <v>157</v>
      </c>
    </row>
    <row r="5" spans="1:5" s="261" customFormat="1" ht="30">
      <c r="A5" s="265" t="s">
        <v>155</v>
      </c>
      <c r="B5" s="340" t="s">
        <v>254</v>
      </c>
      <c r="C5" s="340" t="s">
        <v>158</v>
      </c>
      <c r="E5" s="291"/>
    </row>
    <row r="6" spans="1:5" s="261" customFormat="1" ht="30">
      <c r="A6" s="265" t="s">
        <v>159</v>
      </c>
      <c r="B6" s="340" t="s">
        <v>160</v>
      </c>
      <c r="C6" s="340" t="s">
        <v>161</v>
      </c>
      <c r="E6" s="291"/>
    </row>
    <row r="7" spans="1:5" s="261" customFormat="1" ht="90">
      <c r="A7" s="265" t="s">
        <v>201</v>
      </c>
      <c r="B7" s="340" t="s">
        <v>255</v>
      </c>
      <c r="C7" s="340" t="s">
        <v>203</v>
      </c>
      <c r="E7" s="291"/>
    </row>
    <row r="8" spans="1:5" s="261" customFormat="1" ht="150">
      <c r="A8" s="265" t="s">
        <v>162</v>
      </c>
      <c r="B8" s="340" t="s">
        <v>256</v>
      </c>
      <c r="C8" s="340" t="s">
        <v>165</v>
      </c>
      <c r="E8" s="291"/>
    </row>
    <row r="9" spans="1:5" s="261" customFormat="1" ht="150">
      <c r="A9" s="265" t="s">
        <v>187</v>
      </c>
      <c r="B9" s="340" t="s">
        <v>257</v>
      </c>
      <c r="C9" s="340" t="s">
        <v>165</v>
      </c>
      <c r="E9" s="291"/>
    </row>
    <row r="10" spans="1:5" s="261" customFormat="1" ht="75">
      <c r="A10" s="265" t="s">
        <v>163</v>
      </c>
      <c r="B10" s="340" t="s">
        <v>258</v>
      </c>
      <c r="C10" s="340" t="s">
        <v>259</v>
      </c>
      <c r="E10" s="291"/>
    </row>
    <row r="11" spans="1:5" s="261" customFormat="1" ht="75">
      <c r="A11" s="265" t="s">
        <v>202</v>
      </c>
      <c r="B11" s="340" t="s">
        <v>260</v>
      </c>
      <c r="C11" s="340" t="s">
        <v>215</v>
      </c>
      <c r="E11" s="291"/>
    </row>
    <row r="12" spans="1:5" s="261" customFormat="1" ht="238.5" customHeight="1">
      <c r="A12" s="265" t="s">
        <v>164</v>
      </c>
      <c r="B12" s="340" t="s">
        <v>261</v>
      </c>
      <c r="C12" s="340" t="s">
        <v>224</v>
      </c>
      <c r="E12" s="291"/>
    </row>
    <row r="13" spans="1:5" s="261" customFormat="1" ht="238.5" customHeight="1">
      <c r="A13" s="265" t="s">
        <v>213</v>
      </c>
      <c r="B13" s="340" t="s">
        <v>262</v>
      </c>
      <c r="C13" s="340" t="s">
        <v>214</v>
      </c>
      <c r="E13" s="291"/>
    </row>
    <row r="14" spans="1:5" s="261" customFormat="1" ht="250.5" customHeight="1">
      <c r="A14" s="265" t="s">
        <v>166</v>
      </c>
      <c r="B14" s="340" t="s">
        <v>264</v>
      </c>
      <c r="C14" s="340" t="s">
        <v>263</v>
      </c>
      <c r="D14" s="305"/>
    </row>
    <row r="15" spans="1:5" s="261" customFormat="1" ht="231" customHeight="1">
      <c r="A15" s="265" t="s">
        <v>216</v>
      </c>
      <c r="B15" s="340" t="s">
        <v>265</v>
      </c>
      <c r="C15" s="340" t="s">
        <v>222</v>
      </c>
      <c r="D15" s="305"/>
    </row>
    <row r="16" spans="1:5" s="261" customFormat="1" ht="107.25" customHeight="1">
      <c r="A16" s="265" t="s">
        <v>167</v>
      </c>
      <c r="B16" s="340" t="s">
        <v>266</v>
      </c>
      <c r="C16" s="340" t="s">
        <v>171</v>
      </c>
      <c r="D16" s="305"/>
    </row>
    <row r="17" spans="1:3" s="261" customFormat="1" ht="30">
      <c r="A17" s="265" t="s">
        <v>168</v>
      </c>
      <c r="B17" s="340" t="s">
        <v>267</v>
      </c>
      <c r="C17" s="340" t="s">
        <v>268</v>
      </c>
    </row>
    <row r="18" spans="1:3" s="261" customFormat="1" ht="75">
      <c r="A18" s="265" t="s">
        <v>169</v>
      </c>
      <c r="B18" s="340" t="s">
        <v>269</v>
      </c>
      <c r="C18" s="340" t="s">
        <v>170</v>
      </c>
    </row>
    <row r="19" spans="1:3" s="261" customFormat="1" ht="75">
      <c r="A19" s="265" t="s">
        <v>236</v>
      </c>
      <c r="B19" s="340" t="s">
        <v>270</v>
      </c>
      <c r="C19" s="340" t="s">
        <v>170</v>
      </c>
    </row>
    <row r="20" spans="1:3" s="261" customFormat="1">
      <c r="A20" s="262"/>
      <c r="B20" s="307"/>
      <c r="C20" s="307"/>
    </row>
    <row r="21" spans="1:3" s="261" customFormat="1">
      <c r="A21" s="262"/>
      <c r="B21" s="307"/>
      <c r="C21" s="307"/>
    </row>
    <row r="22" spans="1:3" s="261" customFormat="1">
      <c r="A22" s="262"/>
      <c r="B22" s="307"/>
      <c r="C22" s="307"/>
    </row>
    <row r="23" spans="1:3" s="261" customFormat="1">
      <c r="A23" s="262"/>
      <c r="B23" s="307"/>
      <c r="C23" s="307"/>
    </row>
    <row r="24" spans="1:3" s="261" customFormat="1">
      <c r="A24" s="262"/>
      <c r="B24" s="307"/>
      <c r="C24" s="307"/>
    </row>
    <row r="25" spans="1:3" s="261" customFormat="1">
      <c r="A25" s="262"/>
      <c r="B25" s="307"/>
      <c r="C25" s="307"/>
    </row>
    <row r="26" spans="1:3" s="261" customFormat="1">
      <c r="A26" s="262"/>
      <c r="B26" s="307"/>
      <c r="C26" s="307"/>
    </row>
    <row r="27" spans="1:3" s="261" customFormat="1">
      <c r="A27" s="262"/>
      <c r="B27" s="307"/>
      <c r="C27" s="307"/>
    </row>
    <row r="28" spans="1:3" s="261" customFormat="1">
      <c r="A28" s="262"/>
      <c r="B28" s="307"/>
      <c r="C28" s="307"/>
    </row>
    <row r="29" spans="1:3" s="261" customFormat="1">
      <c r="A29" s="262"/>
      <c r="B29" s="307"/>
      <c r="C29" s="307"/>
    </row>
    <row r="30" spans="1:3" s="261" customFormat="1">
      <c r="A30" s="262"/>
      <c r="B30" s="307"/>
      <c r="C30" s="307"/>
    </row>
    <row r="31" spans="1:3" s="261" customFormat="1">
      <c r="A31" s="262"/>
      <c r="B31" s="307"/>
      <c r="C31" s="307"/>
    </row>
    <row r="32" spans="1:3" s="261" customFormat="1">
      <c r="A32" s="262"/>
      <c r="B32" s="307"/>
      <c r="C32" s="307"/>
    </row>
    <row r="33" spans="1:3" s="261" customFormat="1">
      <c r="A33" s="262"/>
      <c r="B33" s="307"/>
      <c r="C33" s="307"/>
    </row>
    <row r="34" spans="1:3" s="261" customFormat="1">
      <c r="A34" s="262"/>
      <c r="B34" s="307"/>
      <c r="C34" s="307"/>
    </row>
    <row r="35" spans="1:3" s="261" customFormat="1">
      <c r="A35" s="262"/>
      <c r="B35" s="307"/>
      <c r="C35" s="307"/>
    </row>
    <row r="36" spans="1:3" s="261" customFormat="1">
      <c r="A36" s="262"/>
      <c r="B36" s="307"/>
      <c r="C36" s="307"/>
    </row>
    <row r="37" spans="1:3" s="261" customFormat="1">
      <c r="A37" s="262"/>
      <c r="B37" s="307"/>
      <c r="C37" s="307"/>
    </row>
    <row r="38" spans="1:3" s="261" customFormat="1">
      <c r="A38" s="262"/>
      <c r="B38" s="307"/>
      <c r="C38" s="307"/>
    </row>
    <row r="39" spans="1:3" s="261" customFormat="1">
      <c r="A39" s="262"/>
      <c r="B39" s="307"/>
      <c r="C39" s="307"/>
    </row>
    <row r="40" spans="1:3" s="261" customFormat="1">
      <c r="A40" s="262"/>
      <c r="B40" s="307"/>
      <c r="C40" s="307"/>
    </row>
    <row r="41" spans="1:3" s="261" customFormat="1">
      <c r="A41" s="262"/>
      <c r="B41" s="307"/>
      <c r="C41" s="307"/>
    </row>
    <row r="42" spans="1:3" s="261" customFormat="1">
      <c r="A42" s="262"/>
      <c r="B42" s="307"/>
      <c r="C42" s="307"/>
    </row>
    <row r="43" spans="1:3" s="261" customFormat="1">
      <c r="A43" s="262"/>
      <c r="B43" s="307"/>
      <c r="C43" s="307"/>
    </row>
    <row r="44" spans="1:3" s="261" customFormat="1">
      <c r="A44" s="262"/>
      <c r="B44" s="307"/>
      <c r="C44" s="307"/>
    </row>
    <row r="45" spans="1:3" s="261" customFormat="1">
      <c r="A45" s="262"/>
      <c r="B45" s="307"/>
      <c r="C45" s="307"/>
    </row>
    <row r="46" spans="1:3" s="261" customFormat="1">
      <c r="A46" s="262"/>
      <c r="B46" s="307"/>
      <c r="C46" s="307"/>
    </row>
    <row r="47" spans="1:3" s="261" customFormat="1">
      <c r="A47" s="262"/>
      <c r="B47" s="307"/>
      <c r="C47" s="307"/>
    </row>
    <row r="48" spans="1:3" s="261" customFormat="1">
      <c r="A48" s="262"/>
      <c r="B48" s="307"/>
      <c r="C48" s="307"/>
    </row>
    <row r="49" spans="1:3" s="261" customFormat="1">
      <c r="A49" s="262"/>
      <c r="B49" s="307"/>
      <c r="C49" s="307"/>
    </row>
    <row r="50" spans="1:3" s="261" customFormat="1">
      <c r="A50" s="262"/>
      <c r="B50" s="307"/>
      <c r="C50" s="307"/>
    </row>
    <row r="51" spans="1:3" s="261" customFormat="1">
      <c r="A51" s="262"/>
      <c r="B51" s="307"/>
      <c r="C51" s="307"/>
    </row>
    <row r="52" spans="1:3" s="261" customFormat="1">
      <c r="A52" s="262"/>
      <c r="B52" s="307"/>
      <c r="C52" s="307"/>
    </row>
    <row r="53" spans="1:3" s="261" customFormat="1">
      <c r="A53" s="262"/>
      <c r="B53" s="307"/>
      <c r="C53" s="307"/>
    </row>
    <row r="54" spans="1:3" s="261" customFormat="1">
      <c r="A54" s="262"/>
      <c r="B54" s="307"/>
      <c r="C54" s="307"/>
    </row>
    <row r="55" spans="1:3" s="261" customFormat="1">
      <c r="A55" s="262"/>
      <c r="B55" s="307"/>
      <c r="C55" s="307"/>
    </row>
    <row r="56" spans="1:3" s="261" customFormat="1">
      <c r="A56" s="262"/>
      <c r="B56" s="307"/>
      <c r="C56" s="307"/>
    </row>
    <row r="57" spans="1:3" s="261" customFormat="1">
      <c r="A57" s="262"/>
      <c r="B57" s="307"/>
      <c r="C57" s="307"/>
    </row>
    <row r="58" spans="1:3" s="261" customFormat="1">
      <c r="A58" s="262"/>
      <c r="B58" s="307"/>
      <c r="C58" s="307"/>
    </row>
    <row r="59" spans="1:3" s="261" customFormat="1">
      <c r="A59" s="262"/>
      <c r="B59" s="307"/>
      <c r="C59" s="307"/>
    </row>
    <row r="60" spans="1:3" s="261" customFormat="1">
      <c r="A60" s="262"/>
      <c r="B60" s="307"/>
      <c r="C60" s="307"/>
    </row>
    <row r="61" spans="1:3" s="261" customFormat="1">
      <c r="A61" s="262"/>
      <c r="B61" s="307"/>
      <c r="C61" s="307"/>
    </row>
    <row r="62" spans="1:3" s="261" customFormat="1">
      <c r="A62" s="262"/>
      <c r="B62" s="307"/>
      <c r="C62" s="307"/>
    </row>
    <row r="63" spans="1:3" s="261" customFormat="1">
      <c r="A63" s="262"/>
      <c r="B63" s="307"/>
      <c r="C63" s="307"/>
    </row>
    <row r="64" spans="1:3" s="261" customFormat="1">
      <c r="A64" s="262"/>
      <c r="B64" s="307"/>
      <c r="C64" s="307"/>
    </row>
    <row r="65" spans="1:3" s="261" customFormat="1">
      <c r="A65" s="262"/>
      <c r="B65" s="307"/>
      <c r="C65" s="307"/>
    </row>
    <row r="66" spans="1:3" s="261" customFormat="1">
      <c r="A66" s="262"/>
      <c r="B66" s="307"/>
      <c r="C66" s="307"/>
    </row>
    <row r="67" spans="1:3" s="261" customFormat="1">
      <c r="A67" s="262"/>
      <c r="B67" s="307"/>
      <c r="C67" s="307"/>
    </row>
    <row r="68" spans="1:3" s="261" customFormat="1">
      <c r="A68" s="262"/>
      <c r="B68" s="307"/>
      <c r="C68" s="307"/>
    </row>
    <row r="69" spans="1:3" s="261" customFormat="1">
      <c r="A69" s="262"/>
      <c r="B69" s="307"/>
      <c r="C69" s="307"/>
    </row>
  </sheetData>
  <autoFilter ref="A4:E69" xr:uid="{7612B4A1-150A-49F4-9589-E4D8EEB24C17}"/>
  <phoneticPr fontId="41"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CC9F0-405C-4F98-B774-31022864788D}">
  <sheetPr>
    <pageSetUpPr fitToPage="1"/>
  </sheetPr>
  <dimension ref="A1:AI74"/>
  <sheetViews>
    <sheetView zoomScale="85" zoomScaleNormal="85" workbookViewId="0"/>
  </sheetViews>
  <sheetFormatPr defaultColWidth="9.140625" defaultRowHeight="15" outlineLevelCol="1"/>
  <cols>
    <col min="1" max="1" width="37" style="45" customWidth="1"/>
    <col min="2" max="2" width="12.140625" style="45" customWidth="1"/>
    <col min="3" max="3" width="12.42578125" style="45" customWidth="1"/>
    <col min="4" max="4" width="12.42578125" style="45" customWidth="1" outlineLevel="1"/>
    <col min="5" max="5" width="15.42578125" style="45" customWidth="1"/>
    <col min="6" max="6" width="15.85546875" style="45" customWidth="1"/>
    <col min="7" max="7" width="12.28515625" style="45" customWidth="1"/>
    <col min="8" max="9" width="13.28515625" style="45" customWidth="1"/>
    <col min="10" max="10" width="12.28515625" style="45" bestFit="1" customWidth="1"/>
    <col min="11" max="11" width="11.5703125" style="45" bestFit="1" customWidth="1"/>
    <col min="12" max="12" width="12.85546875" style="45" customWidth="1"/>
    <col min="13" max="13" width="12.28515625" style="45" bestFit="1" customWidth="1"/>
    <col min="14" max="14" width="15" style="45" bestFit="1" customWidth="1"/>
    <col min="15" max="15" width="16" style="45" bestFit="1" customWidth="1"/>
    <col min="16" max="16" width="15.28515625" style="45" hidden="1" customWidth="1" outlineLevel="1"/>
    <col min="17" max="17" width="17.42578125" style="45" bestFit="1" customWidth="1" collapsed="1"/>
    <col min="18" max="18" width="16.28515625" style="45" bestFit="1" customWidth="1"/>
    <col min="19" max="19" width="15.28515625" style="45" bestFit="1" customWidth="1"/>
    <col min="20" max="20" width="12.42578125" style="45" customWidth="1"/>
    <col min="21" max="22" width="14.28515625" style="45" bestFit="1" customWidth="1"/>
    <col min="23" max="16384" width="9.140625" style="45"/>
  </cols>
  <sheetData>
    <row r="1" spans="1:35">
      <c r="A1" s="62" t="str">
        <f>'PTD Cycle 3'!A1</f>
        <v>Evergy Metro, Inc. - DSIM Rider Update Filed 06/01/2026</v>
      </c>
      <c r="B1" s="3"/>
      <c r="C1" s="3"/>
      <c r="D1" s="3"/>
    </row>
    <row r="2" spans="1:35">
      <c r="E2" s="62" t="s">
        <v>218</v>
      </c>
    </row>
    <row r="3" spans="1:35" ht="45">
      <c r="E3" s="47" t="s">
        <v>40</v>
      </c>
      <c r="F3" s="69" t="s">
        <v>61</v>
      </c>
      <c r="G3" s="69" t="s">
        <v>48</v>
      </c>
      <c r="H3" s="47" t="s">
        <v>1</v>
      </c>
      <c r="I3" s="69" t="s">
        <v>49</v>
      </c>
      <c r="J3" s="47" t="s">
        <v>8</v>
      </c>
      <c r="K3" s="47" t="s">
        <v>7</v>
      </c>
      <c r="S3" s="47"/>
    </row>
    <row r="4" spans="1:35">
      <c r="A4" s="19" t="s">
        <v>22</v>
      </c>
      <c r="B4" s="19"/>
      <c r="C4" s="19"/>
      <c r="D4" s="19"/>
      <c r="E4" s="21">
        <f>SUM(C16:M16)</f>
        <v>-17566.885133931246</v>
      </c>
      <c r="F4" s="130">
        <f>N23</f>
        <v>96426.868300000002</v>
      </c>
      <c r="G4" s="21">
        <f>SUM(C30:L30)</f>
        <v>9815.01</v>
      </c>
      <c r="H4" s="21">
        <f>G4-E4</f>
        <v>27381.895133931248</v>
      </c>
      <c r="I4" s="21">
        <f>+B46</f>
        <v>-195083.00779393129</v>
      </c>
      <c r="J4" s="21">
        <f>SUM(C54:L54)</f>
        <v>-4595.2599999999993</v>
      </c>
      <c r="K4" s="24">
        <f>SUM(H4:J4)</f>
        <v>-172296.37266000005</v>
      </c>
      <c r="L4" s="46">
        <f>+K4-M46</f>
        <v>0</v>
      </c>
    </row>
    <row r="5" spans="1:35">
      <c r="A5" s="19" t="s">
        <v>91</v>
      </c>
      <c r="B5" s="19"/>
      <c r="C5" s="19"/>
      <c r="D5" s="19"/>
      <c r="E5" s="21">
        <f t="shared" ref="E5:E7" si="0">SUM(C17:M17)</f>
        <v>108175.94547000001</v>
      </c>
      <c r="F5" s="130">
        <f t="shared" ref="F5:F7" si="1">N24</f>
        <v>339026.35499999998</v>
      </c>
      <c r="G5" s="21">
        <f t="shared" ref="G5:G7" si="2">SUM(C31:L31)</f>
        <v>28631.57</v>
      </c>
      <c r="H5" s="21">
        <f t="shared" ref="H5:H7" si="3">G5-E5</f>
        <v>-79544.375469999999</v>
      </c>
      <c r="I5" s="21">
        <f t="shared" ref="I5:I7" si="4">+B47</f>
        <v>-454.62027000000217</v>
      </c>
      <c r="J5" s="21">
        <f t="shared" ref="J5:J7" si="5">SUM(C55:L55)</f>
        <v>-656.86</v>
      </c>
      <c r="K5" s="24">
        <f t="shared" ref="K5:K7" si="6">SUM(H5:J5)</f>
        <v>-80655.855739999999</v>
      </c>
      <c r="L5" s="46">
        <f>+K5-M47</f>
        <v>0</v>
      </c>
    </row>
    <row r="6" spans="1:35">
      <c r="A6" s="19" t="s">
        <v>92</v>
      </c>
      <c r="B6" s="19"/>
      <c r="C6" s="19"/>
      <c r="D6" s="19"/>
      <c r="E6" s="21">
        <f t="shared" si="0"/>
        <v>52545.537900000003</v>
      </c>
      <c r="F6" s="130">
        <f t="shared" si="1"/>
        <v>482961.24029999995</v>
      </c>
      <c r="G6" s="21">
        <f t="shared" si="2"/>
        <v>20879.440000000002</v>
      </c>
      <c r="H6" s="21">
        <f t="shared" si="3"/>
        <v>-31666.097900000001</v>
      </c>
      <c r="I6" s="21">
        <f t="shared" si="4"/>
        <v>-24171.556400000009</v>
      </c>
      <c r="J6" s="21">
        <f t="shared" si="5"/>
        <v>-828.02</v>
      </c>
      <c r="K6" s="24">
        <f t="shared" si="6"/>
        <v>-56665.674300000006</v>
      </c>
      <c r="L6" s="46">
        <f>+K6-M48</f>
        <v>0</v>
      </c>
    </row>
    <row r="7" spans="1:35">
      <c r="A7" s="19" t="s">
        <v>93</v>
      </c>
      <c r="B7" s="19"/>
      <c r="C7" s="19"/>
      <c r="D7" s="19"/>
      <c r="E7" s="21">
        <f t="shared" si="0"/>
        <v>2501.2638399999992</v>
      </c>
      <c r="F7" s="130">
        <f t="shared" si="1"/>
        <v>325529.18170000002</v>
      </c>
      <c r="G7" s="21">
        <f t="shared" si="2"/>
        <v>8316.19</v>
      </c>
      <c r="H7" s="21">
        <f t="shared" si="3"/>
        <v>5814.9261600000009</v>
      </c>
      <c r="I7" s="21">
        <f t="shared" si="4"/>
        <v>-40954.94616</v>
      </c>
      <c r="J7" s="21">
        <f t="shared" si="5"/>
        <v>-991.99000000000012</v>
      </c>
      <c r="K7" s="24">
        <f t="shared" si="6"/>
        <v>-36132.009999999995</v>
      </c>
      <c r="L7" s="46">
        <f>+K7-M49</f>
        <v>0</v>
      </c>
    </row>
    <row r="8" spans="1:35" ht="15.75" thickBot="1">
      <c r="A8" s="19" t="s">
        <v>94</v>
      </c>
      <c r="B8" s="19"/>
      <c r="C8" s="19"/>
      <c r="D8" s="19"/>
      <c r="E8" s="21">
        <f>SUM(C20:M20)</f>
        <v>-1852.7030500000005</v>
      </c>
      <c r="F8" s="130">
        <f>N27</f>
        <v>0</v>
      </c>
      <c r="G8" s="21">
        <f>SUM(C34:L34)</f>
        <v>0</v>
      </c>
      <c r="H8" s="21">
        <f>G8-E8</f>
        <v>1852.7030500000005</v>
      </c>
      <c r="I8" s="21">
        <f>+B50</f>
        <v>-6117.2722199999989</v>
      </c>
      <c r="J8" s="21">
        <f>SUM(C58:L58)</f>
        <v>-137.27000000000001</v>
      </c>
      <c r="K8" s="24">
        <f>SUM(H8:J8)</f>
        <v>-4401.8391699999993</v>
      </c>
      <c r="L8" s="46">
        <f>+K8-M50</f>
        <v>0</v>
      </c>
    </row>
    <row r="9" spans="1:35" ht="16.5" thickTop="1" thickBot="1">
      <c r="E9" s="26">
        <f t="shared" ref="E9:I9" si="7">SUM(E4:E8)</f>
        <v>143803.15902606875</v>
      </c>
      <c r="F9" s="131">
        <f t="shared" si="7"/>
        <v>1243943.6453</v>
      </c>
      <c r="G9" s="26">
        <f t="shared" si="7"/>
        <v>67642.210000000006</v>
      </c>
      <c r="H9" s="26">
        <f t="shared" si="7"/>
        <v>-76160.949026068745</v>
      </c>
      <c r="I9" s="26">
        <f t="shared" si="7"/>
        <v>-266781.40284393128</v>
      </c>
      <c r="J9" s="26">
        <f>SUM(J4:J8)</f>
        <v>-7209.4</v>
      </c>
      <c r="K9" s="26">
        <f>SUM(K4:K8)</f>
        <v>-350151.75187000004</v>
      </c>
      <c r="T9" s="5"/>
    </row>
    <row r="10" spans="1:35" ht="16.5" thickTop="1" thickBot="1">
      <c r="C10" s="38"/>
      <c r="K10" s="209"/>
      <c r="L10" s="208"/>
    </row>
    <row r="11" spans="1:35" ht="120.75" thickBot="1">
      <c r="B11" s="111" t="str">
        <f>'PCR Cycle 4'!B$11</f>
        <v>Cumulative Over/Under Carryover From 12/01/2025 Filing</v>
      </c>
      <c r="C11" s="144" t="str">
        <f>'PCR Cycle 4'!C$11</f>
        <v>Reverse November 2025 - January 2026 Forecast From 12/01/2025 Filing</v>
      </c>
      <c r="D11" s="293"/>
      <c r="E11" s="362" t="s">
        <v>28</v>
      </c>
      <c r="F11" s="362"/>
      <c r="G11" s="363"/>
      <c r="H11" s="372" t="s">
        <v>28</v>
      </c>
      <c r="I11" s="373"/>
      <c r="J11" s="374"/>
      <c r="K11" s="357" t="s">
        <v>6</v>
      </c>
      <c r="L11" s="358"/>
      <c r="M11" s="359"/>
      <c r="P11" s="309" t="s">
        <v>177</v>
      </c>
    </row>
    <row r="12" spans="1:35">
      <c r="A12" s="45" t="s">
        <v>55</v>
      </c>
      <c r="C12" s="322"/>
      <c r="D12" s="351"/>
      <c r="E12" s="321">
        <f>+'PCR Cycle 4'!E$12</f>
        <v>45991</v>
      </c>
      <c r="F12" s="321">
        <f>+'PCR Cycle 4'!F$12</f>
        <v>46022</v>
      </c>
      <c r="G12" s="321">
        <f>+'PCR Cycle 4'!G$12</f>
        <v>46053</v>
      </c>
      <c r="H12" s="322">
        <f>+'PCR Cycle 4'!H$12</f>
        <v>46081</v>
      </c>
      <c r="I12" s="321">
        <f>+'PCR Cycle 4'!I$12</f>
        <v>46112</v>
      </c>
      <c r="J12" s="323">
        <f>+'PCR Cycle 4'!J$12</f>
        <v>46142</v>
      </c>
      <c r="K12" s="321">
        <f>+'PCR Cycle 4'!K$12</f>
        <v>46173</v>
      </c>
      <c r="L12" s="321">
        <f>+'PCR Cycle 4'!L$12</f>
        <v>46203</v>
      </c>
      <c r="M12" s="324">
        <f>+'PCR Cycle 4'!M$12</f>
        <v>46234</v>
      </c>
      <c r="P12" s="177"/>
      <c r="Z12" s="1"/>
      <c r="AA12" s="1"/>
      <c r="AB12" s="1"/>
      <c r="AC12" s="1"/>
      <c r="AD12" s="1"/>
      <c r="AE12" s="1"/>
      <c r="AF12" s="1"/>
      <c r="AG12" s="1"/>
      <c r="AH12" s="1"/>
      <c r="AI12" s="1"/>
    </row>
    <row r="13" spans="1:35">
      <c r="A13" s="45" t="s">
        <v>3</v>
      </c>
      <c r="C13" s="179">
        <v>-12296.41</v>
      </c>
      <c r="D13" s="180"/>
      <c r="E13" s="105">
        <f t="shared" ref="E13:L13" si="8">SUM(E30:E34)</f>
        <v>3735.8</v>
      </c>
      <c r="F13" s="105">
        <f t="shared" si="8"/>
        <v>4442.95</v>
      </c>
      <c r="G13" s="106">
        <f t="shared" si="8"/>
        <v>5528.329999999999</v>
      </c>
      <c r="H13" s="15">
        <f t="shared" si="8"/>
        <v>5094.95</v>
      </c>
      <c r="I13" s="54">
        <f t="shared" si="8"/>
        <v>6803.54</v>
      </c>
      <c r="J13" s="156">
        <f t="shared" si="8"/>
        <v>6726.7</v>
      </c>
      <c r="K13" s="149">
        <f t="shared" si="8"/>
        <v>9635.35</v>
      </c>
      <c r="L13" s="76">
        <f t="shared" si="8"/>
        <v>37971</v>
      </c>
      <c r="M13" s="77"/>
      <c r="P13" s="177">
        <f>-SUM(K13:M13)</f>
        <v>-47606.35</v>
      </c>
    </row>
    <row r="14" spans="1:35">
      <c r="C14" s="97"/>
      <c r="D14" s="181"/>
      <c r="E14" s="16"/>
      <c r="F14" s="16"/>
      <c r="G14" s="16"/>
      <c r="H14" s="9"/>
      <c r="I14" s="16"/>
      <c r="J14" s="10"/>
      <c r="K14" s="30"/>
      <c r="L14" s="30"/>
      <c r="M14" s="28"/>
      <c r="P14" s="177"/>
    </row>
    <row r="15" spans="1:35">
      <c r="A15" s="45" t="s">
        <v>54</v>
      </c>
      <c r="C15" s="97"/>
      <c r="D15" s="181"/>
      <c r="E15" s="236"/>
      <c r="F15" s="236"/>
      <c r="G15" s="236"/>
      <c r="H15" s="99"/>
      <c r="I15" s="236"/>
      <c r="J15" s="345"/>
      <c r="K15" s="235"/>
      <c r="L15" s="235"/>
      <c r="M15" s="349"/>
      <c r="N15" s="62" t="s">
        <v>58</v>
      </c>
      <c r="O15" s="38"/>
      <c r="P15" s="177"/>
    </row>
    <row r="16" spans="1:35">
      <c r="A16" s="45" t="s">
        <v>22</v>
      </c>
      <c r="C16" s="333">
        <v>-27471.617793931255</v>
      </c>
      <c r="D16" s="180"/>
      <c r="E16" s="128">
        <f>'[4]EMM Nov25'!$G161+'[4]EMM Nov25'!$G169</f>
        <v>6509.83</v>
      </c>
      <c r="F16" s="128">
        <f>'[4]EMM Dec25'!$G161+'[4]EMM Dec25'!$G169</f>
        <v>9145.7799999999988</v>
      </c>
      <c r="G16" s="128">
        <f>'[4]EMM Jan26'!$G161+'[4]EMM Jan26'!$G169</f>
        <v>9812.8300000000017</v>
      </c>
      <c r="H16" s="15">
        <f>'[4]EMM Feb26'!$G161+'[4]EMM Feb26'!$G169</f>
        <v>4963.1600000000017</v>
      </c>
      <c r="I16" s="114">
        <f>'[4]EMM Mar26'!$G161+'[4]EMM Mar26'!$G169</f>
        <v>-3821.3199999999997</v>
      </c>
      <c r="J16" s="156">
        <f>'[4]EMM Apr26'!$G161+'[4]EMM Apr26'!$G169</f>
        <v>-3367.8500000000004</v>
      </c>
      <c r="K16" s="116">
        <f>'PCR Cycle 4'!K22*'TDR Cycle 4'!$N16</f>
        <v>-3117.9078599999989</v>
      </c>
      <c r="L16" s="40">
        <f>'PCR Cycle 4'!L22*'TDR Cycle 4'!$N16</f>
        <v>-4206.0511799999986</v>
      </c>
      <c r="M16" s="60">
        <f>'PCR Cycle 4'!M22*'TDR Cycle 4'!$N16</f>
        <v>-6013.7382999999973</v>
      </c>
      <c r="N16" s="71">
        <v>-1.9999999999999991E-5</v>
      </c>
      <c r="O16" s="4"/>
      <c r="P16" s="177">
        <f t="shared" ref="P16:P20" si="9">-SUM(K16:M16)</f>
        <v>13337.697339999995</v>
      </c>
    </row>
    <row r="17" spans="1:16">
      <c r="A17" s="45" t="s">
        <v>91</v>
      </c>
      <c r="C17" s="333">
        <v>-11225.680270000001</v>
      </c>
      <c r="D17" s="180"/>
      <c r="E17" s="128">
        <f>'[4]EMM Nov25'!$G162+'[4]EMM Nov25'!$G170</f>
        <v>3557.12</v>
      </c>
      <c r="F17" s="128">
        <f>'[4]EMM Dec25'!$G162+'[4]EMM Dec25'!$G170</f>
        <v>4216.6900000000005</v>
      </c>
      <c r="G17" s="128">
        <f>'[4]EMM Jan26'!$G162+'[4]EMM Jan26'!$G170</f>
        <v>4225.2000000000007</v>
      </c>
      <c r="H17" s="15">
        <f>'[4]EMM Feb26'!$G162+'[4]EMM Feb26'!$G170</f>
        <v>10464.720000000001</v>
      </c>
      <c r="I17" s="114">
        <f>'[4]EMM Mar26'!$G162+'[4]EMM Mar26'!$G170</f>
        <v>18088.98</v>
      </c>
      <c r="J17" s="156">
        <f>'[4]EMM Apr26'!$G162+'[4]EMM Apr26'!$G170</f>
        <v>16211.59</v>
      </c>
      <c r="K17" s="116">
        <f>'PCR Cycle 4'!K23*'TDR Cycle 4'!$N17</f>
        <v>18815.77104</v>
      </c>
      <c r="L17" s="40">
        <f>'PCR Cycle 4'!L23*'TDR Cycle 4'!$N17</f>
        <v>20744.466929999999</v>
      </c>
      <c r="M17" s="60">
        <f>'PCR Cycle 4'!M23*'TDR Cycle 4'!$N17</f>
        <v>23077.087769999998</v>
      </c>
      <c r="N17" s="71">
        <v>3.3E-4</v>
      </c>
      <c r="O17" s="4"/>
      <c r="P17" s="177">
        <f t="shared" si="9"/>
        <v>-62637.32574</v>
      </c>
    </row>
    <row r="18" spans="1:16">
      <c r="A18" s="45" t="s">
        <v>92</v>
      </c>
      <c r="C18" s="333">
        <v>-13730.726400000001</v>
      </c>
      <c r="D18" s="180"/>
      <c r="E18" s="128">
        <f>'[4]EMM Nov25'!$G163+'[4]EMM Nov25'!$G171</f>
        <v>4004.79</v>
      </c>
      <c r="F18" s="128">
        <f>'[4]EMM Dec25'!$G163+'[4]EMM Dec25'!$G171</f>
        <v>4578.3</v>
      </c>
      <c r="G18" s="128">
        <f>'[4]EMM Jan26'!$G163+'[4]EMM Jan26'!$G171</f>
        <v>4556.76</v>
      </c>
      <c r="H18" s="15">
        <f>'[4]EMM Feb26'!$G163+'[4]EMM Feb26'!$G171</f>
        <v>6394.9400000000005</v>
      </c>
      <c r="I18" s="114">
        <f>'[4]EMM Mar26'!$G163+'[4]EMM Mar26'!$G171</f>
        <v>8081.03</v>
      </c>
      <c r="J18" s="156">
        <f>'[4]EMM Apr26'!$G163+'[4]EMM Apr26'!$G171</f>
        <v>7640.55</v>
      </c>
      <c r="K18" s="116">
        <f>'PCR Cycle 4'!K24*'TDR Cycle 4'!$N18</f>
        <v>9318.1377000000011</v>
      </c>
      <c r="L18" s="40">
        <f>'PCR Cycle 4'!L24*'TDR Cycle 4'!$N18</f>
        <v>10273.2862</v>
      </c>
      <c r="M18" s="60">
        <f>'PCR Cycle 4'!M24*'TDR Cycle 4'!$N18</f>
        <v>11428.4704</v>
      </c>
      <c r="N18" s="71">
        <v>1E-4</v>
      </c>
      <c r="O18" s="4"/>
      <c r="P18" s="177">
        <f t="shared" si="9"/>
        <v>-31019.8943</v>
      </c>
    </row>
    <row r="19" spans="1:16">
      <c r="A19" s="45" t="s">
        <v>93</v>
      </c>
      <c r="C19" s="333">
        <v>-13451.03616</v>
      </c>
      <c r="D19" s="180"/>
      <c r="E19" s="128">
        <f>'[4]EMM Nov25'!$G164+'[4]EMM Nov25'!$G172</f>
        <v>3981.71</v>
      </c>
      <c r="F19" s="128">
        <f>'[4]EMM Dec25'!$G164+'[4]EMM Dec25'!$G172</f>
        <v>4607.28</v>
      </c>
      <c r="G19" s="128">
        <f>'[4]EMM Jan26'!$G164+'[4]EMM Jan26'!$G172</f>
        <v>4386.49</v>
      </c>
      <c r="H19" s="15">
        <f>'[4]EMM Feb26'!$G164+'[4]EMM Feb26'!$G172</f>
        <v>2859.78</v>
      </c>
      <c r="I19" s="114">
        <f>'[4]EMM Mar26'!$G164+'[4]EMM Mar26'!$G172</f>
        <v>102.80999999999995</v>
      </c>
      <c r="J19" s="156">
        <f>'[4]EMM Apr26'!$G164+'[4]EMM Apr26'!$G172</f>
        <v>14.230000000000018</v>
      </c>
      <c r="K19" s="116">
        <f>'PCR Cycle 4'!K25*'TDR Cycle 4'!$N19</f>
        <v>0</v>
      </c>
      <c r="L19" s="40">
        <f>'PCR Cycle 4'!L25*'TDR Cycle 4'!$N19</f>
        <v>0</v>
      </c>
      <c r="M19" s="60">
        <f>'PCR Cycle 4'!M25*'TDR Cycle 4'!$N19</f>
        <v>0</v>
      </c>
      <c r="N19" s="71">
        <v>0</v>
      </c>
      <c r="O19" s="4"/>
      <c r="P19" s="177">
        <f t="shared" si="9"/>
        <v>0</v>
      </c>
    </row>
    <row r="20" spans="1:16">
      <c r="A20" s="45" t="s">
        <v>94</v>
      </c>
      <c r="C20" s="333">
        <v>-1057.0422200000003</v>
      </c>
      <c r="D20" s="180"/>
      <c r="E20" s="128">
        <f>'[4]EMM Nov25'!$G165+'[4]EMM Nov25'!$G173</f>
        <v>346.86</v>
      </c>
      <c r="F20" s="128">
        <f>'[4]EMM Dec25'!$G165+'[4]EMM Dec25'!$G173</f>
        <v>355.01</v>
      </c>
      <c r="G20" s="128">
        <f>'[4]EMM Jan26'!$G165+'[4]EMM Jan26'!$G173</f>
        <v>223.18</v>
      </c>
      <c r="H20" s="15">
        <f>'[4]EMM Feb26'!$G165+'[4]EMM Feb26'!$G173</f>
        <v>54.63000000000001</v>
      </c>
      <c r="I20" s="114">
        <f>'[4]EMM Mar26'!$G165+'[4]EMM Mar26'!$G173</f>
        <v>-222.48</v>
      </c>
      <c r="J20" s="156">
        <f>'[4]EMM Apr26'!$G165+'[4]EMM Apr26'!$G173</f>
        <v>-380.15000000000003</v>
      </c>
      <c r="K20" s="116">
        <f>'PCR Cycle 4'!K26*'TDR Cycle 4'!$N20</f>
        <v>-352.27331000000004</v>
      </c>
      <c r="L20" s="40">
        <f>'PCR Cycle 4'!L26*'TDR Cycle 4'!$N20</f>
        <v>-388.38282000000004</v>
      </c>
      <c r="M20" s="60">
        <f>'PCR Cycle 4'!M26*'TDR Cycle 4'!$N20</f>
        <v>-432.05470000000003</v>
      </c>
      <c r="N20" s="71">
        <v>-1.0000000000000001E-5</v>
      </c>
      <c r="O20" s="4"/>
      <c r="P20" s="177">
        <f t="shared" si="9"/>
        <v>1172.71083</v>
      </c>
    </row>
    <row r="21" spans="1:16">
      <c r="C21" s="66"/>
      <c r="D21" s="182"/>
      <c r="E21" s="67"/>
      <c r="F21" s="67"/>
      <c r="G21" s="67"/>
      <c r="H21" s="66"/>
      <c r="I21" s="67"/>
      <c r="J21" s="159"/>
      <c r="K21" s="55"/>
      <c r="L21" s="55"/>
      <c r="M21" s="12"/>
      <c r="O21" s="4"/>
    </row>
    <row r="22" spans="1:16">
      <c r="A22" s="38" t="s">
        <v>57</v>
      </c>
      <c r="B22" s="38"/>
      <c r="C22" s="66"/>
      <c r="D22" s="182"/>
      <c r="E22" s="67"/>
      <c r="F22" s="67"/>
      <c r="G22" s="67"/>
      <c r="H22" s="66"/>
      <c r="I22" s="67"/>
      <c r="J22" s="160"/>
      <c r="K22" s="67"/>
      <c r="L22" s="67"/>
      <c r="M22" s="12"/>
      <c r="N22" s="6"/>
    </row>
    <row r="23" spans="1:16">
      <c r="A23" s="45" t="s">
        <v>22</v>
      </c>
      <c r="C23" s="334">
        <v>-27778.132700000002</v>
      </c>
      <c r="D23" s="183"/>
      <c r="E23" s="107">
        <f>ROUND('[17]Summary Monthly TD Calc'!L18,4)</f>
        <v>8385.0413000000008</v>
      </c>
      <c r="F23" s="107">
        <f>ROUND('[17]Summary Monthly TD Calc'!M18,4)</f>
        <v>12236.009</v>
      </c>
      <c r="G23" s="118">
        <f>ROUND('[17]Summary Monthly TD Calc'!N18,4)</f>
        <v>16905.1891</v>
      </c>
      <c r="H23" s="72">
        <f>ROUND('[17]Summary Monthly TD Calc'!O18,4)</f>
        <v>15188.402</v>
      </c>
      <c r="I23" s="73">
        <f>ROUND('[17]Summary Monthly TD Calc'!P18,4)</f>
        <v>14749.893</v>
      </c>
      <c r="J23" s="161">
        <f>ROUND('[17]Summary Monthly TD Calc'!Q18,4)</f>
        <v>12458.2739</v>
      </c>
      <c r="K23" s="150">
        <f>ROUND('[17]Summary Monthly TD Calc'!R18,4)</f>
        <v>12936.4023</v>
      </c>
      <c r="L23" s="136">
        <f>ROUND('[17]Summary Monthly TD Calc'!S18,4)</f>
        <v>31345.790400000002</v>
      </c>
      <c r="M23" s="78"/>
      <c r="N23" s="58">
        <f>SUM(C23:L23)</f>
        <v>96426.868300000002</v>
      </c>
      <c r="P23" s="177">
        <f t="shared" ref="P23:P27" si="10">-SUM(K23:M23)</f>
        <v>-44282.1927</v>
      </c>
    </row>
    <row r="24" spans="1:16">
      <c r="A24" s="45" t="s">
        <v>91</v>
      </c>
      <c r="C24" s="334">
        <v>-86153.250100000005</v>
      </c>
      <c r="D24" s="183"/>
      <c r="E24" s="107">
        <f>ROUND('[17]Summary Monthly TD Calc'!L19,4)</f>
        <v>25790.601500000001</v>
      </c>
      <c r="F24" s="107">
        <f>ROUND('[17]Summary Monthly TD Calc'!M19,4)</f>
        <v>28740.6931</v>
      </c>
      <c r="G24" s="118">
        <f>ROUND('[17]Summary Monthly TD Calc'!N19,4)</f>
        <v>33506.074399999998</v>
      </c>
      <c r="H24" s="72">
        <f>ROUND('[17]Summary Monthly TD Calc'!O19,4)</f>
        <v>29683.823700000001</v>
      </c>
      <c r="I24" s="73">
        <f>ROUND('[17]Summary Monthly TD Calc'!P19,4)</f>
        <v>34830.421699999999</v>
      </c>
      <c r="J24" s="161">
        <f>ROUND('[17]Summary Monthly TD Calc'!Q19,4)</f>
        <v>35090.4139</v>
      </c>
      <c r="K24" s="150">
        <f>ROUND('[17]Summary Monthly TD Calc'!R19,4)</f>
        <v>50775.806799999998</v>
      </c>
      <c r="L24" s="136">
        <f>ROUND('[17]Summary Monthly TD Calc'!S19,4)</f>
        <v>186761.77</v>
      </c>
      <c r="M24" s="78"/>
      <c r="N24" s="58">
        <f t="shared" ref="N24:N27" si="11">SUM(C24:L24)</f>
        <v>339026.35499999998</v>
      </c>
      <c r="P24" s="177">
        <f t="shared" si="10"/>
        <v>-237537.57679999998</v>
      </c>
    </row>
    <row r="25" spans="1:16">
      <c r="A25" s="45" t="s">
        <v>92</v>
      </c>
      <c r="C25" s="334">
        <v>-81371.62030000001</v>
      </c>
      <c r="D25" s="183"/>
      <c r="E25" s="107">
        <f>ROUND('[17]Summary Monthly TD Calc'!L20,4)</f>
        <v>22709.0183</v>
      </c>
      <c r="F25" s="107">
        <f>ROUND('[17]Summary Monthly TD Calc'!M20,4)</f>
        <v>30695.223000000002</v>
      </c>
      <c r="G25" s="118">
        <f>ROUND('[17]Summary Monthly TD Calc'!N20,4)</f>
        <v>44488.534500000002</v>
      </c>
      <c r="H25" s="72">
        <f>ROUND('[17]Summary Monthly TD Calc'!O20,4)</f>
        <v>42661.214999999997</v>
      </c>
      <c r="I25" s="73">
        <f>ROUND('[17]Summary Monthly TD Calc'!P20,4)</f>
        <v>72140.915299999993</v>
      </c>
      <c r="J25" s="161">
        <f>ROUND('[17]Summary Monthly TD Calc'!Q20,4)</f>
        <v>62955.136100000003</v>
      </c>
      <c r="K25" s="150">
        <f>ROUND('[17]Summary Monthly TD Calc'!R20,4)</f>
        <v>84404.974700000006</v>
      </c>
      <c r="L25" s="136">
        <f>ROUND('[17]Summary Monthly TD Calc'!S20,4)</f>
        <v>204277.8437</v>
      </c>
      <c r="M25" s="78"/>
      <c r="N25" s="58">
        <f t="shared" si="11"/>
        <v>482961.24029999995</v>
      </c>
      <c r="P25" s="177">
        <f t="shared" si="10"/>
        <v>-288682.81839999999</v>
      </c>
    </row>
    <row r="26" spans="1:16">
      <c r="A26" s="45" t="s">
        <v>93</v>
      </c>
      <c r="C26" s="334">
        <v>-28022.433199999999</v>
      </c>
      <c r="D26" s="183"/>
      <c r="E26" s="107">
        <f>ROUND('[17]Summary Monthly TD Calc'!L21,4)</f>
        <v>7206.7677999999996</v>
      </c>
      <c r="F26" s="107">
        <f>ROUND('[17]Summary Monthly TD Calc'!M21,4)</f>
        <v>10502.142400000001</v>
      </c>
      <c r="G26" s="118">
        <f>ROUND('[17]Summary Monthly TD Calc'!N21,4)</f>
        <v>15437.6</v>
      </c>
      <c r="H26" s="72">
        <f>ROUND('[17]Summary Monthly TD Calc'!O21,4)</f>
        <v>16744.3056</v>
      </c>
      <c r="I26" s="73">
        <f>ROUND('[17]Summary Monthly TD Calc'!P21,4)</f>
        <v>37038.376700000001</v>
      </c>
      <c r="J26" s="161">
        <f>ROUND('[17]Summary Monthly TD Calc'!Q21,4)</f>
        <v>42075.934999999998</v>
      </c>
      <c r="K26" s="150">
        <f>ROUND('[17]Summary Monthly TD Calc'!R21,4)</f>
        <v>68713.092699999994</v>
      </c>
      <c r="L26" s="136">
        <f>ROUND('[17]Summary Monthly TD Calc'!S21,4)</f>
        <v>155833.3947</v>
      </c>
      <c r="M26" s="78"/>
      <c r="N26" s="58">
        <f t="shared" si="11"/>
        <v>325529.18170000002</v>
      </c>
      <c r="P26" s="177">
        <f t="shared" si="10"/>
        <v>-224546.48739999998</v>
      </c>
    </row>
    <row r="27" spans="1:16">
      <c r="A27" s="45" t="s">
        <v>94</v>
      </c>
      <c r="C27" s="334">
        <v>0</v>
      </c>
      <c r="D27" s="183"/>
      <c r="E27" s="107">
        <f>ROUND('[17]Summary Monthly TD Calc'!L22,4)</f>
        <v>0</v>
      </c>
      <c r="F27" s="107">
        <f>ROUND('[17]Summary Monthly TD Calc'!M22,4)</f>
        <v>0</v>
      </c>
      <c r="G27" s="118">
        <f>ROUND('[17]Summary Monthly TD Calc'!N22,4)</f>
        <v>0</v>
      </c>
      <c r="H27" s="72">
        <f>ROUND('[17]Summary Monthly TD Calc'!O22,4)</f>
        <v>0</v>
      </c>
      <c r="I27" s="73">
        <f>ROUND('[17]Summary Monthly TD Calc'!P22,4)</f>
        <v>0</v>
      </c>
      <c r="J27" s="161">
        <f>ROUND('[17]Summary Monthly TD Calc'!Q22,4)</f>
        <v>0</v>
      </c>
      <c r="K27" s="150">
        <f>ROUND('[17]Summary Monthly TD Calc'!R22,4)</f>
        <v>0</v>
      </c>
      <c r="L27" s="136">
        <f>ROUND('[17]Summary Monthly TD Calc'!S22,4)</f>
        <v>0</v>
      </c>
      <c r="M27" s="78"/>
      <c r="N27" s="58">
        <f t="shared" si="11"/>
        <v>0</v>
      </c>
      <c r="P27" s="177">
        <f t="shared" si="10"/>
        <v>0</v>
      </c>
    </row>
    <row r="28" spans="1:16">
      <c r="C28" s="66"/>
      <c r="D28" s="182"/>
      <c r="E28" s="55"/>
      <c r="F28" s="55"/>
      <c r="G28" s="55"/>
      <c r="H28" s="11"/>
      <c r="I28" s="55"/>
      <c r="J28" s="160"/>
      <c r="K28" s="55"/>
      <c r="L28" s="55"/>
      <c r="M28" s="12"/>
    </row>
    <row r="29" spans="1:16">
      <c r="A29" s="45" t="s">
        <v>59</v>
      </c>
      <c r="C29" s="35"/>
      <c r="D29" s="184"/>
      <c r="E29" s="36"/>
      <c r="F29" s="36"/>
      <c r="G29" s="36"/>
      <c r="H29" s="35"/>
      <c r="I29" s="36"/>
      <c r="J29" s="162"/>
      <c r="K29" s="51"/>
      <c r="L29" s="51"/>
      <c r="M29" s="37"/>
    </row>
    <row r="30" spans="1:16">
      <c r="A30" s="45" t="s">
        <v>22</v>
      </c>
      <c r="C30" s="333">
        <v>-2537.94</v>
      </c>
      <c r="D30" s="180"/>
      <c r="E30" s="105">
        <f>ROUND('[17]Summary Monthly TD Calc'!L3,4)</f>
        <v>764.36</v>
      </c>
      <c r="F30" s="105">
        <f>ROUND('[17]Summary Monthly TD Calc'!M3,4)</f>
        <v>1111.7</v>
      </c>
      <c r="G30" s="106">
        <f>ROUND('[17]Summary Monthly TD Calc'!N3,4)</f>
        <v>1532.93</v>
      </c>
      <c r="H30" s="15">
        <f>ROUND('[17]Summary Monthly TD Calc'!O3,4)</f>
        <v>1377.83</v>
      </c>
      <c r="I30" s="54">
        <f>ROUND('[17]Summary Monthly TD Calc'!P3,4)</f>
        <v>1338.51</v>
      </c>
      <c r="J30" s="156">
        <f>ROUND('[17]Summary Monthly TD Calc'!Q3,4)</f>
        <v>1131.06</v>
      </c>
      <c r="K30" s="151">
        <f>ROUND('[17]Summary Monthly TD Calc'!R3,4)</f>
        <v>1185.08</v>
      </c>
      <c r="L30" s="135">
        <f>ROUND('[17]Summary Monthly TD Calc'!S3,4)</f>
        <v>3911.48</v>
      </c>
      <c r="M30" s="77"/>
      <c r="P30" s="177">
        <f t="shared" ref="P30:P36" si="12">-SUM(K30:M30)</f>
        <v>-5096.5599999999995</v>
      </c>
    </row>
    <row r="31" spans="1:16">
      <c r="A31" s="45" t="s">
        <v>91</v>
      </c>
      <c r="C31" s="333">
        <v>-6047.6900000000005</v>
      </c>
      <c r="D31" s="180"/>
      <c r="E31" s="105">
        <f>ROUND('[17]Summary Monthly TD Calc'!L4,4)</f>
        <v>1886.6</v>
      </c>
      <c r="F31" s="105">
        <f>ROUND('[17]Summary Monthly TD Calc'!M4,4)</f>
        <v>1992.4</v>
      </c>
      <c r="G31" s="106">
        <f>ROUND('[17]Summary Monthly TD Calc'!N4,4)</f>
        <v>2213.39</v>
      </c>
      <c r="H31" s="15">
        <f>ROUND('[17]Summary Monthly TD Calc'!O4,4)</f>
        <v>1965.32</v>
      </c>
      <c r="I31" s="54">
        <f>ROUND('[17]Summary Monthly TD Calc'!P4,4)</f>
        <v>2324.04</v>
      </c>
      <c r="J31" s="156">
        <f>ROUND('[17]Summary Monthly TD Calc'!Q4,4)</f>
        <v>2453.42</v>
      </c>
      <c r="K31" s="151">
        <f>ROUND('[17]Summary Monthly TD Calc'!R4,4)</f>
        <v>3717.99</v>
      </c>
      <c r="L31" s="135">
        <f>ROUND('[17]Summary Monthly TD Calc'!S4,4)</f>
        <v>18126.099999999999</v>
      </c>
      <c r="M31" s="77"/>
      <c r="P31" s="177">
        <f t="shared" si="12"/>
        <v>-21844.089999999997</v>
      </c>
    </row>
    <row r="32" spans="1:16">
      <c r="A32" s="45" t="s">
        <v>92</v>
      </c>
      <c r="C32" s="333">
        <v>-3136.49</v>
      </c>
      <c r="D32" s="180"/>
      <c r="E32" s="105">
        <f>ROUND('[17]Summary Monthly TD Calc'!L5,4)</f>
        <v>930.83</v>
      </c>
      <c r="F32" s="105">
        <f>ROUND('[17]Summary Monthly TD Calc'!M5,4)</f>
        <v>1129.7</v>
      </c>
      <c r="G32" s="106">
        <f>ROUND('[17]Summary Monthly TD Calc'!N5,4)</f>
        <v>1489.81</v>
      </c>
      <c r="H32" s="15">
        <f>ROUND('[17]Summary Monthly TD Calc'!O5,4)</f>
        <v>1432.17</v>
      </c>
      <c r="I32" s="54">
        <f>ROUND('[17]Summary Monthly TD Calc'!P5,4)</f>
        <v>2414.52</v>
      </c>
      <c r="J32" s="156">
        <f>ROUND('[17]Summary Monthly TD Calc'!Q5,4)</f>
        <v>2255.09</v>
      </c>
      <c r="K32" s="151">
        <f>ROUND('[17]Summary Monthly TD Calc'!R5,4)</f>
        <v>3226.78</v>
      </c>
      <c r="L32" s="135">
        <f>ROUND('[17]Summary Monthly TD Calc'!S5,4)</f>
        <v>11137.03</v>
      </c>
      <c r="M32" s="77"/>
      <c r="P32" s="177">
        <f t="shared" si="12"/>
        <v>-14363.810000000001</v>
      </c>
    </row>
    <row r="33" spans="1:18">
      <c r="A33" s="45" t="s">
        <v>93</v>
      </c>
      <c r="C33" s="333">
        <v>-574.29</v>
      </c>
      <c r="D33" s="180"/>
      <c r="E33" s="105">
        <f>ROUND('[17]Summary Monthly TD Calc'!L6,4)</f>
        <v>154.01</v>
      </c>
      <c r="F33" s="105">
        <f>ROUND('[17]Summary Monthly TD Calc'!M6,4)</f>
        <v>209.15</v>
      </c>
      <c r="G33" s="106">
        <f>ROUND('[17]Summary Monthly TD Calc'!N6,4)</f>
        <v>292.2</v>
      </c>
      <c r="H33" s="15">
        <f>ROUND('[17]Summary Monthly TD Calc'!O6,4)</f>
        <v>319.63</v>
      </c>
      <c r="I33" s="54">
        <f>ROUND('[17]Summary Monthly TD Calc'!P6,4)</f>
        <v>726.47</v>
      </c>
      <c r="J33" s="156">
        <f>ROUND('[17]Summary Monthly TD Calc'!Q6,4)</f>
        <v>887.13</v>
      </c>
      <c r="K33" s="151">
        <f>ROUND('[17]Summary Monthly TD Calc'!R6,4)</f>
        <v>1505.5</v>
      </c>
      <c r="L33" s="135">
        <f>ROUND('[17]Summary Monthly TD Calc'!S6,4)</f>
        <v>4796.3900000000003</v>
      </c>
      <c r="M33" s="77"/>
      <c r="P33" s="177">
        <f t="shared" si="12"/>
        <v>-6301.89</v>
      </c>
    </row>
    <row r="34" spans="1:18">
      <c r="A34" s="45" t="s">
        <v>94</v>
      </c>
      <c r="C34" s="333">
        <v>0</v>
      </c>
      <c r="D34" s="180"/>
      <c r="E34" s="105">
        <f>ROUND('[17]Summary Monthly TD Calc'!L7,4)</f>
        <v>0</v>
      </c>
      <c r="F34" s="105">
        <f>ROUND('[17]Summary Monthly TD Calc'!M7,4)</f>
        <v>0</v>
      </c>
      <c r="G34" s="106">
        <f>ROUND('[17]Summary Monthly TD Calc'!N7,4)</f>
        <v>0</v>
      </c>
      <c r="H34" s="15">
        <f>ROUND('[17]Summary Monthly TD Calc'!O7,4)</f>
        <v>0</v>
      </c>
      <c r="I34" s="54">
        <f>ROUND('[17]Summary Monthly TD Calc'!P7,4)</f>
        <v>0</v>
      </c>
      <c r="J34" s="156">
        <f>ROUND('[17]Summary Monthly TD Calc'!Q7,4)</f>
        <v>0</v>
      </c>
      <c r="K34" s="151">
        <f>ROUND('[17]Summary Monthly TD Calc'!R7,4)</f>
        <v>0</v>
      </c>
      <c r="L34" s="135">
        <f>ROUND('[17]Summary Monthly TD Calc'!S7,4)</f>
        <v>0</v>
      </c>
      <c r="M34" s="77"/>
      <c r="O34" s="46"/>
      <c r="P34" s="177">
        <f t="shared" si="12"/>
        <v>0</v>
      </c>
    </row>
    <row r="35" spans="1:18">
      <c r="C35" s="66"/>
      <c r="D35" s="182"/>
      <c r="E35" s="55"/>
      <c r="F35" s="55"/>
      <c r="G35" s="55"/>
      <c r="H35" s="11"/>
      <c r="I35" s="55"/>
      <c r="J35" s="162"/>
      <c r="K35" s="55"/>
      <c r="L35" s="55"/>
      <c r="M35" s="12"/>
    </row>
    <row r="36" spans="1:18" ht="15.75" thickBot="1">
      <c r="A36" s="3" t="s">
        <v>13</v>
      </c>
      <c r="B36" s="3"/>
      <c r="C36" s="335">
        <v>1973.8899999999999</v>
      </c>
      <c r="D36" s="185"/>
      <c r="E36" s="128">
        <v>-941.28000000000009</v>
      </c>
      <c r="F36" s="128">
        <v>-974.56999999999994</v>
      </c>
      <c r="G36" s="129">
        <v>-1037.28</v>
      </c>
      <c r="H36" s="25">
        <v>-1116.1399999999999</v>
      </c>
      <c r="I36" s="115">
        <v>-1216.9499999999998</v>
      </c>
      <c r="J36" s="163">
        <v>-1252.95</v>
      </c>
      <c r="K36" s="152">
        <f>ROUND((SUM(J46:J50)+SUM(J54:J58)+SUM(K39:K43)/2)*K$52,2)</f>
        <v>-1315.85</v>
      </c>
      <c r="L36" s="137">
        <f>ROUND((SUM(K46:K50)+SUM(K54:K58)+SUM(L39:L43)/2)*L$52,2)</f>
        <v>-1328.28</v>
      </c>
      <c r="M36" s="80"/>
      <c r="P36" s="177">
        <f t="shared" si="12"/>
        <v>2644.13</v>
      </c>
      <c r="R36" s="292"/>
    </row>
    <row r="37" spans="1:18">
      <c r="C37" s="63"/>
      <c r="D37" s="188"/>
      <c r="E37" s="65"/>
      <c r="F37" s="65"/>
      <c r="G37" s="32"/>
      <c r="H37" s="63"/>
      <c r="I37" s="32"/>
      <c r="J37" s="164"/>
      <c r="K37" s="33"/>
      <c r="L37" s="33"/>
      <c r="M37" s="59"/>
    </row>
    <row r="38" spans="1:18">
      <c r="A38" s="45" t="s">
        <v>46</v>
      </c>
      <c r="C38" s="64"/>
      <c r="D38" s="189"/>
      <c r="E38" s="34"/>
      <c r="F38" s="34"/>
      <c r="G38" s="34"/>
      <c r="H38" s="64"/>
      <c r="I38" s="34"/>
      <c r="J38" s="165"/>
      <c r="K38" s="33"/>
      <c r="L38" s="33"/>
      <c r="M38" s="59"/>
    </row>
    <row r="39" spans="1:18">
      <c r="A39" s="45" t="s">
        <v>22</v>
      </c>
      <c r="C39" s="186">
        <f t="shared" ref="C39:M43" si="13">C30-C16</f>
        <v>24933.677793931256</v>
      </c>
      <c r="D39" s="190">
        <f t="shared" si="13"/>
        <v>0</v>
      </c>
      <c r="E39" s="40">
        <f t="shared" si="13"/>
        <v>-5745.47</v>
      </c>
      <c r="F39" s="40">
        <f t="shared" si="13"/>
        <v>-8034.079999999999</v>
      </c>
      <c r="G39" s="104">
        <f t="shared" si="13"/>
        <v>-8279.9000000000015</v>
      </c>
      <c r="H39" s="39">
        <f t="shared" si="13"/>
        <v>-3585.3300000000017</v>
      </c>
      <c r="I39" s="40">
        <f t="shared" si="13"/>
        <v>5159.83</v>
      </c>
      <c r="J39" s="60">
        <f t="shared" si="13"/>
        <v>4498.91</v>
      </c>
      <c r="K39" s="116">
        <f t="shared" si="13"/>
        <v>4302.9878599999993</v>
      </c>
      <c r="L39" s="40">
        <f t="shared" si="13"/>
        <v>8117.5311799999981</v>
      </c>
      <c r="M39" s="60">
        <f t="shared" si="13"/>
        <v>6013.7382999999973</v>
      </c>
    </row>
    <row r="40" spans="1:18">
      <c r="A40" s="45" t="s">
        <v>91</v>
      </c>
      <c r="C40" s="186">
        <f t="shared" si="13"/>
        <v>5177.9902700000002</v>
      </c>
      <c r="D40" s="190">
        <f t="shared" si="13"/>
        <v>0</v>
      </c>
      <c r="E40" s="40">
        <f t="shared" si="13"/>
        <v>-1670.52</v>
      </c>
      <c r="F40" s="40">
        <f t="shared" si="13"/>
        <v>-2224.2900000000004</v>
      </c>
      <c r="G40" s="104">
        <f t="shared" si="13"/>
        <v>-2011.8100000000009</v>
      </c>
      <c r="H40" s="39">
        <f t="shared" si="13"/>
        <v>-8499.4000000000015</v>
      </c>
      <c r="I40" s="40">
        <f t="shared" si="13"/>
        <v>-15764.939999999999</v>
      </c>
      <c r="J40" s="60">
        <f t="shared" si="13"/>
        <v>-13758.17</v>
      </c>
      <c r="K40" s="116">
        <f t="shared" si="13"/>
        <v>-15097.78104</v>
      </c>
      <c r="L40" s="40">
        <f t="shared" si="13"/>
        <v>-2618.3669300000001</v>
      </c>
      <c r="M40" s="60">
        <f t="shared" si="13"/>
        <v>-23077.087769999998</v>
      </c>
    </row>
    <row r="41" spans="1:18">
      <c r="A41" s="45" t="s">
        <v>92</v>
      </c>
      <c r="C41" s="186">
        <f t="shared" si="13"/>
        <v>10594.236400000002</v>
      </c>
      <c r="D41" s="190">
        <f t="shared" si="13"/>
        <v>0</v>
      </c>
      <c r="E41" s="40">
        <f t="shared" si="13"/>
        <v>-3073.96</v>
      </c>
      <c r="F41" s="40">
        <f t="shared" si="13"/>
        <v>-3448.6000000000004</v>
      </c>
      <c r="G41" s="104">
        <f t="shared" si="13"/>
        <v>-3066.9500000000003</v>
      </c>
      <c r="H41" s="39">
        <f t="shared" si="13"/>
        <v>-4962.7700000000004</v>
      </c>
      <c r="I41" s="40">
        <f t="shared" si="13"/>
        <v>-5666.51</v>
      </c>
      <c r="J41" s="60">
        <f t="shared" si="13"/>
        <v>-5385.46</v>
      </c>
      <c r="K41" s="116">
        <f t="shared" si="13"/>
        <v>-6091.3577000000005</v>
      </c>
      <c r="L41" s="40">
        <f t="shared" si="13"/>
        <v>863.74380000000019</v>
      </c>
      <c r="M41" s="60">
        <f t="shared" si="13"/>
        <v>-11428.4704</v>
      </c>
    </row>
    <row r="42" spans="1:18">
      <c r="A42" s="45" t="s">
        <v>93</v>
      </c>
      <c r="C42" s="186">
        <f t="shared" si="13"/>
        <v>12876.746159999999</v>
      </c>
      <c r="D42" s="190">
        <f t="shared" si="13"/>
        <v>0</v>
      </c>
      <c r="E42" s="40">
        <f t="shared" si="13"/>
        <v>-3827.7</v>
      </c>
      <c r="F42" s="40">
        <f t="shared" si="13"/>
        <v>-4398.13</v>
      </c>
      <c r="G42" s="104">
        <f t="shared" si="13"/>
        <v>-4094.29</v>
      </c>
      <c r="H42" s="39">
        <f t="shared" si="13"/>
        <v>-2540.15</v>
      </c>
      <c r="I42" s="40">
        <f t="shared" si="13"/>
        <v>623.66000000000008</v>
      </c>
      <c r="J42" s="60">
        <f t="shared" si="13"/>
        <v>872.9</v>
      </c>
      <c r="K42" s="116">
        <f t="shared" si="13"/>
        <v>1505.5</v>
      </c>
      <c r="L42" s="40">
        <f t="shared" si="13"/>
        <v>4796.3900000000003</v>
      </c>
      <c r="M42" s="60">
        <f t="shared" si="13"/>
        <v>0</v>
      </c>
    </row>
    <row r="43" spans="1:18">
      <c r="A43" s="45" t="s">
        <v>94</v>
      </c>
      <c r="C43" s="186">
        <f t="shared" si="13"/>
        <v>1057.0422200000003</v>
      </c>
      <c r="D43" s="190">
        <f t="shared" si="13"/>
        <v>0</v>
      </c>
      <c r="E43" s="40">
        <f t="shared" si="13"/>
        <v>-346.86</v>
      </c>
      <c r="F43" s="40">
        <f t="shared" si="13"/>
        <v>-355.01</v>
      </c>
      <c r="G43" s="104">
        <f t="shared" si="13"/>
        <v>-223.18</v>
      </c>
      <c r="H43" s="39">
        <f t="shared" si="13"/>
        <v>-54.63000000000001</v>
      </c>
      <c r="I43" s="40">
        <f t="shared" si="13"/>
        <v>222.48</v>
      </c>
      <c r="J43" s="60">
        <f t="shared" si="13"/>
        <v>380.15000000000003</v>
      </c>
      <c r="K43" s="116">
        <f t="shared" si="13"/>
        <v>352.27331000000004</v>
      </c>
      <c r="L43" s="40">
        <f t="shared" si="13"/>
        <v>388.38282000000004</v>
      </c>
      <c r="M43" s="60">
        <f t="shared" si="13"/>
        <v>432.05470000000003</v>
      </c>
    </row>
    <row r="44" spans="1:18">
      <c r="C44" s="97"/>
      <c r="D44" s="181"/>
      <c r="E44" s="30"/>
      <c r="F44" s="16"/>
      <c r="G44" s="16"/>
      <c r="H44" s="9"/>
      <c r="I44" s="16"/>
      <c r="J44" s="10"/>
      <c r="K44" s="16"/>
      <c r="L44" s="16"/>
      <c r="M44" s="10"/>
    </row>
    <row r="45" spans="1:18" ht="15.75" thickBot="1">
      <c r="A45" s="45" t="s">
        <v>47</v>
      </c>
      <c r="B45" s="38"/>
      <c r="C45" s="97"/>
      <c r="D45" s="181"/>
      <c r="E45" s="16"/>
      <c r="F45" s="16"/>
      <c r="G45" s="16"/>
      <c r="H45" s="9"/>
      <c r="I45" s="16"/>
      <c r="J45" s="10"/>
      <c r="K45" s="16"/>
      <c r="L45" s="16"/>
      <c r="M45" s="10"/>
    </row>
    <row r="46" spans="1:18">
      <c r="A46" s="45" t="s">
        <v>22</v>
      </c>
      <c r="B46" s="269">
        <v>-195083.00779393129</v>
      </c>
      <c r="C46" s="186">
        <f t="shared" ref="C46:D50" si="14">+B46+C39+B54</f>
        <v>-170149.33000000005</v>
      </c>
      <c r="D46" s="190">
        <f>+C46+D39+C54</f>
        <v>-168612.04000000004</v>
      </c>
      <c r="E46" s="40">
        <f t="shared" ref="E46:M50" si="15">+D46+E39+D54</f>
        <v>-174357.51000000004</v>
      </c>
      <c r="F46" s="40">
        <f t="shared" si="15"/>
        <v>-183133.72000000003</v>
      </c>
      <c r="G46" s="104">
        <f t="shared" si="15"/>
        <v>-192156.42</v>
      </c>
      <c r="H46" s="39">
        <f t="shared" si="15"/>
        <v>-196509.42</v>
      </c>
      <c r="I46" s="40">
        <f t="shared" si="15"/>
        <v>-192143.52000000002</v>
      </c>
      <c r="J46" s="60">
        <f t="shared" si="15"/>
        <v>-188455.06000000003</v>
      </c>
      <c r="K46" s="116">
        <f t="shared" si="15"/>
        <v>-184927.81214000002</v>
      </c>
      <c r="L46" s="40">
        <f t="shared" si="15"/>
        <v>-177571.28096000003</v>
      </c>
      <c r="M46" s="60">
        <f t="shared" si="15"/>
        <v>-172296.37266000002</v>
      </c>
    </row>
    <row r="47" spans="1:18">
      <c r="A47" s="45" t="s">
        <v>91</v>
      </c>
      <c r="B47" s="271">
        <v>-454.62027000000217</v>
      </c>
      <c r="C47" s="186">
        <f t="shared" si="14"/>
        <v>4723.3699999999981</v>
      </c>
      <c r="D47" s="190">
        <f t="shared" si="14"/>
        <v>4689.0799999999981</v>
      </c>
      <c r="E47" s="40">
        <f t="shared" si="15"/>
        <v>3018.5599999999981</v>
      </c>
      <c r="F47" s="40">
        <f t="shared" si="15"/>
        <v>810.94999999999766</v>
      </c>
      <c r="G47" s="104">
        <f t="shared" si="15"/>
        <v>-1192.8800000000033</v>
      </c>
      <c r="H47" s="39">
        <f t="shared" si="15"/>
        <v>-9693.0400000000045</v>
      </c>
      <c r="I47" s="40">
        <f t="shared" si="15"/>
        <v>-25480.170000000002</v>
      </c>
      <c r="J47" s="60">
        <f t="shared" si="15"/>
        <v>-39311.58</v>
      </c>
      <c r="K47" s="116">
        <f t="shared" si="15"/>
        <v>-54541.291040000004</v>
      </c>
      <c r="L47" s="40">
        <f t="shared" si="15"/>
        <v>-57350.807970000002</v>
      </c>
      <c r="M47" s="60">
        <f t="shared" si="15"/>
        <v>-80655.855740000014</v>
      </c>
    </row>
    <row r="48" spans="1:18">
      <c r="A48" s="45" t="s">
        <v>92</v>
      </c>
      <c r="B48" s="271">
        <v>-24171.556400000009</v>
      </c>
      <c r="C48" s="186">
        <f t="shared" si="14"/>
        <v>-13577.320000000007</v>
      </c>
      <c r="D48" s="190">
        <f t="shared" si="14"/>
        <v>-13433.340000000007</v>
      </c>
      <c r="E48" s="40">
        <f t="shared" si="15"/>
        <v>-16507.300000000007</v>
      </c>
      <c r="F48" s="40">
        <f t="shared" si="15"/>
        <v>-20020.69000000001</v>
      </c>
      <c r="G48" s="104">
        <f t="shared" si="15"/>
        <v>-23163.520000000011</v>
      </c>
      <c r="H48" s="39">
        <f t="shared" si="15"/>
        <v>-28214.610000000011</v>
      </c>
      <c r="I48" s="40">
        <f t="shared" si="15"/>
        <v>-33986.040000000008</v>
      </c>
      <c r="J48" s="60">
        <f t="shared" si="15"/>
        <v>-39501.160000000011</v>
      </c>
      <c r="K48" s="116">
        <f t="shared" si="15"/>
        <v>-45742.247700000014</v>
      </c>
      <c r="L48" s="40">
        <f t="shared" si="15"/>
        <v>-45052.183900000011</v>
      </c>
      <c r="M48" s="60">
        <f t="shared" si="15"/>
        <v>-56665.674300000006</v>
      </c>
    </row>
    <row r="49" spans="1:18">
      <c r="A49" s="45" t="s">
        <v>93</v>
      </c>
      <c r="B49" s="271">
        <v>-40954.94616</v>
      </c>
      <c r="C49" s="186">
        <f t="shared" si="14"/>
        <v>-28078.2</v>
      </c>
      <c r="D49" s="190">
        <f t="shared" si="14"/>
        <v>-27798.32</v>
      </c>
      <c r="E49" s="40">
        <f t="shared" si="15"/>
        <v>-31626.02</v>
      </c>
      <c r="F49" s="40">
        <f t="shared" si="15"/>
        <v>-36152.74</v>
      </c>
      <c r="G49" s="104">
        <f t="shared" si="15"/>
        <v>-40387.839999999997</v>
      </c>
      <c r="H49" s="39">
        <f t="shared" si="15"/>
        <v>-43084.54</v>
      </c>
      <c r="I49" s="40">
        <f t="shared" si="15"/>
        <v>-42631.369999999995</v>
      </c>
      <c r="J49" s="60">
        <f t="shared" si="15"/>
        <v>-41937.199999999997</v>
      </c>
      <c r="K49" s="116">
        <f t="shared" si="15"/>
        <v>-40604.07</v>
      </c>
      <c r="L49" s="40">
        <f t="shared" si="15"/>
        <v>-35975.910000000003</v>
      </c>
      <c r="M49" s="60">
        <f t="shared" si="15"/>
        <v>-36132.01</v>
      </c>
    </row>
    <row r="50" spans="1:18" ht="15.75" thickBot="1">
      <c r="A50" s="45" t="s">
        <v>94</v>
      </c>
      <c r="B50" s="270">
        <v>-6117.2722199999989</v>
      </c>
      <c r="C50" s="186">
        <f t="shared" si="14"/>
        <v>-5060.2299999999987</v>
      </c>
      <c r="D50" s="190">
        <f t="shared" si="14"/>
        <v>-5013.1899999999987</v>
      </c>
      <c r="E50" s="40">
        <f t="shared" si="15"/>
        <v>-5360.0499999999984</v>
      </c>
      <c r="F50" s="40">
        <f t="shared" si="15"/>
        <v>-5737.5099999999984</v>
      </c>
      <c r="G50" s="104">
        <f t="shared" si="15"/>
        <v>-5983.7499999999991</v>
      </c>
      <c r="H50" s="39">
        <f t="shared" si="15"/>
        <v>-6062.3599999999988</v>
      </c>
      <c r="I50" s="40">
        <f t="shared" si="15"/>
        <v>-5864.4899999999989</v>
      </c>
      <c r="J50" s="60">
        <f t="shared" si="15"/>
        <v>-5509.2099999999991</v>
      </c>
      <c r="K50" s="116">
        <f t="shared" si="15"/>
        <v>-5180.1166899999989</v>
      </c>
      <c r="L50" s="40">
        <f t="shared" si="15"/>
        <v>-4813.5238699999991</v>
      </c>
      <c r="M50" s="60">
        <f t="shared" si="15"/>
        <v>-4401.8391699999993</v>
      </c>
    </row>
    <row r="51" spans="1:18">
      <c r="C51" s="97"/>
      <c r="D51" s="181"/>
      <c r="E51" s="16"/>
      <c r="F51" s="16"/>
      <c r="G51" s="16"/>
      <c r="H51" s="9"/>
      <c r="I51" s="16"/>
      <c r="J51" s="10"/>
      <c r="K51" s="16"/>
      <c r="L51" s="16"/>
      <c r="M51" s="10"/>
    </row>
    <row r="52" spans="1:18">
      <c r="A52" s="38" t="s">
        <v>105</v>
      </c>
      <c r="B52" s="38"/>
      <c r="C52" s="101"/>
      <c r="D52" s="191"/>
      <c r="E52" s="81">
        <f>'PCR Cycle 3'!E$51</f>
        <v>4.3276900000000004E-3</v>
      </c>
      <c r="F52" s="81">
        <f>'PCR Cycle 3'!F$51</f>
        <v>4.1470099999999996E-3</v>
      </c>
      <c r="G52" s="81">
        <f>'PCR Cycle 3'!G$51</f>
        <v>4.0829999999999998E-3</v>
      </c>
      <c r="H52" s="82">
        <f>'PCR Cycle 3'!H$51</f>
        <v>4.0773399999999996E-3</v>
      </c>
      <c r="I52" s="81">
        <f>'PCR Cycle 3'!I$51</f>
        <v>4.1620499999999996E-3</v>
      </c>
      <c r="J52" s="90">
        <f>'PCR Cycle 3'!J$51</f>
        <v>4.0677700000000001E-3</v>
      </c>
      <c r="K52" s="81">
        <f>'PCR Cycle 3'!K$51</f>
        <v>4.0677700000000001E-3</v>
      </c>
      <c r="L52" s="81">
        <f>'PCR Cycle 3'!L$51</f>
        <v>4.0677700000000001E-3</v>
      </c>
      <c r="M52" s="83"/>
    </row>
    <row r="53" spans="1:18">
      <c r="A53" s="38" t="s">
        <v>31</v>
      </c>
      <c r="B53" s="38"/>
      <c r="C53" s="102"/>
      <c r="D53" s="192"/>
      <c r="E53" s="81"/>
      <c r="F53" s="81"/>
      <c r="G53" s="81"/>
      <c r="H53" s="82"/>
      <c r="I53" s="81"/>
      <c r="J53" s="83"/>
      <c r="K53" s="81"/>
      <c r="L53" s="81"/>
      <c r="M53" s="83"/>
    </row>
    <row r="54" spans="1:18">
      <c r="A54" s="45" t="s">
        <v>22</v>
      </c>
      <c r="C54" s="336">
        <v>1537.29</v>
      </c>
      <c r="D54" s="190"/>
      <c r="E54" s="222">
        <f t="shared" ref="E54:M58" si="16">ROUND((D46+D54+E39/2)*E$52,2)</f>
        <v>-742.13</v>
      </c>
      <c r="F54" s="40">
        <f t="shared" si="16"/>
        <v>-742.8</v>
      </c>
      <c r="G54" s="104">
        <f t="shared" si="16"/>
        <v>-767.67</v>
      </c>
      <c r="H54" s="39">
        <f t="shared" si="16"/>
        <v>-793.93</v>
      </c>
      <c r="I54" s="116">
        <f t="shared" si="16"/>
        <v>-810.45</v>
      </c>
      <c r="J54" s="60">
        <f t="shared" si="16"/>
        <v>-775.74</v>
      </c>
      <c r="K54" s="153">
        <f t="shared" si="16"/>
        <v>-761</v>
      </c>
      <c r="L54" s="104">
        <f t="shared" si="16"/>
        <v>-738.83</v>
      </c>
      <c r="M54" s="60">
        <f t="shared" si="16"/>
        <v>0</v>
      </c>
      <c r="P54" s="177">
        <f t="shared" ref="P54:P58" si="17">-SUM(K54:M54)</f>
        <v>1499.83</v>
      </c>
      <c r="R54" s="46"/>
    </row>
    <row r="55" spans="1:18">
      <c r="A55" s="45" t="s">
        <v>91</v>
      </c>
      <c r="C55" s="336">
        <v>-34.29</v>
      </c>
      <c r="D55" s="190"/>
      <c r="E55" s="222">
        <f t="shared" si="16"/>
        <v>16.68</v>
      </c>
      <c r="F55" s="40">
        <f t="shared" si="16"/>
        <v>7.98</v>
      </c>
      <c r="G55" s="104">
        <f t="shared" si="16"/>
        <v>-0.76</v>
      </c>
      <c r="H55" s="39">
        <f t="shared" si="16"/>
        <v>-22.19</v>
      </c>
      <c r="I55" s="116">
        <f t="shared" si="16"/>
        <v>-73.239999999999995</v>
      </c>
      <c r="J55" s="60">
        <f t="shared" si="16"/>
        <v>-131.93</v>
      </c>
      <c r="K55" s="153">
        <f t="shared" si="16"/>
        <v>-191.15</v>
      </c>
      <c r="L55" s="104">
        <f t="shared" si="16"/>
        <v>-227.96</v>
      </c>
      <c r="M55" s="60"/>
      <c r="P55" s="177">
        <f t="shared" si="17"/>
        <v>419.11</v>
      </c>
      <c r="R55" s="46"/>
    </row>
    <row r="56" spans="1:18">
      <c r="A56" s="45" t="s">
        <v>92</v>
      </c>
      <c r="C56" s="336">
        <v>143.98000000000002</v>
      </c>
      <c r="D56" s="190"/>
      <c r="E56" s="222">
        <f t="shared" si="16"/>
        <v>-64.790000000000006</v>
      </c>
      <c r="F56" s="40">
        <f t="shared" si="16"/>
        <v>-75.88</v>
      </c>
      <c r="G56" s="104">
        <f t="shared" si="16"/>
        <v>-88.32</v>
      </c>
      <c r="H56" s="39">
        <f t="shared" si="16"/>
        <v>-104.92</v>
      </c>
      <c r="I56" s="116">
        <f t="shared" si="16"/>
        <v>-129.66</v>
      </c>
      <c r="J56" s="60">
        <f t="shared" si="16"/>
        <v>-149.72999999999999</v>
      </c>
      <c r="K56" s="153">
        <f t="shared" si="16"/>
        <v>-173.68</v>
      </c>
      <c r="L56" s="104">
        <f t="shared" si="16"/>
        <v>-185.02</v>
      </c>
      <c r="M56" s="60"/>
      <c r="P56" s="177">
        <f t="shared" si="17"/>
        <v>358.70000000000005</v>
      </c>
      <c r="R56" s="46"/>
    </row>
    <row r="57" spans="1:18">
      <c r="A57" s="45" t="s">
        <v>93</v>
      </c>
      <c r="C57" s="336">
        <v>279.88</v>
      </c>
      <c r="D57" s="190"/>
      <c r="E57" s="222">
        <f t="shared" si="16"/>
        <v>-128.59</v>
      </c>
      <c r="F57" s="40">
        <f t="shared" si="16"/>
        <v>-140.81</v>
      </c>
      <c r="G57" s="104">
        <f t="shared" si="16"/>
        <v>-156.55000000000001</v>
      </c>
      <c r="H57" s="39">
        <f t="shared" si="16"/>
        <v>-170.49</v>
      </c>
      <c r="I57" s="116">
        <f t="shared" si="16"/>
        <v>-178.73</v>
      </c>
      <c r="J57" s="60">
        <f t="shared" si="16"/>
        <v>-172.37</v>
      </c>
      <c r="K57" s="153">
        <f t="shared" si="16"/>
        <v>-168.23</v>
      </c>
      <c r="L57" s="104">
        <f t="shared" si="16"/>
        <v>-156.1</v>
      </c>
      <c r="M57" s="60"/>
      <c r="P57" s="177">
        <f t="shared" si="17"/>
        <v>324.33</v>
      </c>
      <c r="R57" s="46"/>
    </row>
    <row r="58" spans="1:18" ht="15.75" thickBot="1">
      <c r="A58" s="45" t="s">
        <v>94</v>
      </c>
      <c r="C58" s="336">
        <v>47.04</v>
      </c>
      <c r="D58" s="190"/>
      <c r="E58" s="222">
        <f t="shared" si="16"/>
        <v>-22.45</v>
      </c>
      <c r="F58" s="40">
        <f t="shared" si="16"/>
        <v>-23.06</v>
      </c>
      <c r="G58" s="104">
        <f t="shared" si="16"/>
        <v>-23.98</v>
      </c>
      <c r="H58" s="39">
        <f t="shared" si="16"/>
        <v>-24.61</v>
      </c>
      <c r="I58" s="116">
        <f t="shared" si="16"/>
        <v>-24.87</v>
      </c>
      <c r="J58" s="60">
        <f t="shared" si="16"/>
        <v>-23.18</v>
      </c>
      <c r="K58" s="153">
        <f t="shared" si="16"/>
        <v>-21.79</v>
      </c>
      <c r="L58" s="104">
        <f t="shared" si="16"/>
        <v>-20.37</v>
      </c>
      <c r="M58" s="60">
        <f t="shared" si="16"/>
        <v>0</v>
      </c>
      <c r="P58" s="177">
        <f t="shared" si="17"/>
        <v>42.16</v>
      </c>
      <c r="R58" s="46"/>
    </row>
    <row r="59" spans="1:18" ht="16.5" thickTop="1" thickBot="1">
      <c r="A59" s="53" t="s">
        <v>20</v>
      </c>
      <c r="B59" s="53"/>
      <c r="C59" s="187">
        <v>0</v>
      </c>
      <c r="D59" s="193"/>
      <c r="E59" s="41">
        <f>SUM(E54:E58)+SUM(E46:E50)-E62</f>
        <v>0</v>
      </c>
      <c r="F59" s="41">
        <f t="shared" ref="F59:M59" si="18">SUM(F54:F58)+SUM(F46:F50)-F62</f>
        <v>0</v>
      </c>
      <c r="G59" s="49">
        <f t="shared" si="18"/>
        <v>0</v>
      </c>
      <c r="H59" s="50">
        <f t="shared" si="18"/>
        <v>0</v>
      </c>
      <c r="I59" s="41">
        <f t="shared" si="18"/>
        <v>0</v>
      </c>
      <c r="J59" s="61">
        <f t="shared" si="18"/>
        <v>0</v>
      </c>
      <c r="K59" s="154">
        <f t="shared" si="18"/>
        <v>0</v>
      </c>
      <c r="L59" s="49">
        <f t="shared" si="18"/>
        <v>0</v>
      </c>
      <c r="M59" s="61">
        <f t="shared" si="18"/>
        <v>0</v>
      </c>
    </row>
    <row r="60" spans="1:18" ht="16.5" thickTop="1" thickBot="1">
      <c r="A60" s="53" t="s">
        <v>21</v>
      </c>
      <c r="B60" s="53"/>
      <c r="C60" s="187">
        <v>0</v>
      </c>
      <c r="D60" s="193"/>
      <c r="E60" s="41">
        <f>SUM(E54:E58)-E36</f>
        <v>0</v>
      </c>
      <c r="F60" s="41">
        <f t="shared" ref="F60:J60" si="19">SUM(F54:F58)-F36</f>
        <v>0</v>
      </c>
      <c r="G60" s="49">
        <f t="shared" ref="G60:I60" si="20">SUM(G54:G58)-G36</f>
        <v>0</v>
      </c>
      <c r="H60" s="50">
        <f t="shared" si="20"/>
        <v>0</v>
      </c>
      <c r="I60" s="41">
        <f t="shared" si="20"/>
        <v>0</v>
      </c>
      <c r="J60" s="61">
        <f t="shared" si="19"/>
        <v>0</v>
      </c>
      <c r="K60" s="155">
        <f t="shared" ref="K60:M60" si="21">SUM(K54:K58)-K36</f>
        <v>0</v>
      </c>
      <c r="L60" s="41">
        <f t="shared" si="21"/>
        <v>0</v>
      </c>
      <c r="M60" s="41">
        <f t="shared" si="21"/>
        <v>0</v>
      </c>
    </row>
    <row r="61" spans="1:18" ht="16.5" thickTop="1" thickBot="1">
      <c r="C61" s="97"/>
      <c r="D61" s="181"/>
      <c r="E61" s="16"/>
      <c r="F61" s="16"/>
      <c r="G61" s="16"/>
      <c r="H61" s="9"/>
      <c r="I61" s="16"/>
      <c r="J61" s="10"/>
      <c r="K61" s="16"/>
      <c r="L61" s="16"/>
      <c r="M61" s="10"/>
    </row>
    <row r="62" spans="1:18" ht="15.75" thickBot="1">
      <c r="A62" s="45" t="s">
        <v>30</v>
      </c>
      <c r="B62" s="112">
        <f>SUM(B46:B50)</f>
        <v>-266781.40284393128</v>
      </c>
      <c r="C62" s="186">
        <f>(C13-SUM(C16:C20))+SUM(C54:C58)+B62</f>
        <v>-210167.81000000003</v>
      </c>
      <c r="D62" s="190">
        <f>(D13-SUM(D16:D20))+SUM(D54:D58)+C62</f>
        <v>-210167.81000000003</v>
      </c>
      <c r="E62" s="40">
        <f>(E13-SUM(E16:E20))+SUM(E54:E58)+D62</f>
        <v>-225773.60000000003</v>
      </c>
      <c r="F62" s="40">
        <f t="shared" ref="F62:M62" si="22">(F13-SUM(F16:F20))+SUM(F54:F58)+E62</f>
        <v>-245208.28000000003</v>
      </c>
      <c r="G62" s="104">
        <f t="shared" si="22"/>
        <v>-263921.69</v>
      </c>
      <c r="H62" s="39">
        <f t="shared" si="22"/>
        <v>-284680.11</v>
      </c>
      <c r="I62" s="40">
        <f t="shared" si="22"/>
        <v>-301322.53999999998</v>
      </c>
      <c r="J62" s="60">
        <f t="shared" si="22"/>
        <v>-315967.15999999997</v>
      </c>
      <c r="K62" s="153">
        <f t="shared" si="22"/>
        <v>-332311.38756999996</v>
      </c>
      <c r="L62" s="104">
        <f t="shared" si="22"/>
        <v>-322091.98669999995</v>
      </c>
      <c r="M62" s="60">
        <f t="shared" si="22"/>
        <v>-350151.75186999992</v>
      </c>
    </row>
    <row r="63" spans="1:18">
      <c r="A63" s="45" t="s">
        <v>10</v>
      </c>
      <c r="C63" s="113"/>
      <c r="D63" s="194"/>
      <c r="E63" s="16"/>
      <c r="F63" s="16"/>
      <c r="G63" s="16"/>
      <c r="H63" s="9"/>
      <c r="I63" s="16"/>
      <c r="J63" s="10"/>
      <c r="K63" s="16"/>
      <c r="L63" s="16"/>
      <c r="M63" s="10"/>
    </row>
    <row r="64" spans="1:18" ht="15.75" thickBot="1">
      <c r="A64" s="36"/>
      <c r="B64" s="36"/>
      <c r="C64" s="139"/>
      <c r="D64" s="195"/>
      <c r="E64" s="43"/>
      <c r="F64" s="43"/>
      <c r="G64" s="43"/>
      <c r="H64" s="42"/>
      <c r="I64" s="43"/>
      <c r="J64" s="44"/>
      <c r="K64" s="43"/>
      <c r="L64" s="43"/>
      <c r="M64" s="44"/>
    </row>
    <row r="66" spans="1:13">
      <c r="A66" s="68" t="s">
        <v>9</v>
      </c>
      <c r="B66" s="68"/>
      <c r="C66" s="68"/>
      <c r="D66" s="68"/>
    </row>
    <row r="67" spans="1:13" ht="34.5" customHeight="1">
      <c r="A67" s="360" t="s">
        <v>244</v>
      </c>
      <c r="B67" s="360"/>
      <c r="C67" s="360"/>
      <c r="D67" s="360"/>
      <c r="E67" s="360"/>
      <c r="F67" s="360"/>
      <c r="G67" s="360"/>
      <c r="H67" s="360"/>
      <c r="I67" s="360"/>
      <c r="J67" s="360"/>
      <c r="K67" s="339"/>
      <c r="L67" s="278"/>
      <c r="M67" s="278"/>
    </row>
    <row r="68" spans="1:13" ht="55.5" customHeight="1">
      <c r="A68" s="360" t="s">
        <v>240</v>
      </c>
      <c r="B68" s="360"/>
      <c r="C68" s="360"/>
      <c r="D68" s="360"/>
      <c r="E68" s="360"/>
      <c r="F68" s="360"/>
      <c r="G68" s="360"/>
      <c r="H68" s="360"/>
      <c r="I68" s="360"/>
      <c r="J68" s="360"/>
      <c r="K68" s="360"/>
      <c r="L68" s="278"/>
      <c r="M68" s="278"/>
    </row>
    <row r="69" spans="1:13" ht="27.6" customHeight="1">
      <c r="A69" s="360" t="s">
        <v>245</v>
      </c>
      <c r="B69" s="360"/>
      <c r="C69" s="360"/>
      <c r="D69" s="360"/>
      <c r="E69" s="360"/>
      <c r="F69" s="360"/>
      <c r="G69" s="360"/>
      <c r="H69" s="360"/>
      <c r="I69" s="360"/>
      <c r="J69" s="360"/>
      <c r="K69" s="339"/>
      <c r="L69" s="278"/>
      <c r="M69" s="278"/>
    </row>
    <row r="70" spans="1:13">
      <c r="A70" s="360" t="s">
        <v>191</v>
      </c>
      <c r="B70" s="360"/>
      <c r="C70" s="360"/>
      <c r="D70" s="360"/>
      <c r="E70" s="360"/>
      <c r="F70" s="360"/>
      <c r="G70" s="360"/>
      <c r="H70" s="360"/>
      <c r="I70" s="360"/>
      <c r="J70" s="360"/>
      <c r="K70" s="38"/>
    </row>
    <row r="71" spans="1:13">
      <c r="A71" s="62" t="s">
        <v>238</v>
      </c>
      <c r="B71" s="62"/>
      <c r="C71" s="62"/>
      <c r="D71" s="62"/>
      <c r="E71" s="38"/>
      <c r="F71" s="38"/>
      <c r="G71" s="38"/>
      <c r="H71" s="38"/>
      <c r="I71" s="38"/>
      <c r="J71" s="286"/>
      <c r="K71" s="38"/>
    </row>
    <row r="72" spans="1:13">
      <c r="A72" s="62" t="s">
        <v>60</v>
      </c>
      <c r="B72" s="62"/>
      <c r="C72" s="62"/>
      <c r="D72" s="62"/>
      <c r="E72" s="38"/>
      <c r="F72" s="38"/>
      <c r="G72" s="38"/>
      <c r="H72" s="38"/>
      <c r="I72" s="38"/>
      <c r="J72" s="38"/>
      <c r="K72" s="38"/>
    </row>
    <row r="73" spans="1:13">
      <c r="A73" s="369"/>
      <c r="B73" s="370"/>
      <c r="C73" s="370"/>
      <c r="D73" s="370"/>
      <c r="E73" s="370"/>
      <c r="F73" s="370"/>
      <c r="G73" s="370"/>
      <c r="H73" s="371"/>
      <c r="I73" s="371"/>
      <c r="J73" s="371"/>
      <c r="K73" s="371"/>
    </row>
    <row r="74" spans="1:13" ht="33" customHeight="1">
      <c r="A74" s="370"/>
      <c r="B74" s="370"/>
      <c r="C74" s="370"/>
      <c r="D74" s="370"/>
      <c r="E74" s="370"/>
      <c r="F74" s="370"/>
      <c r="G74" s="370"/>
      <c r="H74" s="371"/>
      <c r="I74" s="371"/>
      <c r="J74" s="371"/>
      <c r="K74" s="371"/>
    </row>
  </sheetData>
  <mergeCells count="8">
    <mergeCell ref="A70:J70"/>
    <mergeCell ref="A73:K74"/>
    <mergeCell ref="E11:G11"/>
    <mergeCell ref="H11:J11"/>
    <mergeCell ref="K11:M11"/>
    <mergeCell ref="A67:J67"/>
    <mergeCell ref="A68:K68"/>
    <mergeCell ref="A69:J69"/>
  </mergeCells>
  <pageMargins left="0.2" right="0.2" top="0.75" bottom="0.25" header="0.3" footer="0.3"/>
  <pageSetup scale="42" orientation="landscape" r:id="rId1"/>
  <headerFooter>
    <oddHeader>&amp;C&amp;F &amp;A&amp;R&amp;"Arial"&amp;10&amp;K000000CONFIDENTIAL</oddHeader>
    <oddFooter>&amp;R&amp;1#&amp;"Calibri"&amp;10&amp;KA80000Internal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F2E79-0EFD-49E8-A513-B07A20AA3B3C}">
  <sheetPr codeName="Sheet18">
    <pageSetUpPr fitToPage="1"/>
  </sheetPr>
  <dimension ref="A1:H206"/>
  <sheetViews>
    <sheetView zoomScale="85" zoomScaleNormal="85"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defaultColWidth="8.7109375" defaultRowHeight="15"/>
  <cols>
    <col min="1" max="1" width="22.42578125" style="45" customWidth="1"/>
    <col min="2" max="2" width="15.28515625" style="45" bestFit="1" customWidth="1"/>
    <col min="3" max="3" width="14.28515625" style="45" customWidth="1"/>
    <col min="4" max="4" width="13.28515625" style="45" bestFit="1" customWidth="1"/>
    <col min="5" max="5" width="13.42578125" style="45" bestFit="1" customWidth="1"/>
    <col min="6" max="6" width="11.5703125" style="45" bestFit="1" customWidth="1"/>
    <col min="7" max="7" width="13.140625" style="45" customWidth="1"/>
    <col min="8" max="16384" width="8.7109375" style="45"/>
  </cols>
  <sheetData>
    <row r="1" spans="1:7">
      <c r="A1" s="62" t="str">
        <f>+'PTD Cycle 3'!A1</f>
        <v>Evergy Metro, Inc. - DSIM Rider Update Filed 06/01/2026</v>
      </c>
    </row>
    <row r="2" spans="1:7">
      <c r="A2" s="8" t="str">
        <f>+'PTD Cycle 3'!A2</f>
        <v>Projections for Cycle 3 July 2026 - June 2027 DSIM</v>
      </c>
    </row>
    <row r="3" spans="1:7" ht="45.75" customHeight="1">
      <c r="B3" s="354" t="s">
        <v>138</v>
      </c>
      <c r="C3" s="354"/>
      <c r="D3" s="354"/>
    </row>
    <row r="4" spans="1:7" ht="90">
      <c r="B4" s="69" t="s">
        <v>85</v>
      </c>
      <c r="C4" s="69" t="s">
        <v>86</v>
      </c>
      <c r="D4" s="69" t="s">
        <v>89</v>
      </c>
      <c r="E4" s="69" t="s">
        <v>87</v>
      </c>
      <c r="F4" s="69" t="s">
        <v>84</v>
      </c>
      <c r="G4" s="69" t="s">
        <v>139</v>
      </c>
    </row>
    <row r="5" spans="1:7">
      <c r="B5" s="69"/>
      <c r="C5" s="69"/>
      <c r="D5" s="69"/>
      <c r="E5" s="69"/>
      <c r="F5" s="69"/>
      <c r="G5" s="69"/>
    </row>
    <row r="6" spans="1:7">
      <c r="A6" s="224" t="s">
        <v>137</v>
      </c>
      <c r="B6" s="69"/>
      <c r="C6" s="69"/>
      <c r="D6" s="146"/>
    </row>
    <row r="7" spans="1:7">
      <c r="A7" s="19" t="s">
        <v>22</v>
      </c>
      <c r="B7" s="205">
        <f>SUMIFS(B$16:B$198,$A$16:$A$198,$A7)</f>
        <v>6307512.9500000002</v>
      </c>
      <c r="C7" s="205">
        <f>SUMIFS(C$16:C$198,$A$16:$A$198,$A7)</f>
        <v>-350795.68999999989</v>
      </c>
      <c r="D7" s="205">
        <f>SUMIFS(D$16:D$198,$A$16:$A$198,$A7)</f>
        <v>-1143303.55</v>
      </c>
      <c r="E7" s="282">
        <f>SUMIFS(E$16:E$198,$A$16:$A$198,$A7)</f>
        <v>-190294.31</v>
      </c>
      <c r="F7" s="205">
        <f>SUM(B7:E7)</f>
        <v>4623119.4000000013</v>
      </c>
      <c r="G7" s="205">
        <f>SUMIFS(G$16:G$198,$A$16:$A$198,$A7)</f>
        <v>-30582.549999999992</v>
      </c>
    </row>
    <row r="8" spans="1:7">
      <c r="A8" s="19" t="s">
        <v>23</v>
      </c>
      <c r="B8" s="205">
        <f>B15</f>
        <v>4788471.2100000009</v>
      </c>
      <c r="C8" s="205">
        <f t="shared" ref="C8:E8" si="0">C15</f>
        <v>139600.30000000002</v>
      </c>
      <c r="D8" s="205">
        <f t="shared" si="0"/>
        <v>-142860.24000000002</v>
      </c>
      <c r="E8" s="282">
        <f t="shared" si="0"/>
        <v>8786.32</v>
      </c>
      <c r="F8" s="205">
        <f>SUM(B8:E8)</f>
        <v>4793997.5900000008</v>
      </c>
      <c r="G8" s="205">
        <f>G15</f>
        <v>48016.880000000005</v>
      </c>
    </row>
    <row r="9" spans="1:7">
      <c r="A9" s="19" t="s">
        <v>3</v>
      </c>
      <c r="B9" s="205">
        <f t="shared" ref="B9:E9" si="1">SUM(B7:B8)</f>
        <v>11095984.16</v>
      </c>
      <c r="C9" s="205">
        <f t="shared" si="1"/>
        <v>-211195.38999999987</v>
      </c>
      <c r="D9" s="205">
        <f t="shared" si="1"/>
        <v>-1286163.79</v>
      </c>
      <c r="E9" s="282">
        <f t="shared" si="1"/>
        <v>-181507.99</v>
      </c>
      <c r="F9" s="205">
        <f t="shared" ref="F9" si="2">SUM(F7:F8)</f>
        <v>9417116.9900000021</v>
      </c>
      <c r="G9" s="205">
        <f t="shared" ref="G9" si="3">SUM(G7:G8)</f>
        <v>17434.330000000013</v>
      </c>
    </row>
    <row r="10" spans="1:7">
      <c r="E10" s="283"/>
    </row>
    <row r="11" spans="1:7">
      <c r="A11" s="19" t="s">
        <v>91</v>
      </c>
      <c r="B11" s="205">
        <f t="shared" ref="B11:E14" si="4">SUMIFS(B$16:B$198,$A$16:$A$198,$A11)</f>
        <v>728832.51</v>
      </c>
      <c r="C11" s="205">
        <f t="shared" si="4"/>
        <v>39882.040000000015</v>
      </c>
      <c r="D11" s="205">
        <f t="shared" si="4"/>
        <v>-40639.72</v>
      </c>
      <c r="E11" s="282">
        <f t="shared" si="4"/>
        <v>-95.570000000000078</v>
      </c>
      <c r="F11" s="205">
        <f t="shared" ref="F11:F14" si="5">SUM(B11:E11)</f>
        <v>727979.26000000013</v>
      </c>
      <c r="G11" s="205">
        <f>SUMIFS(G$16:G$198,$A$16:$A$198,$A11)</f>
        <v>16147.059999999998</v>
      </c>
    </row>
    <row r="12" spans="1:7">
      <c r="A12" s="19" t="s">
        <v>92</v>
      </c>
      <c r="B12" s="205">
        <f t="shared" si="4"/>
        <v>1513024.06</v>
      </c>
      <c r="C12" s="205">
        <f t="shared" si="4"/>
        <v>-6433.9199999999801</v>
      </c>
      <c r="D12" s="205">
        <f t="shared" si="4"/>
        <v>-47101.220000000016</v>
      </c>
      <c r="E12" s="282">
        <f t="shared" si="4"/>
        <v>-69.479999999999791</v>
      </c>
      <c r="F12" s="205">
        <f t="shared" si="5"/>
        <v>1459419.4400000002</v>
      </c>
      <c r="G12" s="205">
        <f>SUMIFS(G$16:G$198,$A$16:$A$198,$A12)</f>
        <v>8309.840000000002</v>
      </c>
    </row>
    <row r="13" spans="1:7">
      <c r="A13" s="19" t="s">
        <v>93</v>
      </c>
      <c r="B13" s="205">
        <f t="shared" si="4"/>
        <v>2171925.0300000003</v>
      </c>
      <c r="C13" s="205">
        <f t="shared" si="4"/>
        <v>90375.869999999981</v>
      </c>
      <c r="D13" s="205">
        <f t="shared" si="4"/>
        <v>-53297.030000000006</v>
      </c>
      <c r="E13" s="282">
        <f t="shared" si="4"/>
        <v>6887.6</v>
      </c>
      <c r="F13" s="205">
        <f t="shared" si="5"/>
        <v>2215891.4700000007</v>
      </c>
      <c r="G13" s="205">
        <f>SUMIFS(G$16:G$198,$A$16:$A$198,$A13)</f>
        <v>18128.72</v>
      </c>
    </row>
    <row r="14" spans="1:7">
      <c r="A14" s="19" t="s">
        <v>94</v>
      </c>
      <c r="B14" s="205">
        <f t="shared" si="4"/>
        <v>374689.61</v>
      </c>
      <c r="C14" s="205">
        <f t="shared" si="4"/>
        <v>15776.309999999998</v>
      </c>
      <c r="D14" s="205">
        <f t="shared" si="4"/>
        <v>-1822.27</v>
      </c>
      <c r="E14" s="282">
        <f t="shared" si="4"/>
        <v>2063.77</v>
      </c>
      <c r="F14" s="205">
        <f t="shared" si="5"/>
        <v>390707.42</v>
      </c>
      <c r="G14" s="205">
        <f>SUMIFS(G$16:G$198,$A$16:$A$198,$A14)</f>
        <v>5431.26</v>
      </c>
    </row>
    <row r="15" spans="1:7">
      <c r="A15" s="29" t="s">
        <v>95</v>
      </c>
      <c r="B15" s="205">
        <f t="shared" ref="B15:E15" si="6">SUM(B11:B14)</f>
        <v>4788471.2100000009</v>
      </c>
      <c r="C15" s="205">
        <f t="shared" si="6"/>
        <v>139600.30000000002</v>
      </c>
      <c r="D15" s="205">
        <f t="shared" si="6"/>
        <v>-142860.24000000002</v>
      </c>
      <c r="E15" s="282">
        <f t="shared" si="6"/>
        <v>8786.32</v>
      </c>
      <c r="F15" s="205">
        <f t="shared" ref="F15" si="7">SUM(F11:F14)</f>
        <v>4793997.5900000008</v>
      </c>
      <c r="G15" s="205">
        <f t="shared" ref="G15" si="8">SUM(G11:G14)</f>
        <v>48016.880000000005</v>
      </c>
    </row>
    <row r="16" spans="1:7">
      <c r="E16" s="283"/>
    </row>
    <row r="17" spans="1:7">
      <c r="A17" s="19"/>
      <c r="B17" s="69"/>
      <c r="C17" s="69"/>
      <c r="D17" s="145"/>
      <c r="E17" s="283"/>
    </row>
    <row r="18" spans="1:7">
      <c r="A18" s="224" t="s">
        <v>140</v>
      </c>
      <c r="B18" s="69"/>
      <c r="C18" s="69"/>
      <c r="D18" s="145"/>
      <c r="E18" s="283"/>
    </row>
    <row r="19" spans="1:7">
      <c r="A19" s="19" t="s">
        <v>22</v>
      </c>
      <c r="B19" s="24">
        <f>ROUND('[18]EO Matrix @Meter'!$R$20,2)</f>
        <v>1163217.68</v>
      </c>
      <c r="C19" s="24">
        <f>ROUND(SUM('[19]Ex Post Gross TD Calc'!$E$571:$Z$571),2)</f>
        <v>331067.99</v>
      </c>
      <c r="D19" s="24">
        <f>ROUND(SUM('[19]NTG TD Calc'!$E$436:$Z$436),2)</f>
        <v>-686548</v>
      </c>
      <c r="E19" s="284">
        <f>ROUND(SUM('[19]EO TD Carrying Costs'!$C$55:$X$55),2)</f>
        <v>-17626.7</v>
      </c>
      <c r="F19" s="205">
        <f>SUM(B19:E19)</f>
        <v>790110.97</v>
      </c>
      <c r="G19" s="205">
        <f>ROUND(F19/12*0,2)</f>
        <v>0</v>
      </c>
    </row>
    <row r="20" spans="1:7">
      <c r="A20" s="19" t="s">
        <v>23</v>
      </c>
      <c r="B20" s="204">
        <f>B27</f>
        <v>923233.23</v>
      </c>
      <c r="C20" s="204">
        <f t="shared" ref="C20:E20" si="9">C27</f>
        <v>137591.55000000002</v>
      </c>
      <c r="D20" s="204">
        <f t="shared" si="9"/>
        <v>-89366.98</v>
      </c>
      <c r="E20" s="285">
        <f t="shared" si="9"/>
        <v>2905.83</v>
      </c>
      <c r="F20" s="205">
        <f>SUM(B20:E20)</f>
        <v>974363.63</v>
      </c>
      <c r="G20" s="205">
        <f>G27</f>
        <v>0</v>
      </c>
    </row>
    <row r="21" spans="1:7">
      <c r="A21" s="19" t="s">
        <v>3</v>
      </c>
      <c r="B21" s="205">
        <f t="shared" ref="B21:G21" si="10">SUM(B19:B20)</f>
        <v>2086450.91</v>
      </c>
      <c r="C21" s="205">
        <f t="shared" si="10"/>
        <v>468659.54000000004</v>
      </c>
      <c r="D21" s="205">
        <f t="shared" si="10"/>
        <v>-775914.98</v>
      </c>
      <c r="E21" s="282">
        <f t="shared" si="10"/>
        <v>-14720.87</v>
      </c>
      <c r="F21" s="205">
        <f t="shared" si="10"/>
        <v>1764474.6</v>
      </c>
      <c r="G21" s="205">
        <f t="shared" si="10"/>
        <v>0</v>
      </c>
    </row>
    <row r="22" spans="1:7">
      <c r="B22" s="202"/>
      <c r="C22" s="202"/>
      <c r="D22" s="203"/>
      <c r="E22" s="283"/>
    </row>
    <row r="23" spans="1:7">
      <c r="A23" s="19" t="s">
        <v>91</v>
      </c>
      <c r="B23" s="24">
        <f>ROUND('[18]EO Matrix @Meter'!$V$20,2)</f>
        <v>89861.64</v>
      </c>
      <c r="C23" s="24">
        <f>ROUND(SUM('[19]Ex Post Gross TD Calc'!$E$572:$Z$572),2)</f>
        <v>30571.68</v>
      </c>
      <c r="D23" s="24">
        <f>ROUND(SUM('[19]NTG TD Calc'!$E$437:$Z$437),2)</f>
        <v>-25048.27</v>
      </c>
      <c r="E23" s="285">
        <f>ROUND(SUM('[19]EO TD Carrying Costs'!$C$56:$X$56),2)</f>
        <v>150.27000000000001</v>
      </c>
      <c r="F23" s="205">
        <f t="shared" ref="F23:F26" si="11">SUM(B23:E23)</f>
        <v>95535.32</v>
      </c>
      <c r="G23" s="205">
        <f>ROUND(F23/12*0,2)</f>
        <v>0</v>
      </c>
    </row>
    <row r="24" spans="1:7">
      <c r="A24" s="19" t="s">
        <v>92</v>
      </c>
      <c r="B24" s="204">
        <f>ROUND('[18]EO Matrix @Meter'!$W$20,2)</f>
        <v>329114.67</v>
      </c>
      <c r="C24" s="204">
        <f>ROUND(SUM('[19]Ex Post Gross TD Calc'!$E$573:$Z$573),2)</f>
        <v>56526.62</v>
      </c>
      <c r="D24" s="204">
        <f>ROUND(SUM('[19]NTG TD Calc'!$E$438:$Z$438),2)</f>
        <v>-39695.9</v>
      </c>
      <c r="E24" s="285">
        <f>ROUND(SUM('[19]EO TD Carrying Costs'!$C$57:$X$57),2)</f>
        <v>964.19</v>
      </c>
      <c r="F24" s="205">
        <f t="shared" si="11"/>
        <v>346909.57999999996</v>
      </c>
      <c r="G24" s="205">
        <f t="shared" ref="G24:G26" si="12">ROUND(F24/12*0,2)</f>
        <v>0</v>
      </c>
    </row>
    <row r="25" spans="1:7">
      <c r="A25" s="19" t="s">
        <v>93</v>
      </c>
      <c r="B25" s="24">
        <f>ROUND('[18]EO Matrix @Meter'!$X$20,2)</f>
        <v>441576.37</v>
      </c>
      <c r="C25" s="24">
        <f>ROUND(SUM('[19]Ex Post Gross TD Calc'!$E$574:$Z$574),2)</f>
        <v>44928.09</v>
      </c>
      <c r="D25" s="24">
        <f>ROUND(SUM('[19]NTG TD Calc'!$E$439:$Z$439),2)</f>
        <v>-23708.22</v>
      </c>
      <c r="E25" s="284">
        <f>ROUND(SUM('[19]EO TD Carrying Costs'!$C$58:$X$58),2)</f>
        <v>1389.19</v>
      </c>
      <c r="F25" s="205">
        <f t="shared" si="11"/>
        <v>464185.43</v>
      </c>
      <c r="G25" s="205">
        <f t="shared" si="12"/>
        <v>0</v>
      </c>
    </row>
    <row r="26" spans="1:7">
      <c r="A26" s="19" t="s">
        <v>94</v>
      </c>
      <c r="B26" s="204">
        <f>ROUND('[18]EO Matrix @Meter'!$Y$20,2)</f>
        <v>62680.55</v>
      </c>
      <c r="C26" s="204">
        <f>ROUND(SUM('[19]Ex Post Gross TD Calc'!$E$575:$Z$575),2)</f>
        <v>5565.16</v>
      </c>
      <c r="D26" s="204">
        <f>ROUND(SUM('[19]NTG TD Calc'!$E$440:$Z$440),2)</f>
        <v>-914.59</v>
      </c>
      <c r="E26" s="285">
        <f>ROUND(SUM('[19]EO TD Carrying Costs'!$C$59:$X$59),2)</f>
        <v>402.18</v>
      </c>
      <c r="F26" s="205">
        <f t="shared" si="11"/>
        <v>67733.3</v>
      </c>
      <c r="G26" s="205">
        <f t="shared" si="12"/>
        <v>0</v>
      </c>
    </row>
    <row r="27" spans="1:7">
      <c r="A27" s="29" t="s">
        <v>95</v>
      </c>
      <c r="B27" s="205">
        <f>SUM(B23:B26)</f>
        <v>923233.23</v>
      </c>
      <c r="C27" s="205">
        <f>SUM(C23:C26)</f>
        <v>137591.55000000002</v>
      </c>
      <c r="D27" s="205">
        <f t="shared" ref="D27:G27" si="13">SUM(D23:D26)</f>
        <v>-89366.98</v>
      </c>
      <c r="E27" s="282">
        <f t="shared" si="13"/>
        <v>2905.83</v>
      </c>
      <c r="F27" s="205">
        <f t="shared" si="13"/>
        <v>974363.63</v>
      </c>
      <c r="G27" s="205">
        <f t="shared" si="13"/>
        <v>0</v>
      </c>
    </row>
    <row r="28" spans="1:7">
      <c r="E28" s="283"/>
    </row>
    <row r="29" spans="1:7">
      <c r="E29" s="283"/>
    </row>
    <row r="30" spans="1:7">
      <c r="A30" s="224" t="s">
        <v>142</v>
      </c>
      <c r="E30" s="283"/>
    </row>
    <row r="31" spans="1:7">
      <c r="A31" s="19" t="s">
        <v>22</v>
      </c>
      <c r="B31" s="24">
        <f>ROUND(0,2)</f>
        <v>0</v>
      </c>
      <c r="C31" s="24">
        <f>ROUND(SUM('[19]Ex Post Gross TD Calc'!$AA$571:$AF$571),2)</f>
        <v>121182.9</v>
      </c>
      <c r="D31" s="24">
        <f>ROUND(SUM('[19]NTG TD Calc'!$AA$436:$AF$436),2)</f>
        <v>-87029.97</v>
      </c>
      <c r="E31" s="284">
        <f>ROUND(SUM('[19]EO TD Carrying Costs'!$Y$55:$AD$55),2)</f>
        <v>-12821.55</v>
      </c>
      <c r="F31" s="205">
        <f>SUM(B31:E31)</f>
        <v>21331.379999999994</v>
      </c>
      <c r="G31" s="205">
        <f>ROUND(F31/12*0,2)</f>
        <v>0</v>
      </c>
    </row>
    <row r="32" spans="1:7">
      <c r="A32" s="19" t="s">
        <v>23</v>
      </c>
      <c r="B32" s="204">
        <f>B39</f>
        <v>0</v>
      </c>
      <c r="C32" s="204">
        <f t="shared" ref="C32:E32" si="14">C39</f>
        <v>37872.939999999995</v>
      </c>
      <c r="D32" s="204">
        <f t="shared" si="14"/>
        <v>-10592.6</v>
      </c>
      <c r="E32" s="285">
        <f t="shared" si="14"/>
        <v>2081.9299999999998</v>
      </c>
      <c r="F32" s="205">
        <f>SUM(B32:E32)</f>
        <v>29362.269999999997</v>
      </c>
      <c r="G32" s="205">
        <f>G39</f>
        <v>0</v>
      </c>
    </row>
    <row r="33" spans="1:7">
      <c r="A33" s="19" t="s">
        <v>3</v>
      </c>
      <c r="B33" s="205">
        <f t="shared" ref="B33:G33" si="15">SUM(B31:B32)</f>
        <v>0</v>
      </c>
      <c r="C33" s="205">
        <f t="shared" si="15"/>
        <v>159055.84</v>
      </c>
      <c r="D33" s="205">
        <f t="shared" si="15"/>
        <v>-97622.57</v>
      </c>
      <c r="E33" s="282">
        <f t="shared" si="15"/>
        <v>-10739.619999999999</v>
      </c>
      <c r="F33" s="205">
        <f t="shared" si="15"/>
        <v>50693.649999999994</v>
      </c>
      <c r="G33" s="205">
        <f t="shared" si="15"/>
        <v>0</v>
      </c>
    </row>
    <row r="34" spans="1:7">
      <c r="B34" s="202"/>
      <c r="C34" s="202"/>
      <c r="D34" s="203"/>
      <c r="E34" s="283"/>
    </row>
    <row r="35" spans="1:7">
      <c r="A35" s="19" t="s">
        <v>91</v>
      </c>
      <c r="B35" s="24">
        <f>ROUND(0,2)</f>
        <v>0</v>
      </c>
      <c r="C35" s="24">
        <f>ROUND(SUM('[19]Ex Post Gross TD Calc'!$AA572:$AF572),2)</f>
        <v>7589.27</v>
      </c>
      <c r="D35" s="24">
        <f>ROUND(SUM('[19]NTG TD Calc'!$AA437:$AF437),2)</f>
        <v>-2344.38</v>
      </c>
      <c r="E35" s="285">
        <f>ROUND(SUM('[19]EO TD Carrying Costs'!$Y56:$AD56),2)</f>
        <v>256.27999999999997</v>
      </c>
      <c r="F35" s="205">
        <f t="shared" ref="F35:F38" si="16">SUM(B35:E35)</f>
        <v>5501.17</v>
      </c>
      <c r="G35" s="205">
        <f>ROUND(F35/12*0,2)</f>
        <v>0</v>
      </c>
    </row>
    <row r="36" spans="1:7">
      <c r="A36" s="19" t="s">
        <v>92</v>
      </c>
      <c r="B36" s="204">
        <f>ROUND(0,2)</f>
        <v>0</v>
      </c>
      <c r="C36" s="204">
        <f>ROUND(SUM('[19]Ex Post Gross TD Calc'!$AA573:$AF573),2)</f>
        <v>17892.060000000001</v>
      </c>
      <c r="D36" s="204">
        <f>ROUND(SUM('[19]NTG TD Calc'!$AA438:$AF438),2)</f>
        <v>-5102.96</v>
      </c>
      <c r="E36" s="285">
        <f>ROUND(SUM('[19]EO TD Carrying Costs'!$Y57:$AD57),2)</f>
        <v>766.86</v>
      </c>
      <c r="F36" s="205">
        <f t="shared" si="16"/>
        <v>13555.960000000003</v>
      </c>
      <c r="G36" s="205">
        <f t="shared" ref="G36:G38" si="17">ROUND(F36/12*0,2)</f>
        <v>0</v>
      </c>
    </row>
    <row r="37" spans="1:7">
      <c r="A37" s="19" t="s">
        <v>93</v>
      </c>
      <c r="B37" s="24">
        <f>ROUND(0,2)</f>
        <v>0</v>
      </c>
      <c r="C37" s="24">
        <f>ROUND(SUM('[19]Ex Post Gross TD Calc'!$AA574:$AF574),2)</f>
        <v>11918.09</v>
      </c>
      <c r="D37" s="24">
        <f>ROUND(SUM('[19]NTG TD Calc'!$AA439:$AF439),2)</f>
        <v>-2977.22</v>
      </c>
      <c r="E37" s="284">
        <f>ROUND(SUM('[19]EO TD Carrying Costs'!$Y58:$AD58),2)</f>
        <v>884.23</v>
      </c>
      <c r="F37" s="205">
        <f t="shared" si="16"/>
        <v>9825.1</v>
      </c>
      <c r="G37" s="205">
        <f t="shared" si="17"/>
        <v>0</v>
      </c>
    </row>
    <row r="38" spans="1:7">
      <c r="A38" s="19" t="s">
        <v>94</v>
      </c>
      <c r="B38" s="204">
        <f>ROUND(0,2)</f>
        <v>0</v>
      </c>
      <c r="C38" s="204">
        <f>ROUND(SUM('[19]Ex Post Gross TD Calc'!$AA575:$AF575),2)</f>
        <v>473.52</v>
      </c>
      <c r="D38" s="204">
        <f>ROUND(SUM('[19]NTG TD Calc'!$AA440:$AF440),2)</f>
        <v>-168.04</v>
      </c>
      <c r="E38" s="285">
        <f>ROUND(SUM('[19]EO TD Carrying Costs'!$Y59:$AD59),2)</f>
        <v>174.56</v>
      </c>
      <c r="F38" s="205">
        <f t="shared" si="16"/>
        <v>480.04</v>
      </c>
      <c r="G38" s="205">
        <f t="shared" si="17"/>
        <v>0</v>
      </c>
    </row>
    <row r="39" spans="1:7">
      <c r="A39" s="29" t="s">
        <v>95</v>
      </c>
      <c r="B39" s="205">
        <f>SUM(B35:B38)</f>
        <v>0</v>
      </c>
      <c r="C39" s="205">
        <f>SUM(C35:C38)</f>
        <v>37872.939999999995</v>
      </c>
      <c r="D39" s="205">
        <f t="shared" ref="D39:G39" si="18">SUM(D35:D38)</f>
        <v>-10592.6</v>
      </c>
      <c r="E39" s="282">
        <f t="shared" si="18"/>
        <v>2081.9299999999998</v>
      </c>
      <c r="F39" s="205">
        <f t="shared" si="18"/>
        <v>29362.270000000004</v>
      </c>
      <c r="G39" s="205">
        <f t="shared" si="18"/>
        <v>0</v>
      </c>
    </row>
    <row r="40" spans="1:7">
      <c r="E40" s="283"/>
    </row>
    <row r="41" spans="1:7">
      <c r="E41" s="283"/>
    </row>
    <row r="42" spans="1:7">
      <c r="A42" s="224" t="s">
        <v>148</v>
      </c>
      <c r="E42" s="283"/>
    </row>
    <row r="43" spans="1:7">
      <c r="A43" s="19" t="s">
        <v>22</v>
      </c>
      <c r="B43" s="24">
        <f>ROUND(0,2)</f>
        <v>0</v>
      </c>
      <c r="C43" s="24">
        <f>ROUND(SUM('[19]Ex Post Gross TD Calc'!$AG$571:$AM$571),2)</f>
        <v>137657.76</v>
      </c>
      <c r="D43" s="24">
        <f>ROUND(SUM('[19]NTG TD Calc'!$AG$436:$AM$436),2)</f>
        <v>0.03</v>
      </c>
      <c r="E43" s="284">
        <f>ROUND(SUM('[19]EO TD Carrying Costs'!$AE$55:$AI$55),2)</f>
        <v>-8083.49</v>
      </c>
      <c r="F43" s="205">
        <f>SUM(B43:E43)</f>
        <v>129574.3</v>
      </c>
      <c r="G43" s="205">
        <f>ROUND(F43/12*0,2)</f>
        <v>0</v>
      </c>
    </row>
    <row r="44" spans="1:7">
      <c r="A44" s="19" t="s">
        <v>23</v>
      </c>
      <c r="B44" s="204">
        <f>B51</f>
        <v>0</v>
      </c>
      <c r="C44" s="204">
        <f t="shared" ref="C44:E44" si="19">C51</f>
        <v>59053.65</v>
      </c>
      <c r="D44" s="204">
        <f t="shared" si="19"/>
        <v>0.01</v>
      </c>
      <c r="E44" s="285">
        <f t="shared" si="19"/>
        <v>2774.88</v>
      </c>
      <c r="F44" s="205">
        <f>SUM(B44:E44)</f>
        <v>61828.54</v>
      </c>
      <c r="G44" s="205">
        <f>G51</f>
        <v>0</v>
      </c>
    </row>
    <row r="45" spans="1:7">
      <c r="A45" s="19" t="s">
        <v>3</v>
      </c>
      <c r="B45" s="205">
        <f t="shared" ref="B45:G45" si="20">SUM(B43:B44)</f>
        <v>0</v>
      </c>
      <c r="C45" s="205">
        <f t="shared" si="20"/>
        <v>196711.41</v>
      </c>
      <c r="D45" s="205">
        <f t="shared" si="20"/>
        <v>0.04</v>
      </c>
      <c r="E45" s="282">
        <f t="shared" si="20"/>
        <v>-5308.61</v>
      </c>
      <c r="F45" s="205">
        <f t="shared" si="20"/>
        <v>191402.84</v>
      </c>
      <c r="G45" s="205">
        <f t="shared" si="20"/>
        <v>0</v>
      </c>
    </row>
    <row r="46" spans="1:7">
      <c r="B46" s="202"/>
      <c r="C46" s="202"/>
      <c r="D46" s="203"/>
      <c r="E46" s="283"/>
    </row>
    <row r="47" spans="1:7">
      <c r="A47" s="19" t="s">
        <v>91</v>
      </c>
      <c r="B47" s="24">
        <f>ROUND(0,2)</f>
        <v>0</v>
      </c>
      <c r="C47" s="24">
        <f>ROUND(SUM('[19]Ex Post Gross TD Calc'!$AG572:$AM572),2)</f>
        <v>13769.16</v>
      </c>
      <c r="D47" s="24">
        <f>ROUND(SUM('[19]NTG TD Calc'!$AG437:$AM437),2)</f>
        <v>0.02</v>
      </c>
      <c r="E47" s="285">
        <f>ROUND(SUM('[19]EO TD Carrying Costs'!$AE56:$AI56),2)</f>
        <v>443.83</v>
      </c>
      <c r="F47" s="205">
        <f t="shared" ref="F47:F50" si="21">SUM(B47:E47)</f>
        <v>14213.01</v>
      </c>
      <c r="G47" s="205">
        <f t="shared" ref="G47:G50" si="22">ROUND(F47/12*0,2)</f>
        <v>0</v>
      </c>
    </row>
    <row r="48" spans="1:7">
      <c r="A48" s="19" t="s">
        <v>92</v>
      </c>
      <c r="B48" s="204">
        <f>ROUND(0,2)</f>
        <v>0</v>
      </c>
      <c r="C48" s="204">
        <f>ROUND(SUM('[19]Ex Post Gross TD Calc'!$AG573:$AM573),2)</f>
        <v>26875.279999999999</v>
      </c>
      <c r="D48" s="204">
        <f>ROUND(SUM('[19]NTG TD Calc'!$AG438:$AM438),2)</f>
        <v>0</v>
      </c>
      <c r="E48" s="285">
        <f>ROUND(SUM('[19]EO TD Carrying Costs'!$AE57:$AI57),2)</f>
        <v>1119.3900000000001</v>
      </c>
      <c r="F48" s="205">
        <f t="shared" si="21"/>
        <v>27994.67</v>
      </c>
      <c r="G48" s="205">
        <f t="shared" si="22"/>
        <v>0</v>
      </c>
    </row>
    <row r="49" spans="1:8">
      <c r="A49" s="19" t="s">
        <v>93</v>
      </c>
      <c r="B49" s="24">
        <f>ROUND(0,2)</f>
        <v>0</v>
      </c>
      <c r="C49" s="24">
        <f>ROUND(SUM('[19]Ex Post Gross TD Calc'!$AG574:$AM574),2)</f>
        <v>17796.580000000002</v>
      </c>
      <c r="D49" s="24">
        <f>ROUND(SUM('[19]NTG TD Calc'!$AG439:$AM439),2)</f>
        <v>-0.02</v>
      </c>
      <c r="E49" s="285">
        <f>ROUND(SUM('[19]EO TD Carrying Costs'!$AE58:$AI58),2)</f>
        <v>1056.42</v>
      </c>
      <c r="F49" s="205">
        <f t="shared" si="21"/>
        <v>18852.980000000003</v>
      </c>
      <c r="G49" s="205">
        <f t="shared" si="22"/>
        <v>0</v>
      </c>
    </row>
    <row r="50" spans="1:8">
      <c r="A50" s="19" t="s">
        <v>94</v>
      </c>
      <c r="B50" s="204">
        <f>ROUND(0,2)</f>
        <v>0</v>
      </c>
      <c r="C50" s="204">
        <f>ROUND(SUM('[19]Ex Post Gross TD Calc'!$AG575:$AM575),2)</f>
        <v>612.63</v>
      </c>
      <c r="D50" s="204">
        <f>ROUND(SUM('[19]NTG TD Calc'!$AG440:$AM440),2)</f>
        <v>0.01</v>
      </c>
      <c r="E50" s="285">
        <f>ROUND(SUM('[19]EO TD Carrying Costs'!$AE59:$AI59),2)</f>
        <v>155.24</v>
      </c>
      <c r="F50" s="205">
        <f t="shared" si="21"/>
        <v>767.88</v>
      </c>
      <c r="G50" s="205">
        <f t="shared" si="22"/>
        <v>0</v>
      </c>
    </row>
    <row r="51" spans="1:8">
      <c r="A51" s="29" t="s">
        <v>95</v>
      </c>
      <c r="B51" s="205">
        <f>SUM(B47:B50)</f>
        <v>0</v>
      </c>
      <c r="C51" s="205">
        <f>SUM(C47:C50)</f>
        <v>59053.65</v>
      </c>
      <c r="D51" s="205">
        <f t="shared" ref="D51:G51" si="23">SUM(D47:D50)</f>
        <v>0.01</v>
      </c>
      <c r="E51" s="282">
        <f t="shared" si="23"/>
        <v>2774.88</v>
      </c>
      <c r="F51" s="205">
        <f t="shared" si="23"/>
        <v>61828.54</v>
      </c>
      <c r="G51" s="205">
        <f t="shared" si="23"/>
        <v>0</v>
      </c>
    </row>
    <row r="52" spans="1:8">
      <c r="E52" s="283"/>
    </row>
    <row r="53" spans="1:8">
      <c r="E53" s="283"/>
    </row>
    <row r="54" spans="1:8">
      <c r="A54" s="224" t="s">
        <v>175</v>
      </c>
      <c r="E54" s="283"/>
      <c r="H54" s="38"/>
    </row>
    <row r="55" spans="1:8">
      <c r="A55" s="19" t="s">
        <v>22</v>
      </c>
      <c r="B55" s="24">
        <f>ROUND(0,2)</f>
        <v>0</v>
      </c>
      <c r="C55" s="24">
        <f>ROUND(SUM('[19]Ex Post Gross TD Calc'!$AN$571:$AR$571),2)</f>
        <v>19484.43</v>
      </c>
      <c r="D55" s="24">
        <f>ROUND(SUM('[19]NTG TD Calc'!$AN$436:$AR$436),2)</f>
        <v>0</v>
      </c>
      <c r="E55" s="284">
        <f>ROUND(SUM('[19]EO TD Carrying Costs'!$AJ55:$AP55),2)</f>
        <v>-3751.12</v>
      </c>
      <c r="F55" s="205">
        <f>SUM(B55:E55)</f>
        <v>15733.310000000001</v>
      </c>
      <c r="G55" s="205">
        <f>ROUND(F55/12*0,2)</f>
        <v>0</v>
      </c>
      <c r="H55" s="38"/>
    </row>
    <row r="56" spans="1:8">
      <c r="A56" s="19" t="s">
        <v>23</v>
      </c>
      <c r="B56" s="204">
        <f>B63</f>
        <v>0</v>
      </c>
      <c r="C56" s="204">
        <f t="shared" ref="C56:E56" si="24">C63</f>
        <v>6012.1399999999994</v>
      </c>
      <c r="D56" s="204">
        <f t="shared" si="24"/>
        <v>0.01</v>
      </c>
      <c r="E56" s="285">
        <f t="shared" si="24"/>
        <v>2260.19</v>
      </c>
      <c r="F56" s="205">
        <f>SUM(B56:E56)</f>
        <v>8272.34</v>
      </c>
      <c r="G56" s="205">
        <f>G63</f>
        <v>0</v>
      </c>
      <c r="H56" s="38"/>
    </row>
    <row r="57" spans="1:8">
      <c r="A57" s="19" t="s">
        <v>3</v>
      </c>
      <c r="B57" s="205">
        <f t="shared" ref="B57:G57" si="25">SUM(B55:B56)</f>
        <v>0</v>
      </c>
      <c r="C57" s="205">
        <f t="shared" si="25"/>
        <v>25496.57</v>
      </c>
      <c r="D57" s="205">
        <f t="shared" si="25"/>
        <v>0.01</v>
      </c>
      <c r="E57" s="282">
        <f t="shared" si="25"/>
        <v>-1490.9299999999998</v>
      </c>
      <c r="F57" s="205">
        <f t="shared" si="25"/>
        <v>24005.65</v>
      </c>
      <c r="G57" s="205">
        <f t="shared" si="25"/>
        <v>0</v>
      </c>
      <c r="H57" s="38"/>
    </row>
    <row r="58" spans="1:8">
      <c r="B58" s="202"/>
      <c r="C58" s="202"/>
      <c r="D58" s="203"/>
      <c r="E58" s="283"/>
      <c r="H58" s="38"/>
    </row>
    <row r="59" spans="1:8">
      <c r="A59" s="19" t="s">
        <v>91</v>
      </c>
      <c r="B59" s="24">
        <f>ROUND(0,2)</f>
        <v>0</v>
      </c>
      <c r="C59" s="24">
        <f>ROUND(SUM('[19]Ex Post Gross TD Calc'!$AN572:$AR572),2)</f>
        <v>1215.73</v>
      </c>
      <c r="D59" s="24">
        <f>ROUND(SUM('[19]NTG TD Calc'!$AN437:$AR437),2)</f>
        <v>0.01</v>
      </c>
      <c r="E59" s="284">
        <f>ROUND(SUM('[19]EO TD Carrying Costs'!$AJ56:$AP56),2)</f>
        <v>402.1</v>
      </c>
      <c r="F59" s="205">
        <f t="shared" ref="F59:F62" si="26">SUM(B59:E59)</f>
        <v>1617.8400000000001</v>
      </c>
      <c r="G59" s="205">
        <f>ROUND(F59/12*0,2)</f>
        <v>0</v>
      </c>
      <c r="H59" s="38"/>
    </row>
    <row r="60" spans="1:8">
      <c r="A60" s="19" t="s">
        <v>92</v>
      </c>
      <c r="B60" s="204">
        <f>ROUND(0,2)</f>
        <v>0</v>
      </c>
      <c r="C60" s="24">
        <f>ROUND(SUM('[19]Ex Post Gross TD Calc'!$AN573:$AR573),2)</f>
        <v>2872.39</v>
      </c>
      <c r="D60" s="24">
        <f>ROUND(SUM('[19]NTG TD Calc'!$AN438:$AR438),2)</f>
        <v>-0.01</v>
      </c>
      <c r="E60" s="284">
        <f>ROUND(SUM('[19]EO TD Carrying Costs'!$AJ57:$AP57),2)</f>
        <v>939.03</v>
      </c>
      <c r="F60" s="205">
        <f t="shared" si="26"/>
        <v>3811.41</v>
      </c>
      <c r="G60" s="205">
        <f>ROUND(F60/12*0,2)</f>
        <v>0</v>
      </c>
      <c r="H60" s="38"/>
    </row>
    <row r="61" spans="1:8">
      <c r="A61" s="19" t="s">
        <v>93</v>
      </c>
      <c r="B61" s="24">
        <f>ROUND(0,2)</f>
        <v>0</v>
      </c>
      <c r="C61" s="24">
        <f>ROUND(SUM('[19]Ex Post Gross TD Calc'!$AN574:$AR574),2)</f>
        <v>1852.08</v>
      </c>
      <c r="D61" s="24">
        <f>ROUND(SUM('[19]NTG TD Calc'!$AN439:$AR439),2)</f>
        <v>0.01</v>
      </c>
      <c r="E61" s="284">
        <f>ROUND(SUM('[19]EO TD Carrying Costs'!$AJ58:$AP58),2)</f>
        <v>817.17</v>
      </c>
      <c r="F61" s="205">
        <f t="shared" si="26"/>
        <v>2669.2599999999998</v>
      </c>
      <c r="G61" s="205">
        <f>ROUND(F61/12*0,2)</f>
        <v>0</v>
      </c>
      <c r="H61" s="38"/>
    </row>
    <row r="62" spans="1:8">
      <c r="A62" s="19" t="s">
        <v>94</v>
      </c>
      <c r="B62" s="204">
        <f>ROUND(0,2)</f>
        <v>0</v>
      </c>
      <c r="C62" s="24">
        <f>ROUND(SUM('[19]Ex Post Gross TD Calc'!$AN575:$AR575),2)</f>
        <v>71.94</v>
      </c>
      <c r="D62" s="24">
        <f>ROUND(SUM('[19]NTG TD Calc'!$AN440:$AR440),2)</f>
        <v>0</v>
      </c>
      <c r="E62" s="284">
        <f>ROUND(SUM('[19]EO TD Carrying Costs'!$AJ59:$AP59),2)</f>
        <v>101.89</v>
      </c>
      <c r="F62" s="205">
        <f t="shared" si="26"/>
        <v>173.82999999999998</v>
      </c>
      <c r="G62" s="205">
        <f>ROUND(F62/12*0,2)</f>
        <v>0</v>
      </c>
      <c r="H62" s="38"/>
    </row>
    <row r="63" spans="1:8">
      <c r="A63" s="29" t="s">
        <v>95</v>
      </c>
      <c r="B63" s="205">
        <f>SUM(B59:B62)</f>
        <v>0</v>
      </c>
      <c r="C63" s="205">
        <f>SUM(C59:C62)</f>
        <v>6012.1399999999994</v>
      </c>
      <c r="D63" s="205">
        <f t="shared" ref="D63:G63" si="27">SUM(D59:D62)</f>
        <v>0.01</v>
      </c>
      <c r="E63" s="282">
        <f t="shared" si="27"/>
        <v>2260.19</v>
      </c>
      <c r="F63" s="205">
        <f t="shared" si="27"/>
        <v>8272.34</v>
      </c>
      <c r="G63" s="205">
        <f t="shared" si="27"/>
        <v>0</v>
      </c>
      <c r="H63" s="38"/>
    </row>
    <row r="64" spans="1:8">
      <c r="E64" s="283"/>
    </row>
    <row r="65" spans="1:7">
      <c r="E65" s="283"/>
    </row>
    <row r="66" spans="1:7">
      <c r="A66" s="224" t="s">
        <v>150</v>
      </c>
      <c r="E66" s="283"/>
    </row>
    <row r="67" spans="1:7">
      <c r="A67" s="19" t="s">
        <v>22</v>
      </c>
      <c r="B67" s="24">
        <f>ROUND('[20]EO Matrix @Meter'!$AL$20,2)</f>
        <v>1385047.19</v>
      </c>
      <c r="C67" s="24">
        <f>ROUND(SUM('[21]Ex Post Gross TD Calc'!$Q$571:$AN$571),2)</f>
        <v>-356522.43</v>
      </c>
      <c r="D67" s="24">
        <f>ROUND(SUM('[21]NTG TD Calc'!$Q$436:$AN$436),2)</f>
        <v>-293909.08</v>
      </c>
      <c r="E67" s="284">
        <f>ROUND(SUM('[21]EO TD Carrying Costs'!$O$55:$AL$55),2)</f>
        <v>-55727.9</v>
      </c>
      <c r="F67" s="205">
        <f>SUM(B67:E67)</f>
        <v>678887.77999999991</v>
      </c>
      <c r="G67" s="205">
        <f>ROUND(F67/12*0,2)</f>
        <v>0</v>
      </c>
    </row>
    <row r="68" spans="1:7">
      <c r="A68" s="19" t="s">
        <v>23</v>
      </c>
      <c r="B68" s="204">
        <f>B75</f>
        <v>839588.63</v>
      </c>
      <c r="C68" s="204">
        <f t="shared" ref="C68:E68" si="28">C75</f>
        <v>65049.640000000007</v>
      </c>
      <c r="D68" s="204">
        <f t="shared" si="28"/>
        <v>-145276.81</v>
      </c>
      <c r="E68" s="285">
        <f t="shared" si="28"/>
        <v>-4013.3000000000006</v>
      </c>
      <c r="F68" s="205">
        <f>SUM(B68:E68)</f>
        <v>755348.15999999992</v>
      </c>
      <c r="G68" s="205">
        <f>G75</f>
        <v>0</v>
      </c>
    </row>
    <row r="69" spans="1:7">
      <c r="A69" s="19" t="s">
        <v>3</v>
      </c>
      <c r="B69" s="205">
        <f t="shared" ref="B69:G69" si="29">SUM(B67:B68)</f>
        <v>2224635.8199999998</v>
      </c>
      <c r="C69" s="205">
        <f t="shared" si="29"/>
        <v>-291472.78999999998</v>
      </c>
      <c r="D69" s="205">
        <f t="shared" si="29"/>
        <v>-439185.89</v>
      </c>
      <c r="E69" s="282">
        <f t="shared" si="29"/>
        <v>-59741.200000000004</v>
      </c>
      <c r="F69" s="205">
        <f t="shared" si="29"/>
        <v>1434235.94</v>
      </c>
      <c r="G69" s="205">
        <f t="shared" si="29"/>
        <v>0</v>
      </c>
    </row>
    <row r="70" spans="1:7">
      <c r="B70" s="202"/>
      <c r="C70" s="202"/>
      <c r="D70" s="203"/>
      <c r="E70" s="283"/>
    </row>
    <row r="71" spans="1:7">
      <c r="A71" s="19" t="s">
        <v>91</v>
      </c>
      <c r="B71" s="24">
        <f>ROUND('[20]EO Matrix @Meter'!$AP$20,2)</f>
        <v>76053.37</v>
      </c>
      <c r="C71" s="24">
        <f>ROUND(SUM('[21]Ex Post Gross TD Calc'!$Q572:$AN572),2)</f>
        <v>11349.51</v>
      </c>
      <c r="D71" s="24">
        <f>ROUND(SUM('[21]NTG TD Calc'!$Q437:$AN437),2)</f>
        <v>-29089.62</v>
      </c>
      <c r="E71" s="285">
        <f>ROUND(SUM('[21]EO TD Carrying Costs'!$O56:$AL56),2)</f>
        <v>-1558.66</v>
      </c>
      <c r="F71" s="205">
        <f t="shared" ref="F71:F74" si="30">SUM(B71:E71)</f>
        <v>56754.599999999991</v>
      </c>
      <c r="G71" s="205">
        <f>ROUND(F71/12*0,2)</f>
        <v>0</v>
      </c>
    </row>
    <row r="72" spans="1:7">
      <c r="A72" s="19" t="s">
        <v>92</v>
      </c>
      <c r="B72" s="204">
        <f>ROUND('[20]EO Matrix @Meter'!$AQ$20,2)</f>
        <v>187581.29</v>
      </c>
      <c r="C72" s="204">
        <f>ROUND(SUM('[21]Ex Post Gross TD Calc'!$Q573:$AN573),2)</f>
        <v>114.28</v>
      </c>
      <c r="D72" s="204">
        <f>ROUND(SUM('[21]NTG TD Calc'!$Q438:$AN438),2)</f>
        <v>-55888.89</v>
      </c>
      <c r="E72" s="285">
        <f>ROUND(SUM('[21]EO TD Carrying Costs'!$O57:$AL57),2)</f>
        <v>-2411.94</v>
      </c>
      <c r="F72" s="205">
        <f t="shared" si="30"/>
        <v>129394.73999999999</v>
      </c>
      <c r="G72" s="205">
        <f>ROUND(F72/12*0,2)</f>
        <v>0</v>
      </c>
    </row>
    <row r="73" spans="1:7">
      <c r="A73" s="19" t="s">
        <v>93</v>
      </c>
      <c r="B73" s="24">
        <f>ROUND('[20]EO Matrix @Meter'!$AR$20,2)</f>
        <v>528596.72</v>
      </c>
      <c r="C73" s="24">
        <f>ROUND(SUM('[21]Ex Post Gross TD Calc'!$Q574:$AN574),2)</f>
        <v>48292.800000000003</v>
      </c>
      <c r="D73" s="24">
        <f>ROUND(SUM('[21]NTG TD Calc'!$Q439:$AN439),2)</f>
        <v>-59418.79</v>
      </c>
      <c r="E73" s="284">
        <f>ROUND(SUM('[21]EO TD Carrying Costs'!$O58:$AL58),2)</f>
        <v>-520.14</v>
      </c>
      <c r="F73" s="205">
        <f t="shared" si="30"/>
        <v>516950.59</v>
      </c>
      <c r="G73" s="205">
        <f>ROUND(F73/12*0,2)</f>
        <v>0</v>
      </c>
    </row>
    <row r="74" spans="1:7">
      <c r="A74" s="19" t="s">
        <v>94</v>
      </c>
      <c r="B74" s="204">
        <f>ROUND('[20]EO Matrix @Meter'!$AS$20,2)</f>
        <v>47357.25</v>
      </c>
      <c r="C74" s="204">
        <f>ROUND(SUM('[21]Ex Post Gross TD Calc'!$Q575:$AN575),2)</f>
        <v>5293.05</v>
      </c>
      <c r="D74" s="204">
        <f>ROUND(SUM('[21]NTG TD Calc'!$Q440:$AN440),2)</f>
        <v>-879.51</v>
      </c>
      <c r="E74" s="285">
        <f>ROUND(SUM('[21]EO TD Carrying Costs'!$O59:$AL59),2)</f>
        <v>477.44</v>
      </c>
      <c r="F74" s="205">
        <f t="shared" si="30"/>
        <v>52248.23</v>
      </c>
      <c r="G74" s="205">
        <f>ROUND(F74/12*0,2)</f>
        <v>0</v>
      </c>
    </row>
    <row r="75" spans="1:7">
      <c r="A75" s="29" t="s">
        <v>95</v>
      </c>
      <c r="B75" s="205">
        <f>SUM(B71:B74)</f>
        <v>839588.63</v>
      </c>
      <c r="C75" s="205">
        <f>SUM(C71:C74)</f>
        <v>65049.640000000007</v>
      </c>
      <c r="D75" s="205">
        <f t="shared" ref="D75:G75" si="31">SUM(D71:D74)</f>
        <v>-145276.81</v>
      </c>
      <c r="E75" s="282">
        <f t="shared" si="31"/>
        <v>-4013.3000000000006</v>
      </c>
      <c r="F75" s="205">
        <f t="shared" si="31"/>
        <v>755348.15999999992</v>
      </c>
      <c r="G75" s="205">
        <f t="shared" si="31"/>
        <v>0</v>
      </c>
    </row>
    <row r="76" spans="1:7">
      <c r="E76" s="283"/>
    </row>
    <row r="77" spans="1:7">
      <c r="E77" s="283"/>
    </row>
    <row r="78" spans="1:7">
      <c r="A78" s="224" t="s">
        <v>176</v>
      </c>
      <c r="E78" s="283"/>
    </row>
    <row r="79" spans="1:7">
      <c r="A79" s="19" t="s">
        <v>22</v>
      </c>
      <c r="B79" s="24">
        <f>ROUND('[22]EO Matrix @Meter'!$AL$22,2)</f>
        <v>1307790.1000000001</v>
      </c>
      <c r="C79" s="24">
        <f>ROUND(SUM('[23]Ex Post Gross TD Calc'!$AC$571:$AX$571),2)</f>
        <v>-250476.23</v>
      </c>
      <c r="D79" s="24">
        <f>ROUND(SUM('[23]NTG TD Calc'!$AC$436:$AX$436),2)</f>
        <v>-67458.28</v>
      </c>
      <c r="E79" s="284">
        <f>ROUND(SUM('[23]EO TD Carrying Costs'!$AA$55:$AV$55),2)</f>
        <v>-15485.85</v>
      </c>
      <c r="F79" s="205">
        <f>SUM(B79:E79)</f>
        <v>974369.74000000011</v>
      </c>
      <c r="G79" s="205">
        <f>ROUND(F79/12*0,2)</f>
        <v>0</v>
      </c>
    </row>
    <row r="80" spans="1:7">
      <c r="A80" s="19" t="s">
        <v>23</v>
      </c>
      <c r="B80" s="204">
        <f>B87</f>
        <v>877237.60000000009</v>
      </c>
      <c r="C80" s="204">
        <f t="shared" ref="C80:E80" si="32">C87</f>
        <v>-36346.57</v>
      </c>
      <c r="D80" s="204">
        <f t="shared" si="32"/>
        <v>86784.39</v>
      </c>
      <c r="E80" s="285">
        <f t="shared" si="32"/>
        <v>1663.22</v>
      </c>
      <c r="F80" s="205">
        <f>SUM(B80:E80)</f>
        <v>929338.64000000013</v>
      </c>
      <c r="G80" s="205">
        <f>G87</f>
        <v>0</v>
      </c>
    </row>
    <row r="81" spans="1:8">
      <c r="A81" s="19" t="s">
        <v>3</v>
      </c>
      <c r="B81" s="205">
        <f t="shared" ref="B81:G81" si="33">SUM(B79:B80)</f>
        <v>2185027.7000000002</v>
      </c>
      <c r="C81" s="205">
        <f t="shared" si="33"/>
        <v>-286822.8</v>
      </c>
      <c r="D81" s="205">
        <f t="shared" si="33"/>
        <v>19326.11</v>
      </c>
      <c r="E81" s="282">
        <f t="shared" si="33"/>
        <v>-13822.630000000001</v>
      </c>
      <c r="F81" s="205">
        <f t="shared" si="33"/>
        <v>1903708.3800000004</v>
      </c>
      <c r="G81" s="205">
        <f t="shared" si="33"/>
        <v>0</v>
      </c>
    </row>
    <row r="82" spans="1:8">
      <c r="B82" s="202"/>
      <c r="C82" s="202"/>
      <c r="D82" s="203"/>
      <c r="E82" s="283"/>
    </row>
    <row r="83" spans="1:8">
      <c r="A83" s="19" t="s">
        <v>91</v>
      </c>
      <c r="B83" s="24">
        <f>ROUND('[22]EO Matrix @Meter'!$AP$22,2)</f>
        <v>151360.23000000001</v>
      </c>
      <c r="C83" s="24">
        <f>ROUND(SUM('[23]Ex Post Gross TD Calc'!$AC$572:$AX$572),2)</f>
        <v>-7300.6</v>
      </c>
      <c r="D83" s="24">
        <f>ROUND(SUM('[23]NTG TD Calc'!$AC$437:$AX$437),2)</f>
        <v>13298.81</v>
      </c>
      <c r="E83" s="284">
        <f>ROUND(SUM('[23]EO TD Carrying Costs'!$AA$56:$AV$56),2)</f>
        <v>116.56</v>
      </c>
      <c r="F83" s="205">
        <f t="shared" ref="F83:F86" si="34">SUM(B83:E83)</f>
        <v>157475</v>
      </c>
      <c r="G83" s="205">
        <f>ROUND(F83/12*0,2)</f>
        <v>0</v>
      </c>
    </row>
    <row r="84" spans="1:8">
      <c r="A84" s="19" t="s">
        <v>92</v>
      </c>
      <c r="B84" s="24">
        <f>ROUND('[22]EO Matrix @Meter'!$AQ$22,2)</f>
        <v>256696.36</v>
      </c>
      <c r="C84" s="24">
        <f>ROUND(SUM('[23]Ex Post Gross TD Calc'!$AC$573:$AX$573),2)</f>
        <v>-27207.21</v>
      </c>
      <c r="D84" s="24">
        <f>ROUND(SUM('[23]NTG TD Calc'!$AC$438:$AX$438),2)</f>
        <v>45480.480000000003</v>
      </c>
      <c r="E84" s="284">
        <f>ROUND(SUM('[23]EO TD Carrying Costs'!$AA$57:$AV$57),2)</f>
        <v>373.04</v>
      </c>
      <c r="F84" s="205">
        <f t="shared" si="34"/>
        <v>275342.67</v>
      </c>
      <c r="G84" s="205">
        <f>ROUND(F84/12*0,2)</f>
        <v>0</v>
      </c>
    </row>
    <row r="85" spans="1:8">
      <c r="A85" s="19" t="s">
        <v>93</v>
      </c>
      <c r="B85" s="24">
        <f>ROUND('[22]EO Matrix @Meter'!$AR$22,2)</f>
        <v>391442.94</v>
      </c>
      <c r="C85" s="24">
        <f>ROUND(SUM('[23]Ex Post Gross TD Calc'!$AC$574:$AX$574),2)</f>
        <v>-4347.97</v>
      </c>
      <c r="D85" s="24">
        <f>ROUND(SUM('[23]NTG TD Calc'!$AC$439:$AX$439),2)</f>
        <v>27878.58</v>
      </c>
      <c r="E85" s="284">
        <f>ROUND(SUM('[23]EO TD Carrying Costs'!$AA$58:$AV$58),2)</f>
        <v>941.4</v>
      </c>
      <c r="F85" s="205">
        <f t="shared" si="34"/>
        <v>415914.95000000007</v>
      </c>
      <c r="G85" s="205">
        <f>ROUND(F85/12*0,2)</f>
        <v>0</v>
      </c>
    </row>
    <row r="86" spans="1:8">
      <c r="A86" s="19" t="s">
        <v>94</v>
      </c>
      <c r="B86" s="24">
        <f>ROUND('[22]EO Matrix @Meter'!$AS$22,2)</f>
        <v>77738.070000000007</v>
      </c>
      <c r="C86" s="24">
        <f>ROUND(SUM('[23]Ex Post Gross TD Calc'!$AC$575:$AX$575),2)</f>
        <v>2509.21</v>
      </c>
      <c r="D86" s="24">
        <f>ROUND(SUM('[23]NTG TD Calc'!$AC$440:$AX$440),2)</f>
        <v>126.52</v>
      </c>
      <c r="E86" s="284">
        <f>ROUND(SUM('[23]EO TD Carrying Costs'!$AA$59:$AV$59),2)</f>
        <v>232.22</v>
      </c>
      <c r="F86" s="205">
        <f t="shared" si="34"/>
        <v>80606.020000000019</v>
      </c>
      <c r="G86" s="205">
        <f>ROUND(F86/12*0,2)</f>
        <v>0</v>
      </c>
    </row>
    <row r="87" spans="1:8">
      <c r="A87" s="29" t="s">
        <v>95</v>
      </c>
      <c r="B87" s="205">
        <f>SUM(B83:B86)</f>
        <v>877237.60000000009</v>
      </c>
      <c r="C87" s="205">
        <f>SUM(C83:C86)</f>
        <v>-36346.57</v>
      </c>
      <c r="D87" s="205">
        <f t="shared" ref="D87:G87" si="35">SUM(D83:D86)</f>
        <v>86784.39</v>
      </c>
      <c r="E87" s="282">
        <f t="shared" si="35"/>
        <v>1663.22</v>
      </c>
      <c r="F87" s="205">
        <f t="shared" si="35"/>
        <v>929338.64000000013</v>
      </c>
      <c r="G87" s="205">
        <f t="shared" si="35"/>
        <v>0</v>
      </c>
    </row>
    <row r="88" spans="1:8">
      <c r="E88" s="283"/>
    </row>
    <row r="89" spans="1:8">
      <c r="E89" s="283"/>
      <c r="H89" s="38"/>
    </row>
    <row r="90" spans="1:8">
      <c r="A90" s="224" t="s">
        <v>188</v>
      </c>
      <c r="E90" s="283"/>
    </row>
    <row r="91" spans="1:8">
      <c r="A91" s="19" t="s">
        <v>22</v>
      </c>
      <c r="B91" s="24">
        <v>0</v>
      </c>
      <c r="C91" s="24">
        <f>ROUND(SUM('[23]Ex Post Gross TD Calc'!$AY$571:$BD$571),2)</f>
        <v>-61715.26</v>
      </c>
      <c r="D91" s="24">
        <f>ROUND(SUM('[23]NTG TD Calc'!$AY$436:$BD$436),2)</f>
        <v>-8358.2099999999991</v>
      </c>
      <c r="E91" s="284">
        <f>ROUND(SUM('[23]EO TD Carrying Costs'!$AW$55:$BB$55),2)</f>
        <v>-11046.8</v>
      </c>
      <c r="F91" s="205">
        <f>SUM(B91:E91)</f>
        <v>-81120.27</v>
      </c>
      <c r="G91" s="205">
        <f>ROUND(F91/12*0,2)</f>
        <v>0</v>
      </c>
      <c r="H91" s="38"/>
    </row>
    <row r="92" spans="1:8">
      <c r="A92" s="19" t="s">
        <v>23</v>
      </c>
      <c r="B92" s="204">
        <f>B99</f>
        <v>0</v>
      </c>
      <c r="C92" s="204">
        <f t="shared" ref="C92:E92" si="36">C99</f>
        <v>-19852.230000000003</v>
      </c>
      <c r="D92" s="204">
        <f t="shared" si="36"/>
        <v>15591.88</v>
      </c>
      <c r="E92" s="285">
        <f t="shared" si="36"/>
        <v>1655.81</v>
      </c>
      <c r="F92" s="205">
        <f>SUM(B92:E92)</f>
        <v>-2604.5400000000041</v>
      </c>
      <c r="G92" s="205">
        <f>G99</f>
        <v>0</v>
      </c>
      <c r="H92" s="38"/>
    </row>
    <row r="93" spans="1:8">
      <c r="A93" s="19" t="s">
        <v>3</v>
      </c>
      <c r="B93" s="205">
        <f t="shared" ref="B93:G93" si="37">SUM(B91:B92)</f>
        <v>0</v>
      </c>
      <c r="C93" s="205">
        <f t="shared" si="37"/>
        <v>-81567.490000000005</v>
      </c>
      <c r="D93" s="205">
        <f t="shared" si="37"/>
        <v>7233.67</v>
      </c>
      <c r="E93" s="282">
        <f t="shared" si="37"/>
        <v>-9390.99</v>
      </c>
      <c r="F93" s="205">
        <f t="shared" si="37"/>
        <v>-83724.810000000012</v>
      </c>
      <c r="G93" s="205">
        <f t="shared" si="37"/>
        <v>0</v>
      </c>
      <c r="H93" s="38"/>
    </row>
    <row r="94" spans="1:8">
      <c r="B94" s="202"/>
      <c r="C94" s="202"/>
      <c r="D94" s="203"/>
      <c r="E94" s="283"/>
      <c r="H94" s="38"/>
    </row>
    <row r="95" spans="1:8">
      <c r="A95" s="19" t="s">
        <v>91</v>
      </c>
      <c r="B95" s="24">
        <v>0</v>
      </c>
      <c r="C95" s="24">
        <f>ROUND(SUM('[23]Ex Post Gross TD Calc'!$AY572:$BD572),2)</f>
        <v>-1523.11</v>
      </c>
      <c r="D95" s="24">
        <f>ROUND(SUM('[23]NTG TD Calc'!$AY437:$BD437),2)</f>
        <v>2543.67</v>
      </c>
      <c r="E95" s="284">
        <f>ROUND(SUM('[23]EO TD Carrying Costs'!$AW56:$BB56),2)</f>
        <v>224.89</v>
      </c>
      <c r="F95" s="205">
        <f t="shared" ref="F95:F98" si="38">SUM(B95:E95)</f>
        <v>1245.4500000000003</v>
      </c>
      <c r="G95" s="205">
        <f>ROUND(F95/12*0,2)</f>
        <v>0</v>
      </c>
      <c r="H95" s="38"/>
    </row>
    <row r="96" spans="1:8">
      <c r="A96" s="19" t="s">
        <v>92</v>
      </c>
      <c r="B96" s="24">
        <v>0</v>
      </c>
      <c r="C96" s="24">
        <f>ROUND(SUM('[23]Ex Post Gross TD Calc'!$AY573:$BD573),2)</f>
        <v>-13856.2</v>
      </c>
      <c r="D96" s="24">
        <f>ROUND(SUM('[23]NTG TD Calc'!$AY438:$BD438),2)</f>
        <v>8106.16</v>
      </c>
      <c r="E96" s="284">
        <f>ROUND(SUM('[23]EO TD Carrying Costs'!$AW57:$BB57),2)</f>
        <v>557.03</v>
      </c>
      <c r="F96" s="205">
        <f t="shared" si="38"/>
        <v>-5193.0100000000011</v>
      </c>
      <c r="G96" s="205">
        <f>ROUND(F96/12*0,2)</f>
        <v>0</v>
      </c>
      <c r="H96" s="38"/>
    </row>
    <row r="97" spans="1:8">
      <c r="A97" s="19" t="s">
        <v>93</v>
      </c>
      <c r="B97" s="24">
        <v>0</v>
      </c>
      <c r="C97" s="24">
        <f>ROUND(SUM('[23]Ex Post Gross TD Calc'!$AY574:$BD574),2)</f>
        <v>-4765.22</v>
      </c>
      <c r="D97" s="24">
        <f>ROUND(SUM('[23]NTG TD Calc'!$AY439:$BD439),2)</f>
        <v>4928.63</v>
      </c>
      <c r="E97" s="284">
        <f>ROUND(SUM('[23]EO TD Carrying Costs'!$AW58:$BB58),2)</f>
        <v>784.12</v>
      </c>
      <c r="F97" s="205">
        <f t="shared" si="38"/>
        <v>947.52999999999986</v>
      </c>
      <c r="G97" s="205">
        <f>ROUND(F97/12*0,2)</f>
        <v>0</v>
      </c>
      <c r="H97" s="38"/>
    </row>
    <row r="98" spans="1:8">
      <c r="A98" s="19" t="s">
        <v>94</v>
      </c>
      <c r="B98" s="24">
        <v>0</v>
      </c>
      <c r="C98" s="24">
        <f>ROUND(SUM('[23]Ex Post Gross TD Calc'!$AY575:$BD575),2)</f>
        <v>292.3</v>
      </c>
      <c r="D98" s="24">
        <f>ROUND(SUM('[23]NTG TD Calc'!$AY440:$BD440),2)</f>
        <v>13.42</v>
      </c>
      <c r="E98" s="284">
        <f>ROUND(SUM('[23]EO TD Carrying Costs'!$AW59:$BB59),2)</f>
        <v>89.77</v>
      </c>
      <c r="F98" s="205">
        <f t="shared" si="38"/>
        <v>395.49</v>
      </c>
      <c r="G98" s="205">
        <f>ROUND(F98/12*0,2)</f>
        <v>0</v>
      </c>
      <c r="H98" s="38"/>
    </row>
    <row r="99" spans="1:8">
      <c r="A99" s="29" t="s">
        <v>95</v>
      </c>
      <c r="B99" s="205">
        <f>SUM(B95:B98)</f>
        <v>0</v>
      </c>
      <c r="C99" s="205">
        <f>SUM(C95:C98)</f>
        <v>-19852.230000000003</v>
      </c>
      <c r="D99" s="205">
        <f t="shared" ref="D99:G99" si="39">SUM(D95:D98)</f>
        <v>15591.88</v>
      </c>
      <c r="E99" s="282">
        <f t="shared" si="39"/>
        <v>1655.81</v>
      </c>
      <c r="F99" s="205">
        <f t="shared" si="39"/>
        <v>-2604.5400000000009</v>
      </c>
      <c r="G99" s="205">
        <f t="shared" si="39"/>
        <v>0</v>
      </c>
      <c r="H99" s="38"/>
    </row>
    <row r="100" spans="1:8">
      <c r="E100" s="283"/>
      <c r="H100" s="38"/>
    </row>
    <row r="101" spans="1:8">
      <c r="E101" s="283"/>
      <c r="H101" s="38"/>
    </row>
    <row r="102" spans="1:8">
      <c r="A102" s="224" t="s">
        <v>204</v>
      </c>
      <c r="E102" s="283"/>
      <c r="H102" s="38"/>
    </row>
    <row r="103" spans="1:8">
      <c r="A103" s="19" t="s">
        <v>22</v>
      </c>
      <c r="B103" s="24">
        <v>0</v>
      </c>
      <c r="C103" s="24">
        <f>ROUND(SUM('[23]Ex Post Gross TD Calc'!$BE$571:$BJ$571),2)</f>
        <v>-90440.48</v>
      </c>
      <c r="D103" s="24">
        <f>ROUND(SUM('[23]NTG TD Calc'!$BE$436:$BJ$436),2)</f>
        <v>-0.01</v>
      </c>
      <c r="E103" s="284">
        <f>ROUND(SUM('[23]EO TD Carrying Costs'!$BC$55:$BH$55),2)</f>
        <v>-14826.35</v>
      </c>
      <c r="F103" s="205">
        <f>SUM(B103:E103)</f>
        <v>-105266.84</v>
      </c>
      <c r="G103" s="205">
        <f>ROUND(F103/12*0,2)</f>
        <v>0</v>
      </c>
      <c r="H103" s="38"/>
    </row>
    <row r="104" spans="1:8">
      <c r="A104" s="19" t="s">
        <v>23</v>
      </c>
      <c r="B104" s="204">
        <f>B111</f>
        <v>0</v>
      </c>
      <c r="C104" s="204">
        <f t="shared" ref="C104:E104" si="40">C111</f>
        <v>-33502.9</v>
      </c>
      <c r="D104" s="204">
        <f t="shared" si="40"/>
        <v>0.01</v>
      </c>
      <c r="E104" s="285">
        <f t="shared" si="40"/>
        <v>1031.25</v>
      </c>
      <c r="F104" s="205">
        <f>SUM(B104:E104)</f>
        <v>-32471.64</v>
      </c>
      <c r="G104" s="205">
        <f>G111</f>
        <v>0</v>
      </c>
      <c r="H104" s="38"/>
    </row>
    <row r="105" spans="1:8">
      <c r="A105" s="19" t="s">
        <v>3</v>
      </c>
      <c r="B105" s="205">
        <f t="shared" ref="B105:G105" si="41">SUM(B103:B104)</f>
        <v>0</v>
      </c>
      <c r="C105" s="205">
        <f t="shared" si="41"/>
        <v>-123943.38</v>
      </c>
      <c r="D105" s="205">
        <f t="shared" si="41"/>
        <v>0</v>
      </c>
      <c r="E105" s="282">
        <f t="shared" si="41"/>
        <v>-13795.1</v>
      </c>
      <c r="F105" s="205">
        <f t="shared" si="41"/>
        <v>-137738.47999999998</v>
      </c>
      <c r="G105" s="205">
        <f t="shared" si="41"/>
        <v>0</v>
      </c>
      <c r="H105" s="38"/>
    </row>
    <row r="106" spans="1:8">
      <c r="B106" s="202"/>
      <c r="C106" s="202"/>
      <c r="D106" s="203"/>
      <c r="E106" s="283"/>
      <c r="H106" s="38"/>
    </row>
    <row r="107" spans="1:8">
      <c r="A107" s="19" t="s">
        <v>91</v>
      </c>
      <c r="B107" s="24">
        <v>0</v>
      </c>
      <c r="C107" s="24">
        <f>ROUND(SUM('[23]Ex Post Gross TD Calc'!$BE572:$BJ572),2)</f>
        <v>-6118.17</v>
      </c>
      <c r="D107" s="24">
        <f>ROUND(SUM('[23]NTG TD Calc'!$BE437:$BJ437),2)</f>
        <v>0.01</v>
      </c>
      <c r="E107" s="284">
        <f>ROUND(SUM('[23]EO TD Carrying Costs'!$BC56:$BH56),2)</f>
        <v>134.41</v>
      </c>
      <c r="F107" s="205">
        <f t="shared" ref="F107:F110" si="42">SUM(B107:E107)</f>
        <v>-5983.75</v>
      </c>
      <c r="G107" s="205">
        <f>ROUND(F107/12*0,2)</f>
        <v>0</v>
      </c>
      <c r="H107" s="38"/>
    </row>
    <row r="108" spans="1:8">
      <c r="A108" s="19" t="s">
        <v>92</v>
      </c>
      <c r="B108" s="24">
        <v>0</v>
      </c>
      <c r="C108" s="24">
        <f>ROUND(SUM('[23]Ex Post Gross TD Calc'!$BE573:$BJ573),2)</f>
        <v>-20173.09</v>
      </c>
      <c r="D108" s="24">
        <f>ROUND(SUM('[23]NTG TD Calc'!$BE438:$BJ438),2)</f>
        <v>-0.01</v>
      </c>
      <c r="E108" s="284">
        <f>ROUND(SUM('[23]EO TD Carrying Costs'!$BC57:$BH57),2)</f>
        <v>95.74</v>
      </c>
      <c r="F108" s="205">
        <f t="shared" si="42"/>
        <v>-20077.359999999997</v>
      </c>
      <c r="G108" s="205">
        <f>ROUND(F108/12*0,2)</f>
        <v>0</v>
      </c>
      <c r="H108" s="38"/>
    </row>
    <row r="109" spans="1:8">
      <c r="A109" s="19" t="s">
        <v>93</v>
      </c>
      <c r="B109" s="24">
        <v>0</v>
      </c>
      <c r="C109" s="24">
        <f>ROUND(SUM('[23]Ex Post Gross TD Calc'!$BE574:$BJ574),2)</f>
        <v>-7399.91</v>
      </c>
      <c r="D109" s="24">
        <f>ROUND(SUM('[23]NTG TD Calc'!$BE439:$BJ439),2)</f>
        <v>0.01</v>
      </c>
      <c r="E109" s="284">
        <f>ROUND(SUM('[23]EO TD Carrying Costs'!$BC58:$BH58),2)</f>
        <v>693.04</v>
      </c>
      <c r="F109" s="205">
        <f t="shared" si="42"/>
        <v>-6706.86</v>
      </c>
      <c r="G109" s="205">
        <f>ROUND(F109/12*0,2)</f>
        <v>0</v>
      </c>
      <c r="H109" s="38"/>
    </row>
    <row r="110" spans="1:8">
      <c r="A110" s="19" t="s">
        <v>94</v>
      </c>
      <c r="B110" s="24">
        <v>0</v>
      </c>
      <c r="C110" s="24">
        <f>ROUND(SUM('[23]Ex Post Gross TD Calc'!$BE575:$BJ575),2)</f>
        <v>188.27</v>
      </c>
      <c r="D110" s="24">
        <f>ROUND(SUM('[23]NTG TD Calc'!$BE440:$BJ440),2)</f>
        <v>0</v>
      </c>
      <c r="E110" s="284">
        <f>ROUND(SUM('[23]EO TD Carrying Costs'!$BC59:$BH59),2)</f>
        <v>108.06</v>
      </c>
      <c r="F110" s="205">
        <f t="shared" si="42"/>
        <v>296.33000000000004</v>
      </c>
      <c r="G110" s="205">
        <f>ROUND(F110/12*0,2)</f>
        <v>0</v>
      </c>
      <c r="H110" s="38"/>
    </row>
    <row r="111" spans="1:8">
      <c r="A111" s="29" t="s">
        <v>95</v>
      </c>
      <c r="B111" s="205">
        <f>SUM(B107:B110)</f>
        <v>0</v>
      </c>
      <c r="C111" s="205">
        <f>SUM(C107:C110)</f>
        <v>-33502.9</v>
      </c>
      <c r="D111" s="205">
        <f t="shared" ref="D111:G111" si="43">SUM(D107:D110)</f>
        <v>0.01</v>
      </c>
      <c r="E111" s="282">
        <f t="shared" si="43"/>
        <v>1031.25</v>
      </c>
      <c r="F111" s="205">
        <f t="shared" si="43"/>
        <v>-32471.639999999996</v>
      </c>
      <c r="G111" s="205">
        <f t="shared" si="43"/>
        <v>0</v>
      </c>
      <c r="H111" s="38"/>
    </row>
    <row r="112" spans="1:8">
      <c r="E112" s="283"/>
      <c r="H112" s="38"/>
    </row>
    <row r="113" spans="1:8">
      <c r="E113" s="283"/>
      <c r="H113" s="38"/>
    </row>
    <row r="114" spans="1:8">
      <c r="A114" s="224" t="s">
        <v>217</v>
      </c>
      <c r="E114" s="283"/>
      <c r="H114" s="38"/>
    </row>
    <row r="115" spans="1:8">
      <c r="A115" s="19" t="s">
        <v>22</v>
      </c>
      <c r="B115" s="24">
        <v>0</v>
      </c>
      <c r="C115" s="24">
        <f>ROUND(SUM('[23]Ex Post Gross TD Calc'!$BK$571:$BP$571),2)</f>
        <v>-61178.2</v>
      </c>
      <c r="D115" s="24">
        <f>ROUND(SUM('[23]NTG TD Calc'!$BK$436:$BP$436),2)</f>
        <v>-0.01</v>
      </c>
      <c r="E115" s="24">
        <f>ROUND(SUM('[23]EO TD Carrying Costs'!$BI$55:$BN$55),2)</f>
        <v>-15896.54</v>
      </c>
      <c r="F115" s="205">
        <f>SUM(B115:E115)</f>
        <v>-77074.75</v>
      </c>
      <c r="G115" s="205">
        <f>ROUND(F115/12*1,2)</f>
        <v>-6422.9</v>
      </c>
      <c r="H115" s="38"/>
    </row>
    <row r="116" spans="1:8">
      <c r="A116" s="19" t="s">
        <v>23</v>
      </c>
      <c r="B116" s="204">
        <f>B123</f>
        <v>0</v>
      </c>
      <c r="C116" s="204">
        <f t="shared" ref="C116:E116" si="44">C123</f>
        <v>-21387.510000000002</v>
      </c>
      <c r="D116" s="204">
        <f t="shared" si="44"/>
        <v>-0.08</v>
      </c>
      <c r="E116" s="285">
        <f t="shared" si="44"/>
        <v>199.56</v>
      </c>
      <c r="F116" s="205">
        <f>SUM(B116:E116)</f>
        <v>-21188.030000000002</v>
      </c>
      <c r="G116" s="205">
        <f>G123</f>
        <v>-1765.6799999999998</v>
      </c>
      <c r="H116" s="38"/>
    </row>
    <row r="117" spans="1:8">
      <c r="A117" s="19" t="s">
        <v>3</v>
      </c>
      <c r="B117" s="205">
        <f t="shared" ref="B117:G117" si="45">SUM(B115:B116)</f>
        <v>0</v>
      </c>
      <c r="C117" s="205">
        <f t="shared" si="45"/>
        <v>-82565.709999999992</v>
      </c>
      <c r="D117" s="205">
        <f t="shared" si="45"/>
        <v>-0.09</v>
      </c>
      <c r="E117" s="282">
        <f t="shared" si="45"/>
        <v>-15696.980000000001</v>
      </c>
      <c r="F117" s="205">
        <f t="shared" si="45"/>
        <v>-98262.78</v>
      </c>
      <c r="G117" s="205">
        <f t="shared" si="45"/>
        <v>-8188.58</v>
      </c>
      <c r="H117" s="38"/>
    </row>
    <row r="118" spans="1:8">
      <c r="B118" s="202"/>
      <c r="C118" s="202"/>
      <c r="D118" s="203"/>
      <c r="E118" s="283"/>
      <c r="H118" s="38"/>
    </row>
    <row r="119" spans="1:8">
      <c r="A119" s="19" t="s">
        <v>91</v>
      </c>
      <c r="B119" s="24">
        <v>0</v>
      </c>
      <c r="C119" s="24">
        <f>ROUND(SUM('[23]Ex Post Gross TD Calc'!$BK572:$BP572),2)</f>
        <v>-1776.63</v>
      </c>
      <c r="D119" s="24">
        <f>ROUND(SUM('[23]NTG TD Calc'!$BK437:$BP437),2)</f>
        <v>0.01</v>
      </c>
      <c r="E119" s="24">
        <f>ROUND(SUM('[23]EO TD Carrying Costs'!$BI56:$BN56),2)</f>
        <v>15.55</v>
      </c>
      <c r="F119" s="205">
        <f t="shared" ref="F119:F122" si="46">SUM(B119:E119)</f>
        <v>-1761.0700000000002</v>
      </c>
      <c r="G119" s="205">
        <f>ROUND(F119/12*1,2)</f>
        <v>-146.76</v>
      </c>
      <c r="H119" s="38"/>
    </row>
    <row r="120" spans="1:8">
      <c r="A120" s="19" t="s">
        <v>92</v>
      </c>
      <c r="B120" s="24">
        <v>0</v>
      </c>
      <c r="C120" s="24">
        <f>ROUND(SUM('[23]Ex Post Gross TD Calc'!$BK573:$BP573),2)</f>
        <v>-14652.48</v>
      </c>
      <c r="D120" s="24">
        <f>ROUND(SUM('[23]NTG TD Calc'!$BK438:$BP438),2)</f>
        <v>-0.04</v>
      </c>
      <c r="E120" s="24">
        <f>ROUND(SUM('[23]EO TD Carrying Costs'!$BI57:$BN57),2)</f>
        <v>-393.05</v>
      </c>
      <c r="F120" s="205">
        <f t="shared" si="46"/>
        <v>-15045.57</v>
      </c>
      <c r="G120" s="205">
        <f>ROUND(F120/12*1,2)</f>
        <v>-1253.8</v>
      </c>
      <c r="H120" s="38"/>
    </row>
    <row r="121" spans="1:8">
      <c r="A121" s="19" t="s">
        <v>93</v>
      </c>
      <c r="B121" s="24">
        <v>0</v>
      </c>
      <c r="C121" s="24">
        <f>ROUND(SUM('[23]Ex Post Gross TD Calc'!$BK574:$BP574),2)</f>
        <v>-5249.38</v>
      </c>
      <c r="D121" s="24">
        <f>ROUND(SUM('[23]NTG TD Calc'!$BK439:$BP439),2)</f>
        <v>-0.01</v>
      </c>
      <c r="E121" s="24">
        <f>ROUND(SUM('[23]EO TD Carrying Costs'!$BI58:$BN58),2)</f>
        <v>470.18</v>
      </c>
      <c r="F121" s="205">
        <f t="shared" si="46"/>
        <v>-4779.21</v>
      </c>
      <c r="G121" s="205">
        <f>ROUND(F121/12*1,2)</f>
        <v>-398.27</v>
      </c>
      <c r="H121" s="38"/>
    </row>
    <row r="122" spans="1:8">
      <c r="A122" s="19" t="s">
        <v>94</v>
      </c>
      <c r="B122" s="24">
        <v>0</v>
      </c>
      <c r="C122" s="24">
        <f>ROUND(SUM('[23]Ex Post Gross TD Calc'!$BK575:$BP575),2)</f>
        <v>290.98</v>
      </c>
      <c r="D122" s="24">
        <f>ROUND(SUM('[23]NTG TD Calc'!$BK440:$BP440),2)</f>
        <v>-0.04</v>
      </c>
      <c r="E122" s="24">
        <f>ROUND(SUM('[23]EO TD Carrying Costs'!$BI59:$BN59),2)</f>
        <v>106.88</v>
      </c>
      <c r="F122" s="205">
        <f t="shared" si="46"/>
        <v>397.82</v>
      </c>
      <c r="G122" s="205">
        <f>ROUND(F122/12*1,2)</f>
        <v>33.15</v>
      </c>
      <c r="H122" s="38"/>
    </row>
    <row r="123" spans="1:8">
      <c r="A123" s="29" t="s">
        <v>95</v>
      </c>
      <c r="B123" s="205">
        <f>SUM(B119:B122)</f>
        <v>0</v>
      </c>
      <c r="C123" s="205">
        <f>SUM(C119:C122)</f>
        <v>-21387.510000000002</v>
      </c>
      <c r="D123" s="205">
        <f t="shared" ref="D123:G123" si="47">SUM(D119:D122)</f>
        <v>-0.08</v>
      </c>
      <c r="E123" s="282">
        <f t="shared" si="47"/>
        <v>199.56</v>
      </c>
      <c r="F123" s="205">
        <f t="shared" si="47"/>
        <v>-21188.03</v>
      </c>
      <c r="G123" s="205">
        <f t="shared" si="47"/>
        <v>-1765.6799999999998</v>
      </c>
      <c r="H123" s="38"/>
    </row>
    <row r="124" spans="1:8">
      <c r="E124" s="283"/>
      <c r="H124" s="38"/>
    </row>
    <row r="125" spans="1:8">
      <c r="E125" s="283"/>
      <c r="H125" s="38"/>
    </row>
    <row r="126" spans="1:8">
      <c r="A126" s="224" t="s">
        <v>226</v>
      </c>
      <c r="E126" s="283"/>
      <c r="H126" s="38"/>
    </row>
    <row r="127" spans="1:8">
      <c r="A127" s="19" t="s">
        <v>22</v>
      </c>
      <c r="B127" s="24">
        <v>0</v>
      </c>
      <c r="C127" s="24">
        <f>ROUND(SUM('[23]Ex Post Gross TD Calc'!$BQ$571:$BV$571),2)</f>
        <v>-89015.87</v>
      </c>
      <c r="D127" s="24">
        <f>ROUND(SUM('[23]NTG TD Calc'!$BQ$436:$BV$436),2)</f>
        <v>-0.01</v>
      </c>
      <c r="E127" s="24">
        <f>ROUND(SUM('[23]EO TD Carrying Costs'!$BO$55:$BT$55),2)</f>
        <v>-17309.240000000002</v>
      </c>
      <c r="F127" s="205">
        <f>SUM(B127:E127)</f>
        <v>-106325.12</v>
      </c>
      <c r="G127" s="205">
        <f>ROUND(F127/12*7,2)</f>
        <v>-62022.99</v>
      </c>
      <c r="H127" s="38"/>
    </row>
    <row r="128" spans="1:8">
      <c r="A128" s="19" t="s">
        <v>23</v>
      </c>
      <c r="B128" s="204">
        <f>B135</f>
        <v>0</v>
      </c>
      <c r="C128" s="204">
        <f t="shared" ref="C128:E128" si="48">C135</f>
        <v>-33502.9</v>
      </c>
      <c r="D128" s="204">
        <f t="shared" si="48"/>
        <v>0.01</v>
      </c>
      <c r="E128" s="285">
        <f t="shared" si="48"/>
        <v>-599.95999999999981</v>
      </c>
      <c r="F128" s="205">
        <f>SUM(B128:E128)</f>
        <v>-34102.85</v>
      </c>
      <c r="G128" s="205">
        <f>G135</f>
        <v>-19893.330000000002</v>
      </c>
      <c r="H128" s="38"/>
    </row>
    <row r="129" spans="1:8">
      <c r="A129" s="19" t="s">
        <v>3</v>
      </c>
      <c r="B129" s="205">
        <f t="shared" ref="B129:G129" si="49">SUM(B127:B128)</f>
        <v>0</v>
      </c>
      <c r="C129" s="205">
        <f t="shared" si="49"/>
        <v>-122518.76999999999</v>
      </c>
      <c r="D129" s="205">
        <f t="shared" si="49"/>
        <v>0</v>
      </c>
      <c r="E129" s="282">
        <f t="shared" si="49"/>
        <v>-17909.2</v>
      </c>
      <c r="F129" s="205">
        <f t="shared" si="49"/>
        <v>-140427.97</v>
      </c>
      <c r="G129" s="205">
        <f t="shared" si="49"/>
        <v>-81916.320000000007</v>
      </c>
      <c r="H129" s="38"/>
    </row>
    <row r="130" spans="1:8">
      <c r="B130" s="202"/>
      <c r="C130" s="202"/>
      <c r="D130" s="203"/>
      <c r="E130" s="283"/>
      <c r="H130" s="38"/>
    </row>
    <row r="131" spans="1:8">
      <c r="A131" s="19" t="s">
        <v>91</v>
      </c>
      <c r="B131" s="24">
        <v>0</v>
      </c>
      <c r="C131" s="24">
        <f>ROUND(SUM('[23]Ex Post Gross TD Calc'!$BQ572:$BV572),2)</f>
        <v>-6118.17</v>
      </c>
      <c r="D131" s="24">
        <f>ROUND(SUM('[23]NTG TD Calc'!$BQ437:$BV437),2)</f>
        <v>0.01</v>
      </c>
      <c r="E131" s="24">
        <f>ROUND(SUM('[23]EO TD Carrying Costs'!$BO56:$BT56),2)</f>
        <v>-100.15</v>
      </c>
      <c r="F131" s="205">
        <f t="shared" ref="F131:F134" si="50">SUM(B131:E131)</f>
        <v>-6218.3099999999995</v>
      </c>
      <c r="G131" s="205">
        <f>ROUND(F131/12*7,2)</f>
        <v>-3627.35</v>
      </c>
      <c r="H131" s="38"/>
    </row>
    <row r="132" spans="1:8">
      <c r="A132" s="19" t="s">
        <v>92</v>
      </c>
      <c r="B132" s="24">
        <v>0</v>
      </c>
      <c r="C132" s="24">
        <f>ROUND(SUM('[23]Ex Post Gross TD Calc'!$BQ573:$BV573),2)</f>
        <v>-20173.09</v>
      </c>
      <c r="D132" s="24">
        <f>ROUND(SUM('[23]NTG TD Calc'!$BQ438:$BV438),2)</f>
        <v>-0.01</v>
      </c>
      <c r="E132" s="24">
        <f>ROUND(SUM('[23]EO TD Carrying Costs'!$BO57:$BT57),2)</f>
        <v>-874.66</v>
      </c>
      <c r="F132" s="205">
        <f t="shared" si="50"/>
        <v>-21047.759999999998</v>
      </c>
      <c r="G132" s="205">
        <f>ROUND(F132/12*7,2)</f>
        <v>-12277.86</v>
      </c>
      <c r="H132" s="38"/>
    </row>
    <row r="133" spans="1:8">
      <c r="A133" s="19" t="s">
        <v>93</v>
      </c>
      <c r="B133" s="24">
        <v>0</v>
      </c>
      <c r="C133" s="24">
        <f>ROUND(SUM('[23]Ex Post Gross TD Calc'!$BQ574:$BV574),2)</f>
        <v>-7399.91</v>
      </c>
      <c r="D133" s="24">
        <f>ROUND(SUM('[23]NTG TD Calc'!$BQ439:$BV439),2)</f>
        <v>0.01</v>
      </c>
      <c r="E133" s="24">
        <f>ROUND(SUM('[23]EO TD Carrying Costs'!$BO58:$BT58),2)</f>
        <v>265.91000000000003</v>
      </c>
      <c r="F133" s="205">
        <f t="shared" si="50"/>
        <v>-7133.99</v>
      </c>
      <c r="G133" s="205">
        <f>ROUND(F133/12*7,2)</f>
        <v>-4161.49</v>
      </c>
      <c r="H133" s="38"/>
    </row>
    <row r="134" spans="1:8">
      <c r="A134" s="19" t="s">
        <v>94</v>
      </c>
      <c r="B134" s="24">
        <v>0</v>
      </c>
      <c r="C134" s="24">
        <f>ROUND(SUM('[23]Ex Post Gross TD Calc'!$BQ575:$BV575),2)</f>
        <v>188.27</v>
      </c>
      <c r="D134" s="24">
        <f>ROUND(SUM('[23]NTG TD Calc'!$BQ440:$BV440),2)</f>
        <v>0</v>
      </c>
      <c r="E134" s="24">
        <f>ROUND(SUM('[23]EO TD Carrying Costs'!$BO59:$BT59),2)</f>
        <v>108.94</v>
      </c>
      <c r="F134" s="205">
        <f t="shared" si="50"/>
        <v>297.21000000000004</v>
      </c>
      <c r="G134" s="205">
        <f>ROUND(F134/12*7,2)</f>
        <v>173.37</v>
      </c>
      <c r="H134" s="38"/>
    </row>
    <row r="135" spans="1:8">
      <c r="A135" s="29" t="s">
        <v>95</v>
      </c>
      <c r="B135" s="205">
        <f>SUM(B131:B134)</f>
        <v>0</v>
      </c>
      <c r="C135" s="205">
        <f>SUM(C131:C134)</f>
        <v>-33502.9</v>
      </c>
      <c r="D135" s="205">
        <f t="shared" ref="D135:G135" si="51">SUM(D131:D134)</f>
        <v>0.01</v>
      </c>
      <c r="E135" s="282">
        <f t="shared" si="51"/>
        <v>-599.95999999999981</v>
      </c>
      <c r="F135" s="205">
        <f t="shared" si="51"/>
        <v>-34102.85</v>
      </c>
      <c r="G135" s="205">
        <f t="shared" si="51"/>
        <v>-19893.330000000002</v>
      </c>
      <c r="H135" s="38"/>
    </row>
    <row r="136" spans="1:8">
      <c r="E136" s="283"/>
      <c r="H136" s="38"/>
    </row>
    <row r="137" spans="1:8">
      <c r="A137" s="224"/>
      <c r="E137" s="283"/>
      <c r="H137" s="38"/>
    </row>
    <row r="138" spans="1:8">
      <c r="A138" s="338" t="s">
        <v>231</v>
      </c>
      <c r="B138" s="38"/>
      <c r="C138" s="38"/>
      <c r="D138" s="38"/>
      <c r="E138" s="352"/>
      <c r="H138" s="38"/>
    </row>
    <row r="139" spans="1:8">
      <c r="A139" s="19" t="s">
        <v>22</v>
      </c>
      <c r="B139" s="24">
        <v>0</v>
      </c>
      <c r="C139" s="24">
        <f>ROUND(SUM('[23]Ex Post Gross TD Calc'!$BW$571:$CB$571),2)</f>
        <v>-50840.3</v>
      </c>
      <c r="D139" s="24">
        <f>ROUND(SUM('[23]NTG TD Calc'!$BW$436:$CB$436),2)</f>
        <v>-0.01</v>
      </c>
      <c r="E139" s="24">
        <f>ROUND(SUM('[23]EO TD Carrying Costs'!$BU$55:$BZ$55),2)</f>
        <v>-17718.77</v>
      </c>
      <c r="F139" s="205">
        <f>SUM(B139:E139)</f>
        <v>-68559.08</v>
      </c>
      <c r="G139" s="205">
        <f>ROUND(F139/12*11,2)</f>
        <v>-62845.82</v>
      </c>
      <c r="H139" s="38"/>
    </row>
    <row r="140" spans="1:8">
      <c r="A140" s="19" t="s">
        <v>23</v>
      </c>
      <c r="B140" s="204">
        <f>B147</f>
        <v>0</v>
      </c>
      <c r="C140" s="204">
        <f t="shared" ref="C140:E140" si="52">C147</f>
        <v>-21387.510000000002</v>
      </c>
      <c r="D140" s="204">
        <f>D147</f>
        <v>-0.08</v>
      </c>
      <c r="E140" s="204">
        <f t="shared" si="52"/>
        <v>-1173.0900000000001</v>
      </c>
      <c r="F140" s="205">
        <f>SUM(B140:E140)</f>
        <v>-22560.680000000004</v>
      </c>
      <c r="G140" s="205">
        <f>G147</f>
        <v>-20680.62</v>
      </c>
      <c r="H140" s="38"/>
    </row>
    <row r="141" spans="1:8">
      <c r="A141" s="19" t="s">
        <v>3</v>
      </c>
      <c r="B141" s="205">
        <f t="shared" ref="B141:G141" si="53">SUM(B139:B140)</f>
        <v>0</v>
      </c>
      <c r="C141" s="205">
        <f t="shared" si="53"/>
        <v>-72227.81</v>
      </c>
      <c r="D141" s="205">
        <f t="shared" si="53"/>
        <v>-0.09</v>
      </c>
      <c r="E141" s="205">
        <f t="shared" si="53"/>
        <v>-18891.86</v>
      </c>
      <c r="F141" s="205">
        <f t="shared" si="53"/>
        <v>-91119.760000000009</v>
      </c>
      <c r="G141" s="205">
        <f t="shared" si="53"/>
        <v>-83526.44</v>
      </c>
      <c r="H141" s="38"/>
    </row>
    <row r="142" spans="1:8">
      <c r="B142" s="202"/>
      <c r="C142" s="202"/>
      <c r="D142" s="203"/>
      <c r="E142" s="203"/>
      <c r="H142" s="38"/>
    </row>
    <row r="143" spans="1:8">
      <c r="A143" s="19" t="s">
        <v>91</v>
      </c>
      <c r="B143" s="24">
        <v>0</v>
      </c>
      <c r="C143" s="24">
        <f>ROUND(SUM('[23]Ex Post Gross TD Calc'!$BW572:$CB572),2)</f>
        <v>-1776.63</v>
      </c>
      <c r="D143" s="24">
        <f>ROUND(SUM('[23]NTG TD Calc'!$BW437:$CB437),2)</f>
        <v>0.01</v>
      </c>
      <c r="E143" s="24">
        <f>ROUND(SUM('[23]EO TD Carrying Costs'!$BU56:$BZ56),2)</f>
        <v>-180.65</v>
      </c>
      <c r="F143" s="205">
        <f t="shared" ref="F143:F146" si="54">SUM(B143:E143)</f>
        <v>-1957.2700000000002</v>
      </c>
      <c r="G143" s="205">
        <f>ROUND(F143/12*11,2)</f>
        <v>-1794.16</v>
      </c>
      <c r="H143" s="38"/>
    </row>
    <row r="144" spans="1:8">
      <c r="A144" s="19" t="s">
        <v>92</v>
      </c>
      <c r="B144" s="24">
        <v>0</v>
      </c>
      <c r="C144" s="24">
        <f>ROUND(SUM('[23]Ex Post Gross TD Calc'!$BW573:$CB573),2)</f>
        <v>-14652.48</v>
      </c>
      <c r="D144" s="24">
        <f>ROUND(SUM('[23]NTG TD Calc'!$BW438:$CB438),2)</f>
        <v>-0.04</v>
      </c>
      <c r="E144" s="24">
        <f>ROUND(SUM('[23]EO TD Carrying Costs'!$BU57:$BZ57),2)</f>
        <v>-1205.1099999999999</v>
      </c>
      <c r="F144" s="205">
        <f t="shared" si="54"/>
        <v>-15857.630000000001</v>
      </c>
      <c r="G144" s="205">
        <f>ROUND(F144/12*11,2)</f>
        <v>-14536.16</v>
      </c>
      <c r="H144" s="38"/>
    </row>
    <row r="145" spans="1:8">
      <c r="A145" s="19" t="s">
        <v>93</v>
      </c>
      <c r="B145" s="24">
        <v>0</v>
      </c>
      <c r="C145" s="24">
        <f>ROUND(SUM('[23]Ex Post Gross TD Calc'!$BW574:$CB574),2)</f>
        <v>-5249.38</v>
      </c>
      <c r="D145" s="24">
        <f>ROUND(SUM('[23]NTG TD Calc'!$BW439:$CB439),2)</f>
        <v>-0.01</v>
      </c>
      <c r="E145" s="24">
        <f>ROUND(SUM('[23]EO TD Carrying Costs'!$BU58:$BZ58),2)</f>
        <v>106.08</v>
      </c>
      <c r="F145" s="205">
        <f t="shared" si="54"/>
        <v>-5143.3100000000004</v>
      </c>
      <c r="G145" s="205">
        <f>ROUND(F145/12*11,2)</f>
        <v>-4714.7</v>
      </c>
      <c r="H145" s="38"/>
    </row>
    <row r="146" spans="1:8">
      <c r="A146" s="19" t="s">
        <v>94</v>
      </c>
      <c r="B146" s="24">
        <v>0</v>
      </c>
      <c r="C146" s="24">
        <f>ROUND(SUM('[23]Ex Post Gross TD Calc'!$BW575:$CB575),2)</f>
        <v>290.98</v>
      </c>
      <c r="D146" s="24">
        <f>ROUND(SUM('[23]NTG TD Calc'!$BW440:$CB440),2)</f>
        <v>-0.04</v>
      </c>
      <c r="E146" s="24">
        <f>ROUND(SUM('[23]EO TD Carrying Costs'!$BU59:$BZ59),2)</f>
        <v>106.59</v>
      </c>
      <c r="F146" s="205">
        <f t="shared" si="54"/>
        <v>397.53</v>
      </c>
      <c r="G146" s="205">
        <f>ROUND(F146/12*11,2)</f>
        <v>364.4</v>
      </c>
      <c r="H146" s="38"/>
    </row>
    <row r="147" spans="1:8">
      <c r="A147" s="29" t="s">
        <v>95</v>
      </c>
      <c r="B147" s="205">
        <f>SUM(B143:B146)</f>
        <v>0</v>
      </c>
      <c r="C147" s="205">
        <f>SUM(C143:C146)</f>
        <v>-21387.510000000002</v>
      </c>
      <c r="D147" s="205">
        <f t="shared" ref="D147:G147" si="55">SUM(D143:D146)</f>
        <v>-0.08</v>
      </c>
      <c r="E147" s="205">
        <f t="shared" si="55"/>
        <v>-1173.0900000000001</v>
      </c>
      <c r="F147" s="205">
        <f t="shared" si="55"/>
        <v>-22560.680000000004</v>
      </c>
      <c r="G147" s="205">
        <f t="shared" si="55"/>
        <v>-20680.62</v>
      </c>
      <c r="H147" s="38"/>
    </row>
    <row r="148" spans="1:8">
      <c r="E148" s="283"/>
      <c r="H148" s="38"/>
    </row>
    <row r="149" spans="1:8">
      <c r="A149" s="224"/>
      <c r="E149" s="283"/>
      <c r="H149" s="38"/>
    </row>
    <row r="150" spans="1:8">
      <c r="A150" s="224" t="s">
        <v>223</v>
      </c>
      <c r="E150" s="283"/>
    </row>
    <row r="151" spans="1:8">
      <c r="A151" s="19" t="s">
        <v>22</v>
      </c>
      <c r="B151" s="24">
        <f>'[24]PY4 2023 EO'!$D$116</f>
        <v>1237690.19</v>
      </c>
      <c r="C151" s="24">
        <v>0</v>
      </c>
      <c r="D151" s="24">
        <v>0</v>
      </c>
      <c r="E151" s="284">
        <v>0</v>
      </c>
      <c r="F151" s="205">
        <f>SUM(B151:E151)</f>
        <v>1237690.19</v>
      </c>
      <c r="G151" s="205">
        <f>ROUND(F151/12*0,2)</f>
        <v>0</v>
      </c>
      <c r="H151" s="38"/>
    </row>
    <row r="152" spans="1:8">
      <c r="A152" s="19" t="s">
        <v>23</v>
      </c>
      <c r="B152" s="204">
        <f>B159</f>
        <v>1064482.75</v>
      </c>
      <c r="C152" s="204">
        <f t="shared" ref="C152:E152" si="56">C159</f>
        <v>0</v>
      </c>
      <c r="D152" s="204">
        <f t="shared" si="56"/>
        <v>0</v>
      </c>
      <c r="E152" s="285">
        <f t="shared" si="56"/>
        <v>0</v>
      </c>
      <c r="F152" s="205">
        <f>SUM(B152:E152)</f>
        <v>1064482.75</v>
      </c>
      <c r="G152" s="205">
        <f>G159</f>
        <v>0</v>
      </c>
      <c r="H152" s="38"/>
    </row>
    <row r="153" spans="1:8">
      <c r="A153" s="19" t="s">
        <v>3</v>
      </c>
      <c r="B153" s="205">
        <f t="shared" ref="B153:G153" si="57">SUM(B151:B152)</f>
        <v>2302172.94</v>
      </c>
      <c r="C153" s="205">
        <f t="shared" si="57"/>
        <v>0</v>
      </c>
      <c r="D153" s="205">
        <f t="shared" si="57"/>
        <v>0</v>
      </c>
      <c r="E153" s="282">
        <f t="shared" si="57"/>
        <v>0</v>
      </c>
      <c r="F153" s="205">
        <f t="shared" si="57"/>
        <v>2302172.94</v>
      </c>
      <c r="G153" s="205">
        <f t="shared" si="57"/>
        <v>0</v>
      </c>
      <c r="H153" s="38"/>
    </row>
    <row r="154" spans="1:8">
      <c r="B154" s="202"/>
      <c r="C154" s="202"/>
      <c r="D154" s="203"/>
      <c r="E154" s="283"/>
      <c r="H154" s="38"/>
    </row>
    <row r="155" spans="1:8">
      <c r="A155" s="19" t="s">
        <v>91</v>
      </c>
      <c r="B155" s="24">
        <f>'[24]PY4 2023 EO'!$D117</f>
        <v>150961.88</v>
      </c>
      <c r="C155" s="24">
        <v>0</v>
      </c>
      <c r="D155" s="24">
        <v>0</v>
      </c>
      <c r="E155" s="284">
        <v>0</v>
      </c>
      <c r="F155" s="205">
        <f t="shared" ref="F155:F158" si="58">SUM(B155:E155)</f>
        <v>150961.88</v>
      </c>
      <c r="G155" s="205">
        <f>ROUND(F155/12*0,2)</f>
        <v>0</v>
      </c>
      <c r="H155" s="38"/>
    </row>
    <row r="156" spans="1:8">
      <c r="A156" s="19" t="s">
        <v>92</v>
      </c>
      <c r="B156" s="24">
        <f>'[24]PY4 2023 EO'!$D118</f>
        <v>302870.92000000004</v>
      </c>
      <c r="C156" s="24">
        <v>0</v>
      </c>
      <c r="D156" s="24">
        <v>0</v>
      </c>
      <c r="E156" s="284">
        <v>0</v>
      </c>
      <c r="F156" s="205">
        <f t="shared" si="58"/>
        <v>302870.92000000004</v>
      </c>
      <c r="G156" s="205">
        <f>ROUND(F156/12*0,2)</f>
        <v>0</v>
      </c>
      <c r="H156" s="38"/>
    </row>
    <row r="157" spans="1:8">
      <c r="A157" s="19" t="s">
        <v>93</v>
      </c>
      <c r="B157" s="24">
        <f>'[24]PY4 2023 EO'!$D119</f>
        <v>481870.85</v>
      </c>
      <c r="C157" s="24">
        <v>0</v>
      </c>
      <c r="D157" s="24">
        <v>0</v>
      </c>
      <c r="E157" s="284">
        <v>0</v>
      </c>
      <c r="F157" s="205">
        <f t="shared" si="58"/>
        <v>481870.85</v>
      </c>
      <c r="G157" s="205">
        <f>ROUND(F157/12*0,2)</f>
        <v>0</v>
      </c>
      <c r="H157" s="38"/>
    </row>
    <row r="158" spans="1:8">
      <c r="A158" s="19" t="s">
        <v>94</v>
      </c>
      <c r="B158" s="24">
        <f>'[24]PY4 2023 EO'!$D120</f>
        <v>128779.09999999999</v>
      </c>
      <c r="C158" s="24">
        <v>0</v>
      </c>
      <c r="D158" s="24">
        <v>0</v>
      </c>
      <c r="E158" s="284">
        <v>0</v>
      </c>
      <c r="F158" s="205">
        <f t="shared" si="58"/>
        <v>128779.09999999999</v>
      </c>
      <c r="G158" s="205">
        <f>ROUND(F158/12*0,2)</f>
        <v>0</v>
      </c>
      <c r="H158" s="38"/>
    </row>
    <row r="159" spans="1:8">
      <c r="A159" s="29" t="s">
        <v>95</v>
      </c>
      <c r="B159" s="205">
        <f>SUM(B155:B158)</f>
        <v>1064482.75</v>
      </c>
      <c r="C159" s="205">
        <f>SUM(C155:C158)</f>
        <v>0</v>
      </c>
      <c r="D159" s="205">
        <f t="shared" ref="D159:G159" si="59">SUM(D155:D158)</f>
        <v>0</v>
      </c>
      <c r="E159" s="282">
        <f t="shared" si="59"/>
        <v>0</v>
      </c>
      <c r="F159" s="205">
        <f t="shared" si="59"/>
        <v>1064482.75</v>
      </c>
      <c r="G159" s="205">
        <f t="shared" si="59"/>
        <v>0</v>
      </c>
      <c r="H159" s="38"/>
    </row>
    <row r="160" spans="1:8">
      <c r="E160" s="4"/>
      <c r="H160" s="38"/>
    </row>
    <row r="161" spans="1:7">
      <c r="E161" s="283"/>
    </row>
    <row r="162" spans="1:7">
      <c r="A162" s="224" t="s">
        <v>212</v>
      </c>
      <c r="E162" s="283"/>
    </row>
    <row r="163" spans="1:7">
      <c r="A163" s="19" t="s">
        <v>22</v>
      </c>
      <c r="B163" s="24">
        <f>ROUND('[25]MEEIA 3 PY5 EO'!$D278,2)</f>
        <v>1213667.6499999999</v>
      </c>
      <c r="C163" s="24">
        <v>0</v>
      </c>
      <c r="D163" s="24">
        <v>0</v>
      </c>
      <c r="E163" s="284">
        <v>0</v>
      </c>
      <c r="F163" s="205">
        <f>SUM(B163:E163)</f>
        <v>1213667.6499999999</v>
      </c>
      <c r="G163" s="205">
        <f>ROUND(F163/12*1,2)</f>
        <v>101138.97</v>
      </c>
    </row>
    <row r="164" spans="1:7">
      <c r="A164" s="19" t="s">
        <v>23</v>
      </c>
      <c r="B164" s="204">
        <f>B171</f>
        <v>1083263.51</v>
      </c>
      <c r="C164" s="204">
        <f t="shared" ref="C164:E164" si="60">C171</f>
        <v>0</v>
      </c>
      <c r="D164" s="204">
        <f t="shared" si="60"/>
        <v>0</v>
      </c>
      <c r="E164" s="285">
        <f t="shared" si="60"/>
        <v>0</v>
      </c>
      <c r="F164" s="205">
        <f>SUM(B164:E164)</f>
        <v>1083263.51</v>
      </c>
      <c r="G164" s="205">
        <f>G171</f>
        <v>90271.959999999992</v>
      </c>
    </row>
    <row r="165" spans="1:7">
      <c r="A165" s="19" t="s">
        <v>3</v>
      </c>
      <c r="B165" s="205">
        <f t="shared" ref="B165" si="61">SUM(B163:B164)</f>
        <v>2296931.16</v>
      </c>
      <c r="C165" s="205">
        <f t="shared" ref="C165:G165" si="62">SUM(C163:C164)</f>
        <v>0</v>
      </c>
      <c r="D165" s="205">
        <f t="shared" si="62"/>
        <v>0</v>
      </c>
      <c r="E165" s="282">
        <f t="shared" si="62"/>
        <v>0</v>
      </c>
      <c r="F165" s="205">
        <f t="shared" si="62"/>
        <v>2296931.16</v>
      </c>
      <c r="G165" s="205">
        <f t="shared" si="62"/>
        <v>191410.93</v>
      </c>
    </row>
    <row r="166" spans="1:7">
      <c r="B166" s="202"/>
      <c r="C166" s="202"/>
      <c r="D166" s="203"/>
      <c r="E166" s="283"/>
    </row>
    <row r="167" spans="1:7">
      <c r="A167" s="19" t="s">
        <v>91</v>
      </c>
      <c r="B167" s="24">
        <f>ROUND('[25]MEEIA 3 PY5 EO'!$D279,2)</f>
        <v>260501.47</v>
      </c>
      <c r="C167" s="24">
        <v>0</v>
      </c>
      <c r="D167" s="24">
        <v>0</v>
      </c>
      <c r="E167" s="284">
        <v>0</v>
      </c>
      <c r="F167" s="205">
        <f t="shared" ref="F167:F170" si="63">SUM(B167:E167)</f>
        <v>260501.47</v>
      </c>
      <c r="G167" s="205">
        <f>ROUND(F167/12*1,2)</f>
        <v>21708.46</v>
      </c>
    </row>
    <row r="168" spans="1:7">
      <c r="A168" s="19" t="s">
        <v>92</v>
      </c>
      <c r="B168" s="24">
        <f>ROUND('[25]MEEIA 3 PY5 EO'!$D280,2)</f>
        <v>436549.83</v>
      </c>
      <c r="C168" s="24">
        <v>0</v>
      </c>
      <c r="D168" s="24">
        <v>0</v>
      </c>
      <c r="E168" s="284">
        <v>0</v>
      </c>
      <c r="F168" s="205">
        <f t="shared" si="63"/>
        <v>436549.83</v>
      </c>
      <c r="G168" s="205">
        <f>ROUND(F168/12*1,2)</f>
        <v>36379.15</v>
      </c>
    </row>
    <row r="169" spans="1:7">
      <c r="A169" s="19" t="s">
        <v>93</v>
      </c>
      <c r="B169" s="24">
        <f>ROUND('[25]MEEIA 3 PY5 EO'!$D281,2)</f>
        <v>328143.75</v>
      </c>
      <c r="C169" s="24">
        <v>0</v>
      </c>
      <c r="D169" s="24">
        <v>0</v>
      </c>
      <c r="E169" s="284">
        <v>0</v>
      </c>
      <c r="F169" s="205">
        <f t="shared" si="63"/>
        <v>328143.75</v>
      </c>
      <c r="G169" s="205">
        <f>ROUND(F169/12*1,2)</f>
        <v>27345.31</v>
      </c>
    </row>
    <row r="170" spans="1:7">
      <c r="A170" s="19" t="s">
        <v>94</v>
      </c>
      <c r="B170" s="24">
        <f>ROUND('[25]MEEIA 3 PY5 EO'!$D282,2)</f>
        <v>58068.46</v>
      </c>
      <c r="C170" s="24">
        <v>0</v>
      </c>
      <c r="D170" s="24">
        <v>0</v>
      </c>
      <c r="E170" s="284">
        <v>0</v>
      </c>
      <c r="F170" s="205">
        <f t="shared" si="63"/>
        <v>58068.46</v>
      </c>
      <c r="G170" s="205">
        <f>ROUND(F170/12*1,2)</f>
        <v>4839.04</v>
      </c>
    </row>
    <row r="171" spans="1:7">
      <c r="A171" s="29" t="s">
        <v>95</v>
      </c>
      <c r="B171" s="205">
        <f>SUM(B167:B170)</f>
        <v>1083263.51</v>
      </c>
      <c r="C171" s="205">
        <f>SUM(C167:C170)</f>
        <v>0</v>
      </c>
      <c r="D171" s="205">
        <f t="shared" ref="D171:G171" si="64">SUM(D167:D170)</f>
        <v>0</v>
      </c>
      <c r="E171" s="282">
        <f t="shared" si="64"/>
        <v>0</v>
      </c>
      <c r="F171" s="205">
        <f t="shared" si="64"/>
        <v>1083263.51</v>
      </c>
      <c r="G171" s="205">
        <f t="shared" si="64"/>
        <v>90271.959999999992</v>
      </c>
    </row>
    <row r="172" spans="1:7">
      <c r="E172" s="4"/>
    </row>
    <row r="173" spans="1:7">
      <c r="E173" s="283"/>
    </row>
    <row r="174" spans="1:7">
      <c r="A174" s="224" t="s">
        <v>225</v>
      </c>
      <c r="E174" s="283"/>
    </row>
    <row r="175" spans="1:7">
      <c r="A175" s="19" t="s">
        <v>22</v>
      </c>
      <c r="B175" s="24">
        <f>ROUND('[26]MEEIA 3 PY5 EO'!$D$300,2)</f>
        <v>1564.83</v>
      </c>
      <c r="C175" s="24">
        <v>0</v>
      </c>
      <c r="D175" s="24">
        <v>0</v>
      </c>
      <c r="E175" s="284">
        <v>0</v>
      </c>
      <c r="F175" s="205">
        <f>SUM(B175:E175)</f>
        <v>1564.83</v>
      </c>
      <c r="G175" s="205">
        <f>ROUND(F175/12*7,2)</f>
        <v>912.82</v>
      </c>
    </row>
    <row r="176" spans="1:7">
      <c r="A176" s="19" t="s">
        <v>23</v>
      </c>
      <c r="B176" s="204">
        <f>B183</f>
        <v>1576.3999999999999</v>
      </c>
      <c r="C176" s="204">
        <f t="shared" ref="C176:E176" si="65">C183</f>
        <v>0</v>
      </c>
      <c r="D176" s="204">
        <f t="shared" si="65"/>
        <v>0</v>
      </c>
      <c r="E176" s="285">
        <f t="shared" si="65"/>
        <v>0</v>
      </c>
      <c r="F176" s="205">
        <f>SUM(B176:E176)</f>
        <v>1576.3999999999999</v>
      </c>
      <c r="G176" s="205">
        <f>G183</f>
        <v>919.56000000000006</v>
      </c>
    </row>
    <row r="177" spans="1:7">
      <c r="A177" s="19" t="s">
        <v>3</v>
      </c>
      <c r="B177" s="205">
        <f t="shared" ref="B177" si="66">SUM(B175:B176)</f>
        <v>3141.2299999999996</v>
      </c>
      <c r="C177" s="205">
        <f t="shared" ref="C177:G177" si="67">SUM(C175:C176)</f>
        <v>0</v>
      </c>
      <c r="D177" s="205">
        <f t="shared" si="67"/>
        <v>0</v>
      </c>
      <c r="E177" s="282">
        <f t="shared" si="67"/>
        <v>0</v>
      </c>
      <c r="F177" s="205">
        <f t="shared" si="67"/>
        <v>3141.2299999999996</v>
      </c>
      <c r="G177" s="205">
        <f t="shared" si="67"/>
        <v>1832.38</v>
      </c>
    </row>
    <row r="178" spans="1:7">
      <c r="B178" s="202"/>
      <c r="C178" s="202"/>
      <c r="D178" s="203"/>
      <c r="E178" s="283"/>
    </row>
    <row r="179" spans="1:7">
      <c r="A179" s="19" t="s">
        <v>91</v>
      </c>
      <c r="B179" s="24">
        <f>ROUND('[26]MEEIA 3 PY5 EO'!$D301,2)</f>
        <v>237.68</v>
      </c>
      <c r="C179" s="24">
        <v>0</v>
      </c>
      <c r="D179" s="24">
        <v>0</v>
      </c>
      <c r="E179" s="284">
        <v>0</v>
      </c>
      <c r="F179" s="205">
        <f t="shared" ref="F179:F182" si="68">SUM(B179:E179)</f>
        <v>237.68</v>
      </c>
      <c r="G179" s="205">
        <f>ROUND(F179/12*7,2)</f>
        <v>138.65</v>
      </c>
    </row>
    <row r="180" spans="1:7">
      <c r="A180" s="19" t="s">
        <v>92</v>
      </c>
      <c r="B180" s="24">
        <f>ROUND('[26]MEEIA 3 PY5 EO'!$D302,2)</f>
        <v>584.67999999999995</v>
      </c>
      <c r="C180" s="24">
        <v>0</v>
      </c>
      <c r="D180" s="24">
        <v>0</v>
      </c>
      <c r="E180" s="284">
        <v>0</v>
      </c>
      <c r="F180" s="205">
        <f t="shared" si="68"/>
        <v>584.67999999999995</v>
      </c>
      <c r="G180" s="205">
        <f>ROUND(F180/12*7,2)</f>
        <v>341.06</v>
      </c>
    </row>
    <row r="181" spans="1:7">
      <c r="A181" s="19" t="s">
        <v>93</v>
      </c>
      <c r="B181" s="24">
        <f>ROUND('[26]MEEIA 3 PY5 EO'!$D303,2)</f>
        <v>635.97</v>
      </c>
      <c r="C181" s="24">
        <v>0</v>
      </c>
      <c r="D181" s="24">
        <v>0</v>
      </c>
      <c r="E181" s="284">
        <v>0</v>
      </c>
      <c r="F181" s="205">
        <f t="shared" si="68"/>
        <v>635.97</v>
      </c>
      <c r="G181" s="205">
        <f>ROUND(F181/12*7,2)</f>
        <v>370.98</v>
      </c>
    </row>
    <row r="182" spans="1:7">
      <c r="A182" s="19" t="s">
        <v>94</v>
      </c>
      <c r="B182" s="24">
        <f>ROUND('[26]MEEIA 3 PY5 EO'!$D304,2)</f>
        <v>118.07</v>
      </c>
      <c r="C182" s="24">
        <v>0</v>
      </c>
      <c r="D182" s="24">
        <v>0</v>
      </c>
      <c r="E182" s="284">
        <v>0</v>
      </c>
      <c r="F182" s="205">
        <f t="shared" si="68"/>
        <v>118.07</v>
      </c>
      <c r="G182" s="205">
        <f>ROUND(F182/12*7,2)</f>
        <v>68.87</v>
      </c>
    </row>
    <row r="183" spans="1:7">
      <c r="A183" s="29" t="s">
        <v>95</v>
      </c>
      <c r="B183" s="205">
        <f>SUM(B179:B182)</f>
        <v>1576.3999999999999</v>
      </c>
      <c r="C183" s="205">
        <f>SUM(C179:C182)</f>
        <v>0</v>
      </c>
      <c r="D183" s="205">
        <f t="shared" ref="D183:G183" si="69">SUM(D179:D182)</f>
        <v>0</v>
      </c>
      <c r="E183" s="282">
        <f t="shared" si="69"/>
        <v>0</v>
      </c>
      <c r="F183" s="205">
        <f t="shared" si="69"/>
        <v>1576.3999999999999</v>
      </c>
      <c r="G183" s="205">
        <f t="shared" si="69"/>
        <v>919.56000000000006</v>
      </c>
    </row>
    <row r="184" spans="1:7">
      <c r="E184" s="4"/>
    </row>
    <row r="185" spans="1:7">
      <c r="E185" s="283"/>
    </row>
    <row r="186" spans="1:7">
      <c r="A186" s="338" t="s">
        <v>232</v>
      </c>
      <c r="E186" s="283"/>
    </row>
    <row r="187" spans="1:7">
      <c r="A187" s="19" t="s">
        <v>22</v>
      </c>
      <c r="B187" s="24">
        <f>ROUND('[27]MEEIA 3 PY5 EO'!$D$300,2)</f>
        <v>-1464.69</v>
      </c>
      <c r="C187" s="24">
        <v>0</v>
      </c>
      <c r="D187" s="24">
        <v>0</v>
      </c>
      <c r="E187" s="284">
        <v>0</v>
      </c>
      <c r="F187" s="205">
        <f>SUM(B187:E187)</f>
        <v>-1464.69</v>
      </c>
      <c r="G187" s="205">
        <f>ROUND(F187/12*11,2)</f>
        <v>-1342.63</v>
      </c>
    </row>
    <row r="188" spans="1:7">
      <c r="A188" s="19" t="s">
        <v>23</v>
      </c>
      <c r="B188" s="204">
        <f>B195</f>
        <v>-910.91</v>
      </c>
      <c r="C188" s="204">
        <f t="shared" ref="C188:E188" si="70">C195</f>
        <v>0</v>
      </c>
      <c r="D188" s="204">
        <f t="shared" si="70"/>
        <v>0</v>
      </c>
      <c r="E188" s="285">
        <f t="shared" si="70"/>
        <v>0</v>
      </c>
      <c r="F188" s="205">
        <f>SUM(B188:E188)</f>
        <v>-910.91</v>
      </c>
      <c r="G188" s="205">
        <f>G195</f>
        <v>-835.0100000000001</v>
      </c>
    </row>
    <row r="189" spans="1:7">
      <c r="A189" s="19" t="s">
        <v>3</v>
      </c>
      <c r="B189" s="205">
        <f t="shared" ref="B189:G189" si="71">SUM(B187:B188)</f>
        <v>-2375.6</v>
      </c>
      <c r="C189" s="205">
        <f t="shared" si="71"/>
        <v>0</v>
      </c>
      <c r="D189" s="205">
        <f t="shared" si="71"/>
        <v>0</v>
      </c>
      <c r="E189" s="282">
        <f t="shared" si="71"/>
        <v>0</v>
      </c>
      <c r="F189" s="205">
        <f t="shared" si="71"/>
        <v>-2375.6</v>
      </c>
      <c r="G189" s="205">
        <f t="shared" si="71"/>
        <v>-2177.6400000000003</v>
      </c>
    </row>
    <row r="190" spans="1:7">
      <c r="B190" s="202"/>
      <c r="C190" s="202"/>
      <c r="D190" s="203"/>
      <c r="E190" s="283"/>
    </row>
    <row r="191" spans="1:7">
      <c r="A191" s="19" t="s">
        <v>91</v>
      </c>
      <c r="B191" s="24">
        <f>ROUND('[27]MEEIA 3 PY5 EO'!$D301,2)</f>
        <v>-143.76</v>
      </c>
      <c r="C191" s="24">
        <v>0</v>
      </c>
      <c r="D191" s="24">
        <v>0</v>
      </c>
      <c r="E191" s="284">
        <v>0</v>
      </c>
      <c r="F191" s="205">
        <f t="shared" ref="F191:F194" si="72">SUM(B191:E191)</f>
        <v>-143.76</v>
      </c>
      <c r="G191" s="205">
        <f>ROUND(F191/12*11,2)</f>
        <v>-131.78</v>
      </c>
    </row>
    <row r="192" spans="1:7">
      <c r="A192" s="19" t="s">
        <v>92</v>
      </c>
      <c r="B192" s="24">
        <f>ROUND('[27]MEEIA 3 PY5 EO'!$D302,2)</f>
        <v>-373.69</v>
      </c>
      <c r="C192" s="24">
        <v>0</v>
      </c>
      <c r="D192" s="24">
        <v>0</v>
      </c>
      <c r="E192" s="284">
        <v>0</v>
      </c>
      <c r="F192" s="205">
        <f t="shared" si="72"/>
        <v>-373.69</v>
      </c>
      <c r="G192" s="205">
        <f>ROUND(F192/12*11,2)</f>
        <v>-342.55</v>
      </c>
    </row>
    <row r="193" spans="1:8">
      <c r="A193" s="19" t="s">
        <v>93</v>
      </c>
      <c r="B193" s="24">
        <f>ROUND('[27]MEEIA 3 PY5 EO'!$D303,2)</f>
        <v>-341.57</v>
      </c>
      <c r="C193" s="24">
        <v>0</v>
      </c>
      <c r="D193" s="24">
        <v>0</v>
      </c>
      <c r="E193" s="284">
        <v>0</v>
      </c>
      <c r="F193" s="205">
        <f t="shared" si="72"/>
        <v>-341.57</v>
      </c>
      <c r="G193" s="205">
        <f>ROUND(F193/12*11,2)</f>
        <v>-313.11</v>
      </c>
    </row>
    <row r="194" spans="1:8">
      <c r="A194" s="19" t="s">
        <v>94</v>
      </c>
      <c r="B194" s="24">
        <f>ROUND('[27]MEEIA 3 PY5 EO'!$D304,2)</f>
        <v>-51.89</v>
      </c>
      <c r="C194" s="24">
        <v>0</v>
      </c>
      <c r="D194" s="24">
        <v>0</v>
      </c>
      <c r="E194" s="284">
        <v>0</v>
      </c>
      <c r="F194" s="205">
        <f t="shared" si="72"/>
        <v>-51.89</v>
      </c>
      <c r="G194" s="205">
        <f>ROUND(F194/12*11,2)</f>
        <v>-47.57</v>
      </c>
    </row>
    <row r="195" spans="1:8">
      <c r="A195" s="29" t="s">
        <v>95</v>
      </c>
      <c r="B195" s="205">
        <f>SUM(B191:B194)</f>
        <v>-910.91</v>
      </c>
      <c r="C195" s="205">
        <f>SUM(C191:C194)</f>
        <v>0</v>
      </c>
      <c r="D195" s="205">
        <f t="shared" ref="D195:G195" si="73">SUM(D191:D194)</f>
        <v>0</v>
      </c>
      <c r="E195" s="282">
        <f t="shared" si="73"/>
        <v>0</v>
      </c>
      <c r="F195" s="205">
        <f t="shared" si="73"/>
        <v>-910.91</v>
      </c>
      <c r="G195" s="205">
        <f t="shared" si="73"/>
        <v>-835.0100000000001</v>
      </c>
    </row>
    <row r="196" spans="1:8">
      <c r="E196" s="4"/>
    </row>
    <row r="198" spans="1:8">
      <c r="A198" s="52" t="s">
        <v>9</v>
      </c>
    </row>
    <row r="199" spans="1:8">
      <c r="A199" s="62" t="s">
        <v>249</v>
      </c>
      <c r="B199" s="38"/>
      <c r="C199" s="38"/>
      <c r="D199" s="38"/>
      <c r="E199" s="38"/>
      <c r="F199" s="38"/>
      <c r="G199" s="38"/>
      <c r="H199" s="38"/>
    </row>
    <row r="200" spans="1:8">
      <c r="A200" s="62" t="s">
        <v>274</v>
      </c>
      <c r="B200" s="38"/>
      <c r="C200" s="38"/>
      <c r="D200" s="38"/>
      <c r="E200" s="38"/>
      <c r="F200" s="38"/>
      <c r="G200" s="38"/>
      <c r="H200" s="38"/>
    </row>
    <row r="201" spans="1:8">
      <c r="A201" s="62" t="s">
        <v>275</v>
      </c>
      <c r="B201" s="38"/>
      <c r="C201" s="38"/>
      <c r="D201" s="38"/>
      <c r="E201" s="38"/>
      <c r="F201" s="38"/>
      <c r="G201" s="38"/>
      <c r="H201" s="38"/>
    </row>
    <row r="202" spans="1:8">
      <c r="A202" s="62" t="s">
        <v>276</v>
      </c>
      <c r="B202" s="38"/>
      <c r="C202" s="38"/>
      <c r="D202" s="38"/>
      <c r="E202" s="38"/>
      <c r="F202" s="38"/>
      <c r="G202" s="38"/>
      <c r="H202" s="38"/>
    </row>
    <row r="203" spans="1:8" s="38" customFormat="1">
      <c r="A203" s="62" t="s">
        <v>135</v>
      </c>
    </row>
    <row r="204" spans="1:8" ht="88.5" customHeight="1">
      <c r="A204" s="356" t="s">
        <v>233</v>
      </c>
      <c r="B204" s="356"/>
      <c r="C204" s="356"/>
      <c r="D204" s="356"/>
      <c r="E204" s="356"/>
      <c r="F204" s="356"/>
      <c r="G204" s="356"/>
      <c r="H204" s="356"/>
    </row>
    <row r="205" spans="1:8">
      <c r="A205" s="375"/>
      <c r="B205" s="375"/>
      <c r="C205" s="375"/>
      <c r="D205" s="375"/>
      <c r="E205" s="375"/>
      <c r="F205" s="375"/>
      <c r="G205" s="375"/>
      <c r="H205" s="375"/>
    </row>
    <row r="206" spans="1:8">
      <c r="A206" s="375"/>
      <c r="B206" s="375"/>
      <c r="C206" s="375"/>
      <c r="D206" s="375"/>
      <c r="E206" s="375"/>
      <c r="F206" s="375"/>
      <c r="G206" s="375"/>
      <c r="H206" s="375"/>
    </row>
  </sheetData>
  <autoFilter ref="A4:H204" xr:uid="{D47F2E79-0EFD-49E8-A513-B07A20AA3B3C}"/>
  <mergeCells count="2">
    <mergeCell ref="B3:D3"/>
    <mergeCell ref="A204:H206"/>
  </mergeCells>
  <pageMargins left="0.2" right="0.2" top="0.75" bottom="0.25" header="0.3" footer="0.3"/>
  <pageSetup scale="16" orientation="landscape" r:id="rId1"/>
  <headerFooter>
    <oddHeader>&amp;C&amp;F &amp;A&amp;R&amp;"Arial"&amp;10&amp;K000000CONFIDENTIAL</oddHeader>
    <oddFooter>&amp;R&amp;1#&amp;"Calibri"&amp;10&amp;KA80000Internal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336C7-1E0A-4A0B-A197-04101632EBE5}">
  <sheetPr codeName="Sheet19">
    <pageSetUpPr fitToPage="1"/>
  </sheetPr>
  <dimension ref="A1:K60"/>
  <sheetViews>
    <sheetView zoomScale="85" zoomScaleNormal="85" workbookViewId="0">
      <pane xSplit="1" ySplit="4" topLeftCell="B5" activePane="bottomRight" state="frozen"/>
      <selection activeCell="B5" sqref="B5"/>
      <selection pane="topRight" activeCell="B5" sqref="B5"/>
      <selection pane="bottomLeft" activeCell="B5" sqref="B5"/>
      <selection pane="bottomRight" activeCell="B5" sqref="B5"/>
    </sheetView>
  </sheetViews>
  <sheetFormatPr defaultColWidth="8.7109375" defaultRowHeight="15"/>
  <cols>
    <col min="1" max="1" width="22.42578125" style="45" customWidth="1"/>
    <col min="2" max="2" width="15.28515625" style="45" bestFit="1" customWidth="1"/>
    <col min="3" max="3" width="14.28515625" style="45" customWidth="1"/>
    <col min="4" max="4" width="13.28515625" style="45" bestFit="1" customWidth="1"/>
    <col min="5" max="5" width="13.42578125" style="45" bestFit="1" customWidth="1"/>
    <col min="6" max="6" width="11.5703125" style="45" bestFit="1" customWidth="1"/>
    <col min="7" max="7" width="13.140625" style="45" customWidth="1"/>
    <col min="8" max="16384" width="8.7109375" style="45"/>
  </cols>
  <sheetData>
    <row r="1" spans="1:7">
      <c r="A1" s="62" t="str">
        <f>'PTD Cycle 3'!A1</f>
        <v>Evergy Metro, Inc. - DSIM Rider Update Filed 06/01/2026</v>
      </c>
      <c r="E1" s="296"/>
    </row>
    <row r="2" spans="1:7">
      <c r="A2" s="8" t="str">
        <f>+'PPC Cycle 4'!A2</f>
        <v>Projections for Cycle 4 July 2026 - June 2027 DSIM</v>
      </c>
    </row>
    <row r="3" spans="1:7" ht="45.75" customHeight="1">
      <c r="B3" s="354" t="s">
        <v>197</v>
      </c>
      <c r="C3" s="354"/>
      <c r="D3" s="354"/>
    </row>
    <row r="4" spans="1:7" ht="90">
      <c r="B4" s="69" t="s">
        <v>85</v>
      </c>
      <c r="C4" s="69" t="s">
        <v>86</v>
      </c>
      <c r="D4" s="69" t="s">
        <v>89</v>
      </c>
      <c r="E4" s="69" t="s">
        <v>87</v>
      </c>
      <c r="F4" s="69" t="s">
        <v>84</v>
      </c>
      <c r="G4" s="69" t="s">
        <v>139</v>
      </c>
    </row>
    <row r="5" spans="1:7">
      <c r="B5" s="69"/>
      <c r="C5" s="69"/>
      <c r="D5" s="69"/>
      <c r="E5" s="69"/>
      <c r="F5" s="69"/>
      <c r="G5" s="69"/>
    </row>
    <row r="6" spans="1:7">
      <c r="A6" s="224" t="s">
        <v>196</v>
      </c>
      <c r="B6" s="69"/>
      <c r="C6" s="69"/>
      <c r="D6" s="146"/>
    </row>
    <row r="7" spans="1:7">
      <c r="A7" s="19" t="s">
        <v>22</v>
      </c>
      <c r="B7" s="205">
        <f>SUMIFS(B$16:B$54,$A$16:$A$54,$A7)</f>
        <v>95908.83</v>
      </c>
      <c r="C7" s="205">
        <f>SUMIFS(C$16:C$54,$A$16:$A$54,$A7)</f>
        <v>0</v>
      </c>
      <c r="D7" s="205">
        <f>SUMIFS(D$16:D$54,$A$16:$A$54,$A7)</f>
        <v>0</v>
      </c>
      <c r="E7" s="282">
        <f>SUMIFS(E$16:E$54,$A$16:$A$54,$A7)</f>
        <v>0</v>
      </c>
      <c r="F7" s="205">
        <f>SUM(B7:E7)</f>
        <v>95908.83</v>
      </c>
      <c r="G7" s="205">
        <f>SUMIFS(G$16:G$54,$A$16:$A$54,$A7)</f>
        <v>87916.43</v>
      </c>
    </row>
    <row r="8" spans="1:7">
      <c r="A8" s="19" t="s">
        <v>23</v>
      </c>
      <c r="B8" s="205">
        <f>B15</f>
        <v>238145.25</v>
      </c>
      <c r="C8" s="205">
        <f t="shared" ref="C8:E8" si="0">C15</f>
        <v>0</v>
      </c>
      <c r="D8" s="205">
        <f t="shared" si="0"/>
        <v>0</v>
      </c>
      <c r="E8" s="282">
        <f t="shared" si="0"/>
        <v>0</v>
      </c>
      <c r="F8" s="205">
        <f>SUM(B8:E8)</f>
        <v>238145.25</v>
      </c>
      <c r="G8" s="205">
        <f>G15</f>
        <v>218299.81</v>
      </c>
    </row>
    <row r="9" spans="1:7">
      <c r="A9" s="19" t="s">
        <v>3</v>
      </c>
      <c r="B9" s="205">
        <f t="shared" ref="B9:G9" si="1">SUM(B7:B8)</f>
        <v>334054.08</v>
      </c>
      <c r="C9" s="205">
        <f t="shared" si="1"/>
        <v>0</v>
      </c>
      <c r="D9" s="205">
        <f t="shared" si="1"/>
        <v>0</v>
      </c>
      <c r="E9" s="282">
        <f t="shared" si="1"/>
        <v>0</v>
      </c>
      <c r="F9" s="205">
        <f t="shared" si="1"/>
        <v>334054.08</v>
      </c>
      <c r="G9" s="205">
        <f t="shared" si="1"/>
        <v>306216.24</v>
      </c>
    </row>
    <row r="10" spans="1:7">
      <c r="E10" s="283"/>
    </row>
    <row r="11" spans="1:7">
      <c r="A11" s="19" t="s">
        <v>91</v>
      </c>
      <c r="B11" s="205">
        <f t="shared" ref="B11:E14" si="2">SUMIFS(B$16:B$54,$A$16:$A$54,$A11)</f>
        <v>107803.9</v>
      </c>
      <c r="C11" s="205">
        <f t="shared" si="2"/>
        <v>0</v>
      </c>
      <c r="D11" s="205">
        <f t="shared" si="2"/>
        <v>0</v>
      </c>
      <c r="E11" s="282">
        <f t="shared" si="2"/>
        <v>0</v>
      </c>
      <c r="F11" s="205">
        <f t="shared" ref="F11:F14" si="3">SUM(B11:E11)</f>
        <v>107803.9</v>
      </c>
      <c r="G11" s="205">
        <f>SUMIFS(G$16:G$54,$A$16:$A$54,$A11)</f>
        <v>98820.24</v>
      </c>
    </row>
    <row r="12" spans="1:7">
      <c r="A12" s="19" t="s">
        <v>92</v>
      </c>
      <c r="B12" s="205">
        <f t="shared" si="2"/>
        <v>81468.69</v>
      </c>
      <c r="C12" s="205">
        <f t="shared" si="2"/>
        <v>0</v>
      </c>
      <c r="D12" s="205">
        <f t="shared" si="2"/>
        <v>0</v>
      </c>
      <c r="E12" s="282">
        <f t="shared" si="2"/>
        <v>0</v>
      </c>
      <c r="F12" s="205">
        <f t="shared" si="3"/>
        <v>81468.69</v>
      </c>
      <c r="G12" s="205">
        <f>SUMIFS(G$16:G$54,$A$16:$A$54,$A12)</f>
        <v>74679.63</v>
      </c>
    </row>
    <row r="13" spans="1:7">
      <c r="A13" s="19" t="s">
        <v>93</v>
      </c>
      <c r="B13" s="205">
        <f t="shared" si="2"/>
        <v>42438.400000000001</v>
      </c>
      <c r="C13" s="205">
        <f t="shared" si="2"/>
        <v>0</v>
      </c>
      <c r="D13" s="205">
        <f t="shared" si="2"/>
        <v>0</v>
      </c>
      <c r="E13" s="282">
        <f t="shared" si="2"/>
        <v>0</v>
      </c>
      <c r="F13" s="205">
        <f t="shared" si="3"/>
        <v>42438.400000000001</v>
      </c>
      <c r="G13" s="205">
        <f>SUMIFS(G$16:G$54,$A$16:$A$54,$A13)</f>
        <v>38901.870000000003</v>
      </c>
    </row>
    <row r="14" spans="1:7">
      <c r="A14" s="19" t="s">
        <v>94</v>
      </c>
      <c r="B14" s="205">
        <f t="shared" si="2"/>
        <v>6434.26</v>
      </c>
      <c r="C14" s="205">
        <f t="shared" si="2"/>
        <v>0</v>
      </c>
      <c r="D14" s="205">
        <f t="shared" si="2"/>
        <v>0</v>
      </c>
      <c r="E14" s="282">
        <f t="shared" si="2"/>
        <v>0</v>
      </c>
      <c r="F14" s="205">
        <f t="shared" si="3"/>
        <v>6434.26</v>
      </c>
      <c r="G14" s="205">
        <f>SUMIFS(G$16:G$54,$A$16:$A$54,$A14)</f>
        <v>5898.07</v>
      </c>
    </row>
    <row r="15" spans="1:7">
      <c r="A15" s="29" t="s">
        <v>95</v>
      </c>
      <c r="B15" s="205">
        <f t="shared" ref="B15:G15" si="4">SUM(B11:B14)</f>
        <v>238145.25</v>
      </c>
      <c r="C15" s="205">
        <f t="shared" si="4"/>
        <v>0</v>
      </c>
      <c r="D15" s="205">
        <f t="shared" si="4"/>
        <v>0</v>
      </c>
      <c r="E15" s="282">
        <f t="shared" si="4"/>
        <v>0</v>
      </c>
      <c r="F15" s="205">
        <f t="shared" si="4"/>
        <v>238145.25</v>
      </c>
      <c r="G15" s="205">
        <f t="shared" si="4"/>
        <v>218299.81</v>
      </c>
    </row>
    <row r="16" spans="1:7">
      <c r="E16" s="283"/>
    </row>
    <row r="17" spans="1:11">
      <c r="A17" s="19"/>
      <c r="B17" s="69"/>
      <c r="C17" s="69"/>
      <c r="D17" s="145"/>
      <c r="E17" s="283"/>
    </row>
    <row r="18" spans="1:11">
      <c r="A18" s="315" t="s">
        <v>219</v>
      </c>
      <c r="B18" s="69"/>
      <c r="C18" s="69"/>
      <c r="D18" s="145"/>
      <c r="E18" s="283"/>
    </row>
    <row r="19" spans="1:11">
      <c r="A19" s="19" t="s">
        <v>22</v>
      </c>
      <c r="B19" s="24">
        <f>'[14]Spend EO- Metro'!$O$13</f>
        <v>95908.83</v>
      </c>
      <c r="C19" s="24"/>
      <c r="D19" s="24"/>
      <c r="E19" s="284"/>
      <c r="F19" s="205">
        <f>SUM(B19:E19)</f>
        <v>95908.83</v>
      </c>
      <c r="G19" s="205">
        <f>ROUND(F19/12*11,2)</f>
        <v>87916.43</v>
      </c>
      <c r="I19" s="4"/>
      <c r="J19" s="4"/>
      <c r="K19" s="4"/>
    </row>
    <row r="20" spans="1:11">
      <c r="A20" s="19" t="s">
        <v>23</v>
      </c>
      <c r="B20" s="204">
        <f>B27</f>
        <v>238145.25</v>
      </c>
      <c r="C20" s="204">
        <f t="shared" ref="C20:E20" si="5">C27</f>
        <v>0</v>
      </c>
      <c r="D20" s="204">
        <f t="shared" si="5"/>
        <v>0</v>
      </c>
      <c r="E20" s="285">
        <f t="shared" si="5"/>
        <v>0</v>
      </c>
      <c r="F20" s="205">
        <f>SUM(B20:E20)</f>
        <v>238145.25</v>
      </c>
      <c r="G20" s="205">
        <f>G27</f>
        <v>218299.81</v>
      </c>
      <c r="I20" s="4"/>
      <c r="J20" s="4"/>
      <c r="K20" s="4"/>
    </row>
    <row r="21" spans="1:11">
      <c r="A21" s="19" t="s">
        <v>3</v>
      </c>
      <c r="B21" s="205">
        <f t="shared" ref="B21:G21" si="6">SUM(B19:B20)</f>
        <v>334054.08</v>
      </c>
      <c r="C21" s="205">
        <f t="shared" si="6"/>
        <v>0</v>
      </c>
      <c r="D21" s="205">
        <f t="shared" si="6"/>
        <v>0</v>
      </c>
      <c r="E21" s="282">
        <f t="shared" si="6"/>
        <v>0</v>
      </c>
      <c r="F21" s="205">
        <f t="shared" si="6"/>
        <v>334054.08</v>
      </c>
      <c r="G21" s="205">
        <f t="shared" si="6"/>
        <v>306216.24</v>
      </c>
      <c r="I21" s="4"/>
      <c r="J21" s="4"/>
      <c r="K21" s="4"/>
    </row>
    <row r="22" spans="1:11">
      <c r="B22" s="202"/>
      <c r="C22" s="202"/>
      <c r="D22" s="203"/>
      <c r="E22" s="283"/>
    </row>
    <row r="23" spans="1:11">
      <c r="A23" s="19" t="s">
        <v>91</v>
      </c>
      <c r="B23" s="24">
        <f>'[14]Spend EO- Metro'!$P$13</f>
        <v>107803.9</v>
      </c>
      <c r="C23" s="24"/>
      <c r="D23" s="24"/>
      <c r="E23" s="285"/>
      <c r="F23" s="205">
        <f t="shared" ref="F23:F26" si="7">SUM(B23:E23)</f>
        <v>107803.9</v>
      </c>
      <c r="G23" s="205">
        <f>ROUND(F23/12*11,2)</f>
        <v>98820.24</v>
      </c>
      <c r="I23" s="4"/>
      <c r="J23" s="4"/>
      <c r="K23" s="4"/>
    </row>
    <row r="24" spans="1:11">
      <c r="A24" s="19" t="s">
        <v>92</v>
      </c>
      <c r="B24" s="204">
        <f>'[14]Spend EO- Metro'!$Q$13</f>
        <v>81468.69</v>
      </c>
      <c r="C24" s="204"/>
      <c r="D24" s="204"/>
      <c r="E24" s="285"/>
      <c r="F24" s="205">
        <f t="shared" si="7"/>
        <v>81468.69</v>
      </c>
      <c r="G24" s="205">
        <f>ROUND(F24/12*11,2)</f>
        <v>74679.63</v>
      </c>
      <c r="I24" s="4"/>
      <c r="J24" s="4"/>
      <c r="K24" s="4"/>
    </row>
    <row r="25" spans="1:11">
      <c r="A25" s="19" t="s">
        <v>93</v>
      </c>
      <c r="B25" s="24">
        <f>'[14]Spend EO- Metro'!$R$13</f>
        <v>42438.400000000001</v>
      </c>
      <c r="C25" s="24"/>
      <c r="D25" s="24"/>
      <c r="E25" s="284"/>
      <c r="F25" s="205">
        <f t="shared" si="7"/>
        <v>42438.400000000001</v>
      </c>
      <c r="G25" s="205">
        <f>ROUND(F25/12*11,2)</f>
        <v>38901.870000000003</v>
      </c>
      <c r="I25" s="4"/>
      <c r="J25" s="4"/>
      <c r="K25" s="4"/>
    </row>
    <row r="26" spans="1:11">
      <c r="A26" s="19" t="s">
        <v>94</v>
      </c>
      <c r="B26" s="204">
        <f>'[14]Spend EO- Metro'!$S$13</f>
        <v>6434.26</v>
      </c>
      <c r="C26" s="204"/>
      <c r="D26" s="204"/>
      <c r="E26" s="285"/>
      <c r="F26" s="205">
        <f t="shared" si="7"/>
        <v>6434.26</v>
      </c>
      <c r="G26" s="205">
        <f>ROUND(F26/12*11,2)</f>
        <v>5898.07</v>
      </c>
      <c r="I26" s="4"/>
      <c r="J26" s="4"/>
      <c r="K26" s="4"/>
    </row>
    <row r="27" spans="1:11">
      <c r="A27" s="29" t="s">
        <v>95</v>
      </c>
      <c r="B27" s="205">
        <f>SUM(B23:B26)</f>
        <v>238145.25</v>
      </c>
      <c r="C27" s="205">
        <f>SUM(C23:C26)</f>
        <v>0</v>
      </c>
      <c r="D27" s="205">
        <f t="shared" ref="D27:G27" si="8">SUM(D23:D26)</f>
        <v>0</v>
      </c>
      <c r="E27" s="282">
        <f t="shared" si="8"/>
        <v>0</v>
      </c>
      <c r="F27" s="205">
        <f t="shared" si="8"/>
        <v>238145.25</v>
      </c>
      <c r="G27" s="205">
        <f t="shared" si="8"/>
        <v>218299.81</v>
      </c>
      <c r="I27" s="4"/>
      <c r="J27" s="4"/>
      <c r="K27" s="4"/>
    </row>
    <row r="28" spans="1:11">
      <c r="E28" s="283"/>
    </row>
    <row r="29" spans="1:11">
      <c r="E29" s="283"/>
    </row>
    <row r="30" spans="1:11">
      <c r="A30" s="315" t="s">
        <v>220</v>
      </c>
      <c r="B30" s="69"/>
      <c r="C30" s="69"/>
      <c r="D30" s="145"/>
      <c r="E30" s="283"/>
    </row>
    <row r="31" spans="1:11">
      <c r="A31" s="316" t="s">
        <v>22</v>
      </c>
      <c r="B31" s="24"/>
      <c r="C31" s="24"/>
      <c r="D31" s="24"/>
      <c r="E31" s="284"/>
      <c r="F31" s="205">
        <f>SUM(B31:E31)</f>
        <v>0</v>
      </c>
      <c r="G31" s="205">
        <f>ROUND(F31/12*11,2)</f>
        <v>0</v>
      </c>
      <c r="I31" s="4"/>
      <c r="J31" s="4"/>
      <c r="K31" s="4"/>
    </row>
    <row r="32" spans="1:11">
      <c r="A32" s="19" t="s">
        <v>23</v>
      </c>
      <c r="B32" s="204">
        <f>B39</f>
        <v>0</v>
      </c>
      <c r="C32" s="204">
        <f t="shared" ref="C32:E32" si="9">C39</f>
        <v>0</v>
      </c>
      <c r="D32" s="204">
        <f t="shared" si="9"/>
        <v>0</v>
      </c>
      <c r="E32" s="285">
        <f t="shared" si="9"/>
        <v>0</v>
      </c>
      <c r="F32" s="205">
        <f>SUM(B32:E32)</f>
        <v>0</v>
      </c>
      <c r="G32" s="205">
        <f>G39</f>
        <v>0</v>
      </c>
      <c r="I32" s="4"/>
      <c r="J32" s="4"/>
      <c r="K32" s="4"/>
    </row>
    <row r="33" spans="1:11">
      <c r="A33" s="19" t="s">
        <v>3</v>
      </c>
      <c r="B33" s="205">
        <f t="shared" ref="B33:G33" si="10">SUM(B31:B32)</f>
        <v>0</v>
      </c>
      <c r="C33" s="205">
        <f t="shared" si="10"/>
        <v>0</v>
      </c>
      <c r="D33" s="205">
        <f t="shared" si="10"/>
        <v>0</v>
      </c>
      <c r="E33" s="282">
        <f t="shared" si="10"/>
        <v>0</v>
      </c>
      <c r="F33" s="205">
        <f t="shared" si="10"/>
        <v>0</v>
      </c>
      <c r="G33" s="205">
        <f t="shared" si="10"/>
        <v>0</v>
      </c>
      <c r="I33" s="4"/>
      <c r="J33" s="4"/>
      <c r="K33" s="4"/>
    </row>
    <row r="34" spans="1:11">
      <c r="B34" s="202"/>
      <c r="C34" s="202"/>
      <c r="D34" s="203"/>
      <c r="E34" s="283"/>
    </row>
    <row r="35" spans="1:11">
      <c r="A35" s="19" t="s">
        <v>91</v>
      </c>
      <c r="B35" s="24"/>
      <c r="C35" s="24"/>
      <c r="D35" s="24"/>
      <c r="E35" s="285"/>
      <c r="F35" s="205">
        <f t="shared" ref="F35:F38" si="11">SUM(B35:E35)</f>
        <v>0</v>
      </c>
      <c r="G35" s="205">
        <f>ROUND(F35/12*11,2)</f>
        <v>0</v>
      </c>
      <c r="I35" s="4"/>
      <c r="J35" s="4"/>
      <c r="K35" s="4"/>
    </row>
    <row r="36" spans="1:11">
      <c r="A36" s="19" t="s">
        <v>92</v>
      </c>
      <c r="B36" s="204"/>
      <c r="C36" s="204"/>
      <c r="D36" s="204"/>
      <c r="E36" s="285"/>
      <c r="F36" s="205">
        <f t="shared" si="11"/>
        <v>0</v>
      </c>
      <c r="G36" s="205">
        <f>ROUND(F36/12*11,2)</f>
        <v>0</v>
      </c>
      <c r="I36" s="4"/>
      <c r="J36" s="4"/>
      <c r="K36" s="4"/>
    </row>
    <row r="37" spans="1:11">
      <c r="A37" s="19" t="s">
        <v>93</v>
      </c>
      <c r="B37" s="24"/>
      <c r="C37" s="24"/>
      <c r="D37" s="24"/>
      <c r="E37" s="284"/>
      <c r="F37" s="205">
        <f t="shared" si="11"/>
        <v>0</v>
      </c>
      <c r="G37" s="205">
        <f>ROUND(F37/12*11,2)</f>
        <v>0</v>
      </c>
      <c r="I37" s="4"/>
      <c r="J37" s="4"/>
      <c r="K37" s="4"/>
    </row>
    <row r="38" spans="1:11">
      <c r="A38" s="19" t="s">
        <v>94</v>
      </c>
      <c r="B38" s="204"/>
      <c r="C38" s="204"/>
      <c r="D38" s="204"/>
      <c r="E38" s="285"/>
      <c r="F38" s="205">
        <f t="shared" si="11"/>
        <v>0</v>
      </c>
      <c r="G38" s="205">
        <f>ROUND(F38/12*11,2)</f>
        <v>0</v>
      </c>
      <c r="I38" s="4"/>
      <c r="J38" s="4"/>
      <c r="K38" s="4"/>
    </row>
    <row r="39" spans="1:11">
      <c r="A39" s="29" t="s">
        <v>95</v>
      </c>
      <c r="B39" s="205">
        <f>SUM(B35:B38)</f>
        <v>0</v>
      </c>
      <c r="C39" s="205">
        <f>SUM(C35:C38)</f>
        <v>0</v>
      </c>
      <c r="D39" s="205">
        <f t="shared" ref="D39:G39" si="12">SUM(D35:D38)</f>
        <v>0</v>
      </c>
      <c r="E39" s="282">
        <f t="shared" si="12"/>
        <v>0</v>
      </c>
      <c r="F39" s="205">
        <f t="shared" si="12"/>
        <v>0</v>
      </c>
      <c r="G39" s="205">
        <f t="shared" si="12"/>
        <v>0</v>
      </c>
      <c r="I39" s="4"/>
      <c r="J39" s="4"/>
      <c r="K39" s="4"/>
    </row>
    <row r="40" spans="1:11">
      <c r="E40" s="283"/>
    </row>
    <row r="41" spans="1:11">
      <c r="E41" s="283"/>
    </row>
    <row r="42" spans="1:11">
      <c r="A42" s="315" t="s">
        <v>221</v>
      </c>
      <c r="B42" s="69"/>
      <c r="C42" s="69"/>
      <c r="D42" s="145"/>
      <c r="E42" s="283"/>
    </row>
    <row r="43" spans="1:11">
      <c r="A43" s="19" t="s">
        <v>22</v>
      </c>
      <c r="B43" s="24"/>
      <c r="C43" s="24"/>
      <c r="D43" s="24"/>
      <c r="E43" s="284"/>
      <c r="F43" s="205">
        <f>SUM(B43:E43)</f>
        <v>0</v>
      </c>
      <c r="G43" s="205">
        <f>ROUND(F43/12*11,2)</f>
        <v>0</v>
      </c>
      <c r="I43" s="4"/>
      <c r="J43" s="4"/>
      <c r="K43" s="4"/>
    </row>
    <row r="44" spans="1:11">
      <c r="A44" s="19" t="s">
        <v>23</v>
      </c>
      <c r="B44" s="204">
        <f>B51</f>
        <v>0</v>
      </c>
      <c r="C44" s="204">
        <f t="shared" ref="C44:E44" si="13">C51</f>
        <v>0</v>
      </c>
      <c r="D44" s="204">
        <f t="shared" si="13"/>
        <v>0</v>
      </c>
      <c r="E44" s="285">
        <f t="shared" si="13"/>
        <v>0</v>
      </c>
      <c r="F44" s="205">
        <f>SUM(B44:E44)</f>
        <v>0</v>
      </c>
      <c r="G44" s="205">
        <f>G51</f>
        <v>0</v>
      </c>
      <c r="I44" s="4"/>
      <c r="J44" s="4"/>
      <c r="K44" s="4"/>
    </row>
    <row r="45" spans="1:11">
      <c r="A45" s="19" t="s">
        <v>3</v>
      </c>
      <c r="B45" s="205">
        <f t="shared" ref="B45:G45" si="14">SUM(B43:B44)</f>
        <v>0</v>
      </c>
      <c r="C45" s="205">
        <f t="shared" si="14"/>
        <v>0</v>
      </c>
      <c r="D45" s="205">
        <f t="shared" si="14"/>
        <v>0</v>
      </c>
      <c r="E45" s="282">
        <f t="shared" si="14"/>
        <v>0</v>
      </c>
      <c r="F45" s="205">
        <f t="shared" si="14"/>
        <v>0</v>
      </c>
      <c r="G45" s="205">
        <f t="shared" si="14"/>
        <v>0</v>
      </c>
      <c r="I45" s="4"/>
      <c r="J45" s="4"/>
      <c r="K45" s="4"/>
    </row>
    <row r="46" spans="1:11">
      <c r="B46" s="202"/>
      <c r="C46" s="202"/>
      <c r="D46" s="203"/>
      <c r="E46" s="283"/>
    </row>
    <row r="47" spans="1:11">
      <c r="A47" s="19" t="s">
        <v>91</v>
      </c>
      <c r="B47" s="24"/>
      <c r="C47" s="24"/>
      <c r="D47" s="24"/>
      <c r="E47" s="285"/>
      <c r="F47" s="205">
        <f t="shared" ref="F47:F50" si="15">SUM(B47:E47)</f>
        <v>0</v>
      </c>
      <c r="G47" s="205">
        <f>ROUND(F47/12*11,2)</f>
        <v>0</v>
      </c>
      <c r="I47" s="4"/>
      <c r="J47" s="4"/>
      <c r="K47" s="4"/>
    </row>
    <row r="48" spans="1:11">
      <c r="A48" s="19" t="s">
        <v>92</v>
      </c>
      <c r="B48" s="204"/>
      <c r="C48" s="204"/>
      <c r="D48" s="204"/>
      <c r="E48" s="285"/>
      <c r="F48" s="205">
        <f t="shared" si="15"/>
        <v>0</v>
      </c>
      <c r="G48" s="205">
        <f>ROUND(F48/12*11,2)</f>
        <v>0</v>
      </c>
      <c r="I48" s="4"/>
      <c r="J48" s="4"/>
      <c r="K48" s="4"/>
    </row>
    <row r="49" spans="1:11">
      <c r="A49" s="19" t="s">
        <v>93</v>
      </c>
      <c r="B49" s="24"/>
      <c r="C49" s="24"/>
      <c r="D49" s="24"/>
      <c r="E49" s="284"/>
      <c r="F49" s="205">
        <f t="shared" si="15"/>
        <v>0</v>
      </c>
      <c r="G49" s="205">
        <f>ROUND(F49/12*11,2)</f>
        <v>0</v>
      </c>
      <c r="I49" s="4"/>
      <c r="J49" s="4"/>
      <c r="K49" s="4"/>
    </row>
    <row r="50" spans="1:11">
      <c r="A50" s="19" t="s">
        <v>94</v>
      </c>
      <c r="B50" s="204"/>
      <c r="C50" s="204"/>
      <c r="D50" s="204"/>
      <c r="E50" s="285"/>
      <c r="F50" s="205">
        <f t="shared" si="15"/>
        <v>0</v>
      </c>
      <c r="G50" s="205">
        <f>ROUND(F50/12*11,2)</f>
        <v>0</v>
      </c>
      <c r="I50" s="4"/>
      <c r="J50" s="4"/>
      <c r="K50" s="4"/>
    </row>
    <row r="51" spans="1:11">
      <c r="A51" s="29" t="s">
        <v>95</v>
      </c>
      <c r="B51" s="205">
        <f>SUM(B47:B50)</f>
        <v>0</v>
      </c>
      <c r="C51" s="205">
        <f>SUM(C47:C50)</f>
        <v>0</v>
      </c>
      <c r="D51" s="205">
        <f t="shared" ref="D51:G51" si="16">SUM(D47:D50)</f>
        <v>0</v>
      </c>
      <c r="E51" s="282">
        <f t="shared" si="16"/>
        <v>0</v>
      </c>
      <c r="F51" s="205">
        <f t="shared" si="16"/>
        <v>0</v>
      </c>
      <c r="G51" s="205">
        <f t="shared" si="16"/>
        <v>0</v>
      </c>
      <c r="I51" s="4"/>
      <c r="J51" s="4"/>
      <c r="K51" s="4"/>
    </row>
    <row r="52" spans="1:11">
      <c r="E52" s="283"/>
    </row>
    <row r="53" spans="1:11">
      <c r="E53" s="283"/>
    </row>
    <row r="54" spans="1:11">
      <c r="A54" s="52" t="s">
        <v>9</v>
      </c>
    </row>
    <row r="55" spans="1:11">
      <c r="A55" s="62" t="s">
        <v>243</v>
      </c>
      <c r="B55" s="38"/>
      <c r="C55" s="38"/>
      <c r="D55" s="38"/>
      <c r="E55" s="38"/>
      <c r="F55" s="38"/>
      <c r="G55" s="38"/>
      <c r="H55" s="38"/>
    </row>
    <row r="56" spans="1:11">
      <c r="A56" s="62" t="s">
        <v>198</v>
      </c>
      <c r="B56" s="38"/>
      <c r="C56" s="38"/>
      <c r="D56" s="38"/>
      <c r="E56" s="38"/>
      <c r="F56" s="38"/>
      <c r="G56" s="38"/>
      <c r="H56" s="38"/>
    </row>
    <row r="57" spans="1:11">
      <c r="A57" s="62" t="s">
        <v>199</v>
      </c>
      <c r="B57" s="38"/>
      <c r="C57" s="38"/>
      <c r="D57" s="38"/>
      <c r="E57" s="38"/>
      <c r="F57" s="38"/>
      <c r="G57" s="38"/>
      <c r="H57" s="38"/>
    </row>
    <row r="58" spans="1:11">
      <c r="A58" s="62" t="s">
        <v>200</v>
      </c>
      <c r="B58" s="38"/>
      <c r="C58" s="38"/>
      <c r="D58" s="38"/>
      <c r="E58" s="38"/>
      <c r="F58" s="38"/>
      <c r="G58" s="38"/>
      <c r="H58" s="38"/>
    </row>
    <row r="59" spans="1:11" s="38" customFormat="1">
      <c r="A59" s="62" t="s">
        <v>135</v>
      </c>
    </row>
    <row r="60" spans="1:11" ht="30.75" customHeight="1">
      <c r="A60" s="356" t="s">
        <v>234</v>
      </c>
      <c r="B60" s="356"/>
      <c r="C60" s="356"/>
      <c r="D60" s="356"/>
      <c r="E60" s="356"/>
      <c r="F60" s="356"/>
      <c r="G60" s="356"/>
      <c r="H60" s="356"/>
    </row>
  </sheetData>
  <autoFilter ref="A4:K60" xr:uid="{F18336C7-1E0A-4A0B-A197-04101632EBE5}"/>
  <mergeCells count="2">
    <mergeCell ref="B3:D3"/>
    <mergeCell ref="A60:H60"/>
  </mergeCells>
  <pageMargins left="0.2" right="0.2" top="0.75" bottom="0.25" header="0.3" footer="0.3"/>
  <pageSetup scale="45" orientation="landscape" r:id="rId1"/>
  <headerFooter>
    <oddHeader>&amp;C&amp;F &amp;A&amp;R&amp;"Arial"&amp;10&amp;K000000CONFIDENTIAL</oddHeader>
    <oddFooter>&amp;R&amp;1#&amp;"Calibri"&amp;10&amp;KA80000Internal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AC3BF-DCCF-4090-B203-675F09BD870F}">
  <sheetPr codeName="Sheet21">
    <pageSetUpPr fitToPage="1"/>
  </sheetPr>
  <dimension ref="A1:AI68"/>
  <sheetViews>
    <sheetView zoomScale="85" zoomScaleNormal="85" workbookViewId="0"/>
  </sheetViews>
  <sheetFormatPr defaultColWidth="9.140625" defaultRowHeight="15" outlineLevelCol="1"/>
  <cols>
    <col min="1" max="1" width="37.7109375" style="45" customWidth="1"/>
    <col min="2" max="2" width="12.28515625" style="45" bestFit="1" customWidth="1"/>
    <col min="3" max="3" width="12.42578125" style="45" bestFit="1" customWidth="1"/>
    <col min="4" max="4" width="12.42578125" style="45" hidden="1" customWidth="1" outlineLevel="1"/>
    <col min="5" max="5" width="15.42578125" style="45" customWidth="1" collapsed="1"/>
    <col min="6" max="6" width="15.85546875" style="45" bestFit="1" customWidth="1"/>
    <col min="7" max="7" width="12.28515625" style="45" bestFit="1" customWidth="1"/>
    <col min="8" max="9" width="13.28515625" style="45" bestFit="1" customWidth="1"/>
    <col min="10" max="10" width="12.28515625" style="45" bestFit="1" customWidth="1"/>
    <col min="11" max="11" width="12.5703125" style="45" customWidth="1"/>
    <col min="12" max="12" width="12.85546875" style="45" customWidth="1"/>
    <col min="13" max="13" width="16" style="45" customWidth="1"/>
    <col min="14" max="14" width="15" style="45" bestFit="1" customWidth="1"/>
    <col min="15" max="15" width="16" style="45" bestFit="1" customWidth="1"/>
    <col min="16" max="16" width="15.28515625" style="45" hidden="1" customWidth="1" outlineLevel="1"/>
    <col min="17" max="17" width="17.42578125" style="45" bestFit="1" customWidth="1" collapsed="1"/>
    <col min="18" max="18" width="16.28515625" style="45" bestFit="1" customWidth="1"/>
    <col min="19" max="19" width="15.28515625" style="45" bestFit="1" customWidth="1"/>
    <col min="20" max="20" width="12.42578125" style="45" customWidth="1"/>
    <col min="21" max="22" width="14.28515625" style="45" bestFit="1" customWidth="1"/>
    <col min="23" max="16384" width="9.140625" style="45"/>
  </cols>
  <sheetData>
    <row r="1" spans="1:35">
      <c r="A1" s="62" t="str">
        <f>'PTD Cycle 3'!A1</f>
        <v>Evergy Metro, Inc. - DSIM Rider Update Filed 06/01/2026</v>
      </c>
      <c r="B1" s="3"/>
      <c r="C1" s="3"/>
      <c r="D1" s="3"/>
    </row>
    <row r="2" spans="1:35">
      <c r="E2" s="3" t="s">
        <v>141</v>
      </c>
    </row>
    <row r="3" spans="1:35" ht="30">
      <c r="E3" s="47" t="s">
        <v>40</v>
      </c>
      <c r="F3" s="69" t="s">
        <v>52</v>
      </c>
      <c r="G3" s="47" t="s">
        <v>1</v>
      </c>
      <c r="H3" s="69" t="s">
        <v>49</v>
      </c>
      <c r="I3" s="47" t="s">
        <v>8</v>
      </c>
      <c r="J3" s="47" t="s">
        <v>53</v>
      </c>
      <c r="S3" s="47"/>
    </row>
    <row r="4" spans="1:35">
      <c r="A4" s="19" t="s">
        <v>22</v>
      </c>
      <c r="B4" s="19"/>
      <c r="C4" s="19"/>
      <c r="D4" s="19"/>
      <c r="E4" s="21">
        <f>SUM(C16:M16)</f>
        <v>381154.00254192803</v>
      </c>
      <c r="F4" s="21">
        <f>SUM(C23:L23)</f>
        <v>515874.08999999997</v>
      </c>
      <c r="G4" s="21">
        <f>F4-E4</f>
        <v>134720.08745807194</v>
      </c>
      <c r="H4" s="21">
        <f>+B39</f>
        <v>224240.08978192802</v>
      </c>
      <c r="I4" s="21">
        <f>SUM(C47:L47)</f>
        <v>8900.5400000000009</v>
      </c>
      <c r="J4" s="24">
        <f>SUM(G4:I4)</f>
        <v>367860.71723999997</v>
      </c>
      <c r="K4" s="46">
        <f>+J4-M39</f>
        <v>0</v>
      </c>
      <c r="L4" s="281"/>
      <c r="N4" s="46"/>
    </row>
    <row r="5" spans="1:35">
      <c r="A5" s="19" t="s">
        <v>91</v>
      </c>
      <c r="B5" s="19"/>
      <c r="C5" s="19"/>
      <c r="D5" s="19"/>
      <c r="E5" s="21">
        <f t="shared" ref="E5:E8" si="0">SUM(C17:M17)</f>
        <v>98878.351269999985</v>
      </c>
      <c r="F5" s="21">
        <f t="shared" ref="F5:F8" si="1">SUM(C24:L24)</f>
        <v>126379.59999999999</v>
      </c>
      <c r="G5" s="21">
        <f t="shared" ref="G5:G8" si="2">F5-E5</f>
        <v>27501.248730000007</v>
      </c>
      <c r="H5" s="21">
        <f t="shared" ref="H5:H8" si="3">+B40</f>
        <v>28919.482549999957</v>
      </c>
      <c r="I5" s="21">
        <f t="shared" ref="I5:I8" si="4">SUM(C48:L48)</f>
        <v>1323.1599999999999</v>
      </c>
      <c r="J5" s="24">
        <f t="shared" ref="J5:J8" si="5">SUM(G5:I5)</f>
        <v>57743.891279999967</v>
      </c>
      <c r="K5" s="46">
        <f>+J5-M40</f>
        <v>0</v>
      </c>
      <c r="L5" s="281"/>
      <c r="N5" s="46"/>
    </row>
    <row r="6" spans="1:35">
      <c r="A6" s="19" t="s">
        <v>92</v>
      </c>
      <c r="B6" s="19"/>
      <c r="C6" s="19"/>
      <c r="D6" s="19"/>
      <c r="E6" s="21">
        <f t="shared" si="0"/>
        <v>143237.21815999999</v>
      </c>
      <c r="F6" s="21">
        <f t="shared" si="1"/>
        <v>200552.74000000002</v>
      </c>
      <c r="G6" s="21">
        <f t="shared" si="2"/>
        <v>57315.52184000003</v>
      </c>
      <c r="H6" s="21">
        <f t="shared" si="3"/>
        <v>76146.271840000001</v>
      </c>
      <c r="I6" s="21">
        <f t="shared" si="4"/>
        <v>3234.3199999999997</v>
      </c>
      <c r="J6" s="24">
        <f t="shared" si="5"/>
        <v>136696.11368000004</v>
      </c>
      <c r="K6" s="46">
        <f>+J6-M41</f>
        <v>0</v>
      </c>
      <c r="L6" s="281"/>
      <c r="N6" s="46"/>
    </row>
    <row r="7" spans="1:35">
      <c r="A7" s="19" t="s">
        <v>93</v>
      </c>
      <c r="B7" s="19"/>
      <c r="C7" s="19"/>
      <c r="D7" s="19"/>
      <c r="E7" s="21">
        <f t="shared" si="0"/>
        <v>149925.73550000001</v>
      </c>
      <c r="F7" s="21">
        <f t="shared" si="1"/>
        <v>158415.84000000003</v>
      </c>
      <c r="G7" s="21">
        <f t="shared" si="2"/>
        <v>8490.1045000000158</v>
      </c>
      <c r="H7" s="21">
        <f t="shared" si="3"/>
        <v>135283.29840000015</v>
      </c>
      <c r="I7" s="21">
        <f t="shared" si="4"/>
        <v>4077.08</v>
      </c>
      <c r="J7" s="24">
        <f t="shared" si="5"/>
        <v>147850.48290000015</v>
      </c>
      <c r="K7" s="46">
        <f>+J7-M42</f>
        <v>0</v>
      </c>
      <c r="L7" s="281"/>
      <c r="N7" s="46"/>
    </row>
    <row r="8" spans="1:35" ht="15.75" thickBot="1">
      <c r="A8" s="19" t="s">
        <v>94</v>
      </c>
      <c r="B8" s="19"/>
      <c r="C8" s="19"/>
      <c r="D8" s="19"/>
      <c r="E8" s="21">
        <f t="shared" si="0"/>
        <v>31558.030850000003</v>
      </c>
      <c r="F8" s="21">
        <f t="shared" si="1"/>
        <v>29430.879999999997</v>
      </c>
      <c r="G8" s="21">
        <f t="shared" si="2"/>
        <v>-2127.1508500000054</v>
      </c>
      <c r="H8" s="21">
        <f t="shared" si="3"/>
        <v>50277.576740000019</v>
      </c>
      <c r="I8" s="21">
        <f t="shared" si="4"/>
        <v>1432.62</v>
      </c>
      <c r="J8" s="24">
        <f t="shared" si="5"/>
        <v>49583.045890000016</v>
      </c>
      <c r="K8" s="46">
        <f>+J8-M43</f>
        <v>0</v>
      </c>
      <c r="L8" s="281"/>
      <c r="N8" s="46"/>
    </row>
    <row r="9" spans="1:35" ht="16.5" thickTop="1" thickBot="1">
      <c r="E9" s="26">
        <f t="shared" ref="E9:J9" si="6">SUM(E4:E8)</f>
        <v>804753.33832192793</v>
      </c>
      <c r="F9" s="26">
        <f t="shared" si="6"/>
        <v>1030653.15</v>
      </c>
      <c r="G9" s="26">
        <f t="shared" si="6"/>
        <v>225899.81167807197</v>
      </c>
      <c r="H9" s="26">
        <f t="shared" si="6"/>
        <v>514866.71931192814</v>
      </c>
      <c r="I9" s="26">
        <f t="shared" si="6"/>
        <v>18967.719999999998</v>
      </c>
      <c r="J9" s="26">
        <f t="shared" si="6"/>
        <v>759734.2509900002</v>
      </c>
      <c r="T9" s="5"/>
    </row>
    <row r="10" spans="1:35" ht="16.5" thickTop="1" thickBot="1">
      <c r="C10" s="38"/>
      <c r="V10" s="4"/>
      <c r="W10" s="5"/>
    </row>
    <row r="11" spans="1:35" ht="120.75" thickBot="1">
      <c r="B11" s="111" t="str">
        <f>'PCR Cycle 4'!B$11</f>
        <v>Cumulative Over/Under Carryover From 12/01/2025 Filing</v>
      </c>
      <c r="C11" s="244" t="str">
        <f>'PCR Cycle 4'!C$11</f>
        <v>Reverse November 2025 - January 2026 Forecast From 12/01/2025 Filing</v>
      </c>
      <c r="D11" s="303"/>
      <c r="E11" s="362" t="s">
        <v>28</v>
      </c>
      <c r="F11" s="362"/>
      <c r="G11" s="363"/>
      <c r="H11" s="372" t="s">
        <v>28</v>
      </c>
      <c r="I11" s="373"/>
      <c r="J11" s="374"/>
      <c r="K11" s="357" t="s">
        <v>6</v>
      </c>
      <c r="L11" s="358"/>
      <c r="M11" s="359"/>
      <c r="P11" s="260" t="s">
        <v>177</v>
      </c>
    </row>
    <row r="12" spans="1:35">
      <c r="A12" s="45" t="s">
        <v>75</v>
      </c>
      <c r="C12" s="322"/>
      <c r="D12" s="320"/>
      <c r="E12" s="321">
        <f>+'PCR Cycle 4'!E$12</f>
        <v>45991</v>
      </c>
      <c r="F12" s="321">
        <f>+'PCR Cycle 4'!F$12</f>
        <v>46022</v>
      </c>
      <c r="G12" s="321">
        <f>+'PCR Cycle 4'!G$12</f>
        <v>46053</v>
      </c>
      <c r="H12" s="322">
        <f>+'PCR Cycle 4'!H$12</f>
        <v>46081</v>
      </c>
      <c r="I12" s="321">
        <f>+'PCR Cycle 4'!I$12</f>
        <v>46112</v>
      </c>
      <c r="J12" s="323">
        <f>+'PCR Cycle 4'!J$12</f>
        <v>46142</v>
      </c>
      <c r="K12" s="321">
        <f>+'PCR Cycle 4'!K$12</f>
        <v>46173</v>
      </c>
      <c r="L12" s="321">
        <f>+'PCR Cycle 4'!L$12</f>
        <v>46203</v>
      </c>
      <c r="M12" s="324">
        <f>+'PCR Cycle 4'!M$12</f>
        <v>46234</v>
      </c>
      <c r="P12" s="177"/>
      <c r="Z12" s="1"/>
      <c r="AA12" s="1"/>
      <c r="AB12" s="1"/>
      <c r="AC12" s="1"/>
      <c r="AD12" s="1"/>
      <c r="AE12" s="1"/>
      <c r="AF12" s="1"/>
      <c r="AG12" s="1"/>
      <c r="AH12" s="1"/>
      <c r="AI12" s="1"/>
    </row>
    <row r="13" spans="1:35">
      <c r="A13" s="45" t="s">
        <v>3</v>
      </c>
      <c r="C13" s="95">
        <v>-343488.30000000005</v>
      </c>
      <c r="D13" s="95"/>
      <c r="E13" s="105">
        <f t="shared" ref="E13:L13" si="7">SUM(E23:E27)</f>
        <v>171744.15000000002</v>
      </c>
      <c r="F13" s="105">
        <f t="shared" si="7"/>
        <v>171744.15000000002</v>
      </c>
      <c r="G13" s="106">
        <f t="shared" si="7"/>
        <v>171744.15000000002</v>
      </c>
      <c r="H13" s="15">
        <f t="shared" si="7"/>
        <v>171781.8</v>
      </c>
      <c r="I13" s="54">
        <f t="shared" si="7"/>
        <v>171781.8</v>
      </c>
      <c r="J13" s="156">
        <f t="shared" si="7"/>
        <v>171781.8</v>
      </c>
      <c r="K13" s="149">
        <f t="shared" si="7"/>
        <v>171781.8</v>
      </c>
      <c r="L13" s="76">
        <f t="shared" si="7"/>
        <v>171781.8</v>
      </c>
      <c r="M13" s="77"/>
      <c r="P13" s="177">
        <f>-SUM(K13:M13)</f>
        <v>-343563.6</v>
      </c>
    </row>
    <row r="14" spans="1:35">
      <c r="C14" s="97"/>
      <c r="D14" s="97"/>
      <c r="E14" s="16"/>
      <c r="F14" s="16"/>
      <c r="G14" s="16"/>
      <c r="H14" s="9"/>
      <c r="I14" s="16"/>
      <c r="J14" s="10"/>
      <c r="K14" s="30"/>
      <c r="L14" s="30"/>
      <c r="M14" s="28"/>
      <c r="P14" s="177"/>
    </row>
    <row r="15" spans="1:35">
      <c r="A15" s="45" t="s">
        <v>76</v>
      </c>
      <c r="C15" s="97"/>
      <c r="D15" s="97"/>
      <c r="E15" s="236"/>
      <c r="F15" s="236"/>
      <c r="G15" s="236"/>
      <c r="H15" s="99"/>
      <c r="I15" s="236"/>
      <c r="J15" s="345"/>
      <c r="K15" s="30"/>
      <c r="L15" s="30"/>
      <c r="M15" s="28"/>
      <c r="N15" s="62" t="s">
        <v>44</v>
      </c>
      <c r="O15" s="38"/>
      <c r="P15" s="177"/>
    </row>
    <row r="16" spans="1:35">
      <c r="A16" s="45" t="s">
        <v>22</v>
      </c>
      <c r="C16" s="327">
        <v>-370866.84021807194</v>
      </c>
      <c r="D16" s="95"/>
      <c r="E16" s="128">
        <f>'[4]EMM Nov25'!$G137</f>
        <v>87877.47</v>
      </c>
      <c r="F16" s="128">
        <f>'[4]EMM Dec25'!$G137</f>
        <v>123457.07</v>
      </c>
      <c r="G16" s="128">
        <f>'[4]EMM Jan26'!$G137</f>
        <v>132460</v>
      </c>
      <c r="H16" s="174">
        <f>'[4]EMM Feb26'!$G137</f>
        <v>119989.14</v>
      </c>
      <c r="I16" s="114">
        <f>'[4]EMM Mar26'!$G137</f>
        <v>54422.01</v>
      </c>
      <c r="J16" s="158">
        <f>'[4]EMM Apr26'!$G137</f>
        <v>47087.39</v>
      </c>
      <c r="K16" s="116">
        <f>'PCR Cycle 4'!K22*$N16</f>
        <v>43650.710040000005</v>
      </c>
      <c r="L16" s="40">
        <f>'PCR Cycle 4'!L22*$N16</f>
        <v>58884.716520000009</v>
      </c>
      <c r="M16" s="60">
        <f>'PCR Cycle 4'!M22*$N16</f>
        <v>84192.336200000005</v>
      </c>
      <c r="N16" s="71">
        <v>2.8000000000000003E-4</v>
      </c>
      <c r="O16" s="4"/>
      <c r="P16" s="177">
        <f t="shared" ref="P16:P20" si="8">-SUM(K16:M16)</f>
        <v>-186727.76276000001</v>
      </c>
    </row>
    <row r="17" spans="1:16">
      <c r="A17" s="45" t="s">
        <v>114</v>
      </c>
      <c r="C17" s="327">
        <v>-72165.087450000021</v>
      </c>
      <c r="D17" s="95"/>
      <c r="E17" s="128">
        <f>'[4]EMM Nov25'!$G138</f>
        <v>22868.550000000003</v>
      </c>
      <c r="F17" s="128">
        <f>'[4]EMM Dec25'!$G138</f>
        <v>27133.85</v>
      </c>
      <c r="G17" s="128">
        <f>'[4]EMM Jan26'!$G138</f>
        <v>27160.71</v>
      </c>
      <c r="H17" s="174">
        <f>'[4]EMM Feb26'!$G138</f>
        <v>23950.920000000002</v>
      </c>
      <c r="I17" s="114">
        <f>'[4]EMM Mar26'!$G138</f>
        <v>12773.039999999999</v>
      </c>
      <c r="J17" s="158">
        <f>'[4]EMM Apr26'!$G138</f>
        <v>11601.95</v>
      </c>
      <c r="K17" s="116">
        <f>'PCR Cycle 4'!K23*$N17</f>
        <v>13684.197120000001</v>
      </c>
      <c r="L17" s="40">
        <f>'PCR Cycle 4'!L23*$N17</f>
        <v>15086.885040000001</v>
      </c>
      <c r="M17" s="60">
        <f>'PCR Cycle 4'!M23*$N17</f>
        <v>16783.33656</v>
      </c>
      <c r="N17" s="71">
        <v>2.4000000000000001E-4</v>
      </c>
      <c r="O17" s="4"/>
      <c r="P17" s="177">
        <f t="shared" si="8"/>
        <v>-45554.418720000001</v>
      </c>
    </row>
    <row r="18" spans="1:16">
      <c r="A18" s="45" t="s">
        <v>115</v>
      </c>
      <c r="C18" s="327">
        <v>-129068.82816000003</v>
      </c>
      <c r="D18" s="95"/>
      <c r="E18" s="128">
        <f>'[4]EMM Nov25'!$G139</f>
        <v>37645.040000000001</v>
      </c>
      <c r="F18" s="128">
        <f>'[4]EMM Dec25'!$G139</f>
        <v>43035.82</v>
      </c>
      <c r="G18" s="128">
        <f>'[4]EMM Jan26'!$G139</f>
        <v>42833.31</v>
      </c>
      <c r="H18" s="174">
        <f>'[4]EMM Feb26'!$G139</f>
        <v>37227.74</v>
      </c>
      <c r="I18" s="114">
        <f>'[4]EMM Mar26'!$G139</f>
        <v>18779.62</v>
      </c>
      <c r="J18" s="158">
        <f>'[4]EMM Apr26'!$G139</f>
        <v>18336.77</v>
      </c>
      <c r="K18" s="116">
        <f>'PCR Cycle 4'!K24*$N18</f>
        <v>22363.530480000001</v>
      </c>
      <c r="L18" s="40">
        <f>'PCR Cycle 4'!L24*$N18</f>
        <v>24655.886880000002</v>
      </c>
      <c r="M18" s="60">
        <f>'PCR Cycle 4'!M24*$N18</f>
        <v>27428.328959999999</v>
      </c>
      <c r="N18" s="71">
        <v>2.4000000000000001E-4</v>
      </c>
      <c r="O18" s="4"/>
      <c r="P18" s="177">
        <f t="shared" si="8"/>
        <v>-74447.746320000006</v>
      </c>
    </row>
    <row r="19" spans="1:16">
      <c r="A19" s="45" t="s">
        <v>116</v>
      </c>
      <c r="C19" s="327">
        <v>-134510.3616</v>
      </c>
      <c r="D19" s="95"/>
      <c r="E19" s="128">
        <f>'[4]EMM Nov25'!$G140</f>
        <v>39817.07</v>
      </c>
      <c r="F19" s="128">
        <f>'[4]EMM Dec25'!$G140</f>
        <v>46072.78</v>
      </c>
      <c r="G19" s="128">
        <f>'[4]EMM Jan26'!$G140</f>
        <v>43864.78</v>
      </c>
      <c r="H19" s="174">
        <f>'[4]EMM Feb26'!$G140</f>
        <v>37159.18</v>
      </c>
      <c r="I19" s="114">
        <f>'[4]EMM Mar26'!$G140</f>
        <v>21644.5</v>
      </c>
      <c r="J19" s="158">
        <f>'[4]EMM Apr26'!$G140</f>
        <v>19871.150000000001</v>
      </c>
      <c r="K19" s="116">
        <f>'PCR Cycle 4'!K25*$N19</f>
        <v>22831.809300000001</v>
      </c>
      <c r="L19" s="40">
        <f>'PCR Cycle 4'!L25*$N19</f>
        <v>25172.166300000001</v>
      </c>
      <c r="M19" s="60">
        <f>'PCR Cycle 4'!M25*$N19</f>
        <v>28002.661500000002</v>
      </c>
      <c r="N19" s="71">
        <v>1.5000000000000001E-4</v>
      </c>
      <c r="O19" s="4"/>
      <c r="P19" s="177">
        <f t="shared" si="8"/>
        <v>-76006.637100000007</v>
      </c>
    </row>
    <row r="20" spans="1:16">
      <c r="A20" s="45" t="s">
        <v>117</v>
      </c>
      <c r="C20" s="327">
        <v>-34882.393259999997</v>
      </c>
      <c r="D20" s="95"/>
      <c r="E20" s="128">
        <f>'[4]EMM Nov25'!$G141</f>
        <v>11446.27</v>
      </c>
      <c r="F20" s="128">
        <f>'[4]EMM Dec25'!$G141</f>
        <v>11715.24</v>
      </c>
      <c r="G20" s="128">
        <f>'[4]EMM Jan26'!$G141</f>
        <v>7364.79</v>
      </c>
      <c r="H20" s="174">
        <f>'[4]EMM Feb26'!$G141</f>
        <v>5625.2</v>
      </c>
      <c r="I20" s="114">
        <f>'[4]EMM Mar26'!$G141</f>
        <v>3892.69</v>
      </c>
      <c r="J20" s="158">
        <f>'[4]EMM Apr26'!$G141</f>
        <v>6460.15</v>
      </c>
      <c r="K20" s="116">
        <f>'PCR Cycle 4'!K26*$N20</f>
        <v>5988.6462700000002</v>
      </c>
      <c r="L20" s="40">
        <f>'PCR Cycle 4'!L26*$N20</f>
        <v>6602.5079400000004</v>
      </c>
      <c r="M20" s="60">
        <f>'PCR Cycle 4'!M26*$N20</f>
        <v>7344.9299000000001</v>
      </c>
      <c r="N20" s="71">
        <v>1.7000000000000001E-4</v>
      </c>
      <c r="O20" s="4"/>
      <c r="P20" s="177">
        <f t="shared" si="8"/>
        <v>-19936.08411</v>
      </c>
    </row>
    <row r="21" spans="1:16">
      <c r="C21" s="66"/>
      <c r="D21" s="66"/>
      <c r="E21" s="67"/>
      <c r="F21" s="67"/>
      <c r="G21" s="67"/>
      <c r="H21" s="66"/>
      <c r="I21" s="67"/>
      <c r="J21" s="159"/>
      <c r="K21" s="55"/>
      <c r="L21" s="55"/>
      <c r="M21" s="12"/>
      <c r="O21" s="4"/>
    </row>
    <row r="22" spans="1:16">
      <c r="A22" s="45" t="s">
        <v>77</v>
      </c>
      <c r="C22" s="35"/>
      <c r="D22" s="35"/>
      <c r="E22" s="36"/>
      <c r="F22" s="36"/>
      <c r="G22" s="36"/>
      <c r="H22" s="35"/>
      <c r="I22" s="36"/>
      <c r="J22" s="162"/>
      <c r="K22" s="51"/>
      <c r="L22" s="51"/>
      <c r="M22" s="37"/>
      <c r="O22" s="4"/>
    </row>
    <row r="23" spans="1:16">
      <c r="A23" s="45" t="s">
        <v>22</v>
      </c>
      <c r="C23" s="327">
        <v>-171887.68</v>
      </c>
      <c r="D23" s="95"/>
      <c r="E23" s="128">
        <f>ROUND(+'EO Cycle 3'!$F103/12+'EO Cycle 3'!$F115/12+'EO Cycle 3'!$F163/12,2)</f>
        <v>85943.84</v>
      </c>
      <c r="F23" s="128">
        <f>ROUND(+'EO Cycle 3'!$F103/12+'EO Cycle 3'!$F115/12+'EO Cycle 3'!$F163/12,2)</f>
        <v>85943.84</v>
      </c>
      <c r="G23" s="128">
        <f>ROUND(+'EO Cycle 3'!$F103/12+'EO Cycle 3'!$F115/12+'EO Cycle 3'!$F163/12,2)</f>
        <v>85943.84</v>
      </c>
      <c r="H23" s="174">
        <f>ROUND(+'EO Cycle 3'!$F115/12+'EO Cycle 3'!$F163/12+'EO Cycle 3'!$F127/12+'EO Cycle 3'!$F175/12,2)</f>
        <v>85986.05</v>
      </c>
      <c r="I23" s="114">
        <f>ROUND(+'EO Cycle 3'!$F115/12+'EO Cycle 3'!$F163/12+'EO Cycle 3'!$F127/12+'EO Cycle 3'!$F175/12,2)</f>
        <v>85986.05</v>
      </c>
      <c r="J23" s="158">
        <f>ROUND(+'EO Cycle 3'!$F115/12+'EO Cycle 3'!$F163/12+'EO Cycle 3'!$F127/12+'EO Cycle 3'!$F175/12,2)</f>
        <v>85986.05</v>
      </c>
      <c r="K23" s="135">
        <f>ROUND(+'EO Cycle 3'!$F115/12+'EO Cycle 3'!$F163/12+'EO Cycle 3'!$F127/12+'EO Cycle 3'!$F175/12,2)</f>
        <v>85986.05</v>
      </c>
      <c r="L23" s="135">
        <f>ROUND(+'EO Cycle 3'!$F115/12+'EO Cycle 3'!$F163/12+'EO Cycle 3'!$F127/12+'EO Cycle 3'!$F175/12,2)</f>
        <v>85986.05</v>
      </c>
      <c r="M23" s="77"/>
      <c r="O23" s="4"/>
      <c r="P23" s="177">
        <f t="shared" ref="P23:P29" si="9">-SUM(K23:M23)</f>
        <v>-171972.1</v>
      </c>
    </row>
    <row r="24" spans="1:16">
      <c r="A24" s="45" t="s">
        <v>114</v>
      </c>
      <c r="C24" s="327">
        <v>-42126.1</v>
      </c>
      <c r="D24" s="95"/>
      <c r="E24" s="128">
        <f>ROUND(+'EO Cycle 3'!$F107/12+'EO Cycle 3'!$F119/12+'EO Cycle 3'!$F167/12,2)</f>
        <v>21063.05</v>
      </c>
      <c r="F24" s="128">
        <f>ROUND(+'EO Cycle 3'!$F107/12+'EO Cycle 3'!$F119/12+'EO Cycle 3'!$F167/12,2)</f>
        <v>21063.05</v>
      </c>
      <c r="G24" s="128">
        <f>ROUND(+'EO Cycle 3'!$F107/12+'EO Cycle 3'!$F119/12+'EO Cycle 3'!$F167/12,2)</f>
        <v>21063.05</v>
      </c>
      <c r="H24" s="174">
        <f>ROUND(+'EO Cycle 3'!$F119/12+'EO Cycle 3'!$F167/12+'EO Cycle 3'!$F131/12+'EO Cycle 3'!$F179/12,2)</f>
        <v>21063.31</v>
      </c>
      <c r="I24" s="114">
        <f>ROUND(+'EO Cycle 3'!$F119/12+'EO Cycle 3'!$F167/12+'EO Cycle 3'!$F131/12+'EO Cycle 3'!$F179/12,2)</f>
        <v>21063.31</v>
      </c>
      <c r="J24" s="158">
        <f>ROUND(+'EO Cycle 3'!$F119/12+'EO Cycle 3'!$F167/12+'EO Cycle 3'!$F131/12+'EO Cycle 3'!$F179/12,2)</f>
        <v>21063.31</v>
      </c>
      <c r="K24" s="135">
        <f>ROUND(+'EO Cycle 3'!$F119/12+'EO Cycle 3'!$F167/12+'EO Cycle 3'!$F131/12+'EO Cycle 3'!$F179/12,2)</f>
        <v>21063.31</v>
      </c>
      <c r="L24" s="135">
        <f>ROUND(+'EO Cycle 3'!$F119/12+'EO Cycle 3'!$F167/12+'EO Cycle 3'!$F131/12+'EO Cycle 3'!$F179/12,2)</f>
        <v>21063.31</v>
      </c>
      <c r="M24" s="77"/>
      <c r="O24" s="4"/>
      <c r="P24" s="177">
        <f t="shared" si="9"/>
        <v>-42126.62</v>
      </c>
    </row>
    <row r="25" spans="1:16">
      <c r="A25" s="45" t="s">
        <v>115</v>
      </c>
      <c r="C25" s="327">
        <v>-66904.479999999996</v>
      </c>
      <c r="D25" s="95"/>
      <c r="E25" s="128">
        <f>ROUND(+'EO Cycle 3'!$F108/12+'EO Cycle 3'!$F120/12+'EO Cycle 3'!$F168/12,2)</f>
        <v>33452.239999999998</v>
      </c>
      <c r="F25" s="128">
        <f>ROUND(+'EO Cycle 3'!$F108/12+'EO Cycle 3'!$F120/12+'EO Cycle 3'!$F168/12,2)</f>
        <v>33452.239999999998</v>
      </c>
      <c r="G25" s="128">
        <f>ROUND(+'EO Cycle 3'!$F108/12+'EO Cycle 3'!$F120/12+'EO Cycle 3'!$F168/12,2)</f>
        <v>33452.239999999998</v>
      </c>
      <c r="H25" s="174">
        <f>ROUND(+'EO Cycle 3'!$F120/12+'EO Cycle 3'!$F168/12+'EO Cycle 3'!$F132/12+'EO Cycle 3'!$F180/12,2)</f>
        <v>33420.1</v>
      </c>
      <c r="I25" s="114">
        <f>ROUND(+'EO Cycle 3'!$F120/12+'EO Cycle 3'!$F168/12+'EO Cycle 3'!$F132/12+'EO Cycle 3'!$F180/12,2)</f>
        <v>33420.1</v>
      </c>
      <c r="J25" s="158">
        <f>ROUND(+'EO Cycle 3'!$F120/12+'EO Cycle 3'!$F168/12+'EO Cycle 3'!$F132/12+'EO Cycle 3'!$F180/12,2)</f>
        <v>33420.1</v>
      </c>
      <c r="K25" s="135">
        <f>ROUND(+'EO Cycle 3'!$F120/12+'EO Cycle 3'!$F168/12+'EO Cycle 3'!$F132/12+'EO Cycle 3'!$F180/12,2)</f>
        <v>33420.1</v>
      </c>
      <c r="L25" s="135">
        <f>ROUND(+'EO Cycle 3'!$F120/12+'EO Cycle 3'!$F168/12+'EO Cycle 3'!$F132/12+'EO Cycle 3'!$F180/12,2)</f>
        <v>33420.1</v>
      </c>
      <c r="M25" s="77"/>
      <c r="O25" s="4"/>
      <c r="P25" s="177">
        <f t="shared" si="9"/>
        <v>-66840.2</v>
      </c>
    </row>
    <row r="26" spans="1:16">
      <c r="A26" s="45" t="s">
        <v>116</v>
      </c>
      <c r="C26" s="327">
        <v>-52776.28</v>
      </c>
      <c r="D26" s="95"/>
      <c r="E26" s="128">
        <f>ROUND(+'EO Cycle 3'!$F109/12+'EO Cycle 3'!$F121/12+'EO Cycle 3'!$F169/12,2)</f>
        <v>26388.14</v>
      </c>
      <c r="F26" s="128">
        <f>ROUND(+'EO Cycle 3'!$F109/12+'EO Cycle 3'!$F121/12+'EO Cycle 3'!$F169/12,2)</f>
        <v>26388.14</v>
      </c>
      <c r="G26" s="128">
        <f>ROUND(+'EO Cycle 3'!$F109/12+'EO Cycle 3'!$F121/12+'EO Cycle 3'!$F169/12,2)</f>
        <v>26388.14</v>
      </c>
      <c r="H26" s="174">
        <f>ROUND(+'EO Cycle 3'!$F121/12+'EO Cycle 3'!$F169/12+'EO Cycle 3'!$F133/12+'EO Cycle 3'!$F181/12,2)</f>
        <v>26405.54</v>
      </c>
      <c r="I26" s="114">
        <f>ROUND(+'EO Cycle 3'!$F121/12+'EO Cycle 3'!$F169/12+'EO Cycle 3'!$F133/12+'EO Cycle 3'!$F181/12,2)</f>
        <v>26405.54</v>
      </c>
      <c r="J26" s="158">
        <f>ROUND(+'EO Cycle 3'!$F121/12+'EO Cycle 3'!$F169/12+'EO Cycle 3'!$F133/12+'EO Cycle 3'!$F181/12,2)</f>
        <v>26405.54</v>
      </c>
      <c r="K26" s="135">
        <f>ROUND(+'EO Cycle 3'!$F121/12+'EO Cycle 3'!$F169/12+'EO Cycle 3'!$F133/12+'EO Cycle 3'!$F181/12,2)</f>
        <v>26405.54</v>
      </c>
      <c r="L26" s="135">
        <f>ROUND(+'EO Cycle 3'!$F121/12+'EO Cycle 3'!$F169/12+'EO Cycle 3'!$F133/12+'EO Cycle 3'!$F181/12,2)</f>
        <v>26405.54</v>
      </c>
      <c r="M26" s="77"/>
      <c r="O26" s="4"/>
      <c r="P26" s="177">
        <f t="shared" si="9"/>
        <v>-52811.08</v>
      </c>
    </row>
    <row r="27" spans="1:16">
      <c r="A27" s="45" t="s">
        <v>117</v>
      </c>
      <c r="C27" s="327">
        <v>-9793.76</v>
      </c>
      <c r="D27" s="95"/>
      <c r="E27" s="128">
        <f>ROUND(+'EO Cycle 3'!$F110/12+'EO Cycle 3'!$F122/12+'EO Cycle 3'!$F170/12,2)</f>
        <v>4896.88</v>
      </c>
      <c r="F27" s="128">
        <f>ROUND(+'EO Cycle 3'!$F110/12+'EO Cycle 3'!$F122/12+'EO Cycle 3'!$F170/12,2)</f>
        <v>4896.88</v>
      </c>
      <c r="G27" s="128">
        <f>ROUND(+'EO Cycle 3'!$F110/12+'EO Cycle 3'!$F122/12+'EO Cycle 3'!$F170/12,2)</f>
        <v>4896.88</v>
      </c>
      <c r="H27" s="174">
        <f>ROUND(+'EO Cycle 3'!$F122/12+'EO Cycle 3'!$F170/12+'EO Cycle 3'!$F134/12+'EO Cycle 3'!$F182/12,2)</f>
        <v>4906.8</v>
      </c>
      <c r="I27" s="114">
        <f>ROUND(+'EO Cycle 3'!$F122/12+'EO Cycle 3'!$F170/12+'EO Cycle 3'!$F134/12+'EO Cycle 3'!$F182/12,2)</f>
        <v>4906.8</v>
      </c>
      <c r="J27" s="158">
        <f>ROUND(+'EO Cycle 3'!$F122/12+'EO Cycle 3'!$F170/12+'EO Cycle 3'!$F134/12+'EO Cycle 3'!$F182/12,2)</f>
        <v>4906.8</v>
      </c>
      <c r="K27" s="135">
        <f>ROUND(+'EO Cycle 3'!$F122/12+'EO Cycle 3'!$F170/12+'EO Cycle 3'!$F134/12+'EO Cycle 3'!$F182/12,2)</f>
        <v>4906.8</v>
      </c>
      <c r="L27" s="135">
        <f>ROUND(+'EO Cycle 3'!$F122/12+'EO Cycle 3'!$F170/12+'EO Cycle 3'!$F134/12+'EO Cycle 3'!$F182/12,2)</f>
        <v>4906.8</v>
      </c>
      <c r="M27" s="77"/>
      <c r="O27" s="4"/>
      <c r="P27" s="177">
        <f t="shared" si="9"/>
        <v>-9813.6</v>
      </c>
    </row>
    <row r="28" spans="1:16">
      <c r="C28" s="35"/>
      <c r="D28" s="35"/>
      <c r="E28" s="300"/>
      <c r="F28" s="300"/>
      <c r="G28" s="300"/>
      <c r="H28" s="301"/>
      <c r="I28" s="300"/>
      <c r="J28" s="302"/>
      <c r="K28" s="51"/>
      <c r="L28" s="51"/>
      <c r="M28" s="12"/>
    </row>
    <row r="29" spans="1:16" ht="15.75" thickBot="1">
      <c r="A29" s="3" t="s">
        <v>12</v>
      </c>
      <c r="B29" s="3"/>
      <c r="C29" s="329">
        <v>-7535.52</v>
      </c>
      <c r="D29" s="100"/>
      <c r="E29" s="128">
        <f>3857.62+0.01</f>
        <v>3857.63</v>
      </c>
      <c r="F29" s="128">
        <f>3489.5-0.01</f>
        <v>3489.49</v>
      </c>
      <c r="G29" s="129">
        <f>3119.95+0.01</f>
        <v>3119.96</v>
      </c>
      <c r="H29" s="25">
        <v>2854.94</v>
      </c>
      <c r="I29" s="115">
        <v>2942.9900000000002</v>
      </c>
      <c r="J29" s="163">
        <f>3150.06-0.01</f>
        <v>3150.0499999999997</v>
      </c>
      <c r="K29" s="152">
        <f>ROUND((SUM(J39:J43)+SUM(J47:J51)+SUM(K32:K36)/2)*K$45,2)</f>
        <v>3430.7</v>
      </c>
      <c r="L29" s="137">
        <f>ROUND((SUM(K39:K43)+SUM(K47:K51)+SUM(L32:L36)/2)*L$45,2)</f>
        <v>3657.49</v>
      </c>
      <c r="M29" s="80"/>
      <c r="P29" s="177">
        <f t="shared" si="9"/>
        <v>-7088.19</v>
      </c>
    </row>
    <row r="30" spans="1:16">
      <c r="C30" s="63"/>
      <c r="D30" s="63"/>
      <c r="E30" s="140"/>
      <c r="F30" s="140"/>
      <c r="G30" s="141"/>
      <c r="H30" s="63"/>
      <c r="I30" s="32"/>
      <c r="J30" s="164"/>
      <c r="K30" s="33"/>
      <c r="L30" s="33"/>
      <c r="M30" s="59"/>
    </row>
    <row r="31" spans="1:16">
      <c r="A31" s="45" t="s">
        <v>46</v>
      </c>
      <c r="C31" s="64"/>
      <c r="D31" s="64"/>
      <c r="E31" s="141"/>
      <c r="F31" s="141"/>
      <c r="G31" s="141"/>
      <c r="H31" s="64"/>
      <c r="I31" s="34"/>
      <c r="J31" s="165"/>
      <c r="K31" s="33"/>
      <c r="L31" s="33"/>
      <c r="M31" s="59"/>
    </row>
    <row r="32" spans="1:16">
      <c r="A32" s="45" t="s">
        <v>22</v>
      </c>
      <c r="C32" s="98">
        <f t="shared" ref="C32:M36" si="10">C23-C16</f>
        <v>198979.16021807195</v>
      </c>
      <c r="D32" s="98"/>
      <c r="E32" s="40">
        <f t="shared" si="10"/>
        <v>-1933.6300000000047</v>
      </c>
      <c r="F32" s="40">
        <f t="shared" si="10"/>
        <v>-37513.23000000001</v>
      </c>
      <c r="G32" s="104">
        <f t="shared" si="10"/>
        <v>-46516.160000000003</v>
      </c>
      <c r="H32" s="39">
        <f t="shared" si="10"/>
        <v>-34003.089999999997</v>
      </c>
      <c r="I32" s="40">
        <f t="shared" si="10"/>
        <v>31564.04</v>
      </c>
      <c r="J32" s="60">
        <f t="shared" si="10"/>
        <v>38898.660000000003</v>
      </c>
      <c r="K32" s="116">
        <f t="shared" si="10"/>
        <v>42335.339959999998</v>
      </c>
      <c r="L32" s="40">
        <f t="shared" si="10"/>
        <v>27101.333479999994</v>
      </c>
      <c r="M32" s="60">
        <f t="shared" si="10"/>
        <v>-84192.336200000005</v>
      </c>
    </row>
    <row r="33" spans="1:16">
      <c r="A33" s="45" t="s">
        <v>114</v>
      </c>
      <c r="C33" s="98">
        <f t="shared" si="10"/>
        <v>30038.987450000022</v>
      </c>
      <c r="D33" s="98"/>
      <c r="E33" s="40">
        <f t="shared" si="10"/>
        <v>-1805.5000000000036</v>
      </c>
      <c r="F33" s="40">
        <f t="shared" si="10"/>
        <v>-6070.7999999999993</v>
      </c>
      <c r="G33" s="104">
        <f t="shared" si="10"/>
        <v>-6097.66</v>
      </c>
      <c r="H33" s="39">
        <f t="shared" si="10"/>
        <v>-2887.6100000000006</v>
      </c>
      <c r="I33" s="40">
        <f t="shared" si="10"/>
        <v>8290.2700000000023</v>
      </c>
      <c r="J33" s="60">
        <f t="shared" si="10"/>
        <v>9461.36</v>
      </c>
      <c r="K33" s="116">
        <f t="shared" si="10"/>
        <v>7379.1128800000006</v>
      </c>
      <c r="L33" s="40">
        <f t="shared" si="10"/>
        <v>5976.4249600000003</v>
      </c>
      <c r="M33" s="60">
        <f t="shared" si="10"/>
        <v>-16783.33656</v>
      </c>
    </row>
    <row r="34" spans="1:16">
      <c r="A34" s="45" t="s">
        <v>115</v>
      </c>
      <c r="C34" s="98">
        <f t="shared" si="10"/>
        <v>62164.348160000038</v>
      </c>
      <c r="D34" s="98"/>
      <c r="E34" s="40">
        <f t="shared" si="10"/>
        <v>-4192.8000000000029</v>
      </c>
      <c r="F34" s="40">
        <f t="shared" si="10"/>
        <v>-9583.5800000000017</v>
      </c>
      <c r="G34" s="104">
        <f t="shared" si="10"/>
        <v>-9381.07</v>
      </c>
      <c r="H34" s="39">
        <f t="shared" si="10"/>
        <v>-3807.6399999999994</v>
      </c>
      <c r="I34" s="40">
        <f t="shared" si="10"/>
        <v>14640.48</v>
      </c>
      <c r="J34" s="60">
        <f t="shared" si="10"/>
        <v>15083.329999999998</v>
      </c>
      <c r="K34" s="116">
        <f t="shared" si="10"/>
        <v>11056.569519999997</v>
      </c>
      <c r="L34" s="40">
        <f t="shared" si="10"/>
        <v>8764.2131199999967</v>
      </c>
      <c r="M34" s="60">
        <f t="shared" si="10"/>
        <v>-27428.328959999999</v>
      </c>
    </row>
    <row r="35" spans="1:16">
      <c r="A35" s="45" t="s">
        <v>116</v>
      </c>
      <c r="C35" s="98">
        <f t="shared" si="10"/>
        <v>81734.081600000005</v>
      </c>
      <c r="D35" s="98"/>
      <c r="E35" s="40">
        <f t="shared" si="10"/>
        <v>-13428.93</v>
      </c>
      <c r="F35" s="40">
        <f t="shared" si="10"/>
        <v>-19684.64</v>
      </c>
      <c r="G35" s="104">
        <f t="shared" si="10"/>
        <v>-17476.64</v>
      </c>
      <c r="H35" s="39">
        <f t="shared" si="10"/>
        <v>-10753.64</v>
      </c>
      <c r="I35" s="40">
        <f t="shared" si="10"/>
        <v>4761.0400000000009</v>
      </c>
      <c r="J35" s="60">
        <f t="shared" si="10"/>
        <v>6534.3899999999994</v>
      </c>
      <c r="K35" s="116">
        <f t="shared" si="10"/>
        <v>3573.7307000000001</v>
      </c>
      <c r="L35" s="40">
        <f t="shared" si="10"/>
        <v>1233.3737000000001</v>
      </c>
      <c r="M35" s="60">
        <f t="shared" si="10"/>
        <v>-28002.661500000002</v>
      </c>
    </row>
    <row r="36" spans="1:16">
      <c r="A36" s="45" t="s">
        <v>117</v>
      </c>
      <c r="C36" s="98">
        <f t="shared" si="10"/>
        <v>25088.633259999995</v>
      </c>
      <c r="D36" s="98"/>
      <c r="E36" s="40">
        <f t="shared" si="10"/>
        <v>-6549.39</v>
      </c>
      <c r="F36" s="40">
        <f t="shared" si="10"/>
        <v>-6818.36</v>
      </c>
      <c r="G36" s="104">
        <f t="shared" si="10"/>
        <v>-2467.91</v>
      </c>
      <c r="H36" s="39">
        <f t="shared" si="10"/>
        <v>-718.39999999999964</v>
      </c>
      <c r="I36" s="40">
        <f t="shared" si="10"/>
        <v>1014.1100000000001</v>
      </c>
      <c r="J36" s="60">
        <f t="shared" si="10"/>
        <v>-1553.3499999999995</v>
      </c>
      <c r="K36" s="116">
        <f t="shared" si="10"/>
        <v>-1081.84627</v>
      </c>
      <c r="L36" s="40">
        <f t="shared" si="10"/>
        <v>-1695.7079400000002</v>
      </c>
      <c r="M36" s="60">
        <f t="shared" si="10"/>
        <v>-7344.9299000000001</v>
      </c>
    </row>
    <row r="37" spans="1:16">
      <c r="C37" s="97"/>
      <c r="D37" s="97"/>
      <c r="E37" s="16"/>
      <c r="F37" s="16"/>
      <c r="G37" s="16"/>
      <c r="H37" s="9"/>
      <c r="I37" s="16"/>
      <c r="J37" s="28"/>
      <c r="K37" s="16"/>
      <c r="L37" s="16"/>
      <c r="M37" s="10"/>
    </row>
    <row r="38" spans="1:16">
      <c r="A38" s="45" t="s">
        <v>47</v>
      </c>
      <c r="B38" s="38"/>
      <c r="C38" s="97"/>
      <c r="D38" s="97"/>
      <c r="E38" s="16"/>
      <c r="F38" s="16"/>
      <c r="G38" s="16"/>
      <c r="H38" s="9"/>
      <c r="I38" s="16"/>
      <c r="J38" s="10"/>
      <c r="K38" s="16"/>
      <c r="L38" s="16"/>
      <c r="M38" s="10"/>
    </row>
    <row r="39" spans="1:16">
      <c r="A39" s="45" t="s">
        <v>22</v>
      </c>
      <c r="B39" s="272">
        <v>224240.08978192802</v>
      </c>
      <c r="C39" s="98">
        <f t="shared" ref="C39:M43" si="11">B39+C32+B47</f>
        <v>423219.25</v>
      </c>
      <c r="D39" s="98"/>
      <c r="E39" s="40">
        <f>C39+E32+C47+D47+D32</f>
        <v>417727.33</v>
      </c>
      <c r="F39" s="40">
        <f t="shared" si="11"/>
        <v>382026.07999999996</v>
      </c>
      <c r="G39" s="104">
        <f t="shared" si="11"/>
        <v>337171.96999999991</v>
      </c>
      <c r="H39" s="39">
        <f t="shared" si="11"/>
        <v>304640.5199999999</v>
      </c>
      <c r="I39" s="40">
        <f t="shared" si="11"/>
        <v>337515.99999999988</v>
      </c>
      <c r="J39" s="60">
        <f t="shared" si="11"/>
        <v>377753.72999999992</v>
      </c>
      <c r="K39" s="116">
        <f t="shared" si="11"/>
        <v>421546.56995999994</v>
      </c>
      <c r="L39" s="40">
        <f t="shared" si="11"/>
        <v>450276.55343999993</v>
      </c>
      <c r="M39" s="60">
        <f t="shared" si="11"/>
        <v>367860.71723999991</v>
      </c>
      <c r="P39" s="177"/>
    </row>
    <row r="40" spans="1:16">
      <c r="A40" s="45" t="s">
        <v>114</v>
      </c>
      <c r="B40" s="272">
        <v>28919.482549999957</v>
      </c>
      <c r="C40" s="98">
        <f t="shared" si="11"/>
        <v>58958.469999999979</v>
      </c>
      <c r="D40" s="98"/>
      <c r="E40" s="40">
        <f t="shared" ref="E40:E43" si="12">C40+E33+C48+D48+D33</f>
        <v>56657.589999999975</v>
      </c>
      <c r="F40" s="40">
        <f t="shared" si="11"/>
        <v>50835.889999999978</v>
      </c>
      <c r="G40" s="104">
        <f t="shared" si="11"/>
        <v>44961.629999999983</v>
      </c>
      <c r="H40" s="39">
        <f t="shared" si="11"/>
        <v>42270.049999999981</v>
      </c>
      <c r="I40" s="40">
        <f t="shared" si="11"/>
        <v>50738.559999999983</v>
      </c>
      <c r="J40" s="60">
        <f t="shared" si="11"/>
        <v>60393.839999999982</v>
      </c>
      <c r="K40" s="116">
        <f t="shared" si="11"/>
        <v>67999.372879999981</v>
      </c>
      <c r="L40" s="40">
        <f t="shared" si="11"/>
        <v>74237.397839999991</v>
      </c>
      <c r="M40" s="60">
        <f t="shared" si="11"/>
        <v>57743.891279999996</v>
      </c>
      <c r="P40" s="177"/>
    </row>
    <row r="41" spans="1:16">
      <c r="A41" s="45" t="s">
        <v>115</v>
      </c>
      <c r="B41" s="272">
        <v>76146.271840000001</v>
      </c>
      <c r="C41" s="98">
        <f t="shared" si="11"/>
        <v>138310.62000000005</v>
      </c>
      <c r="D41" s="98"/>
      <c r="E41" s="40">
        <f t="shared" si="12"/>
        <v>132982.27000000008</v>
      </c>
      <c r="F41" s="40">
        <f t="shared" si="11"/>
        <v>123983.27000000008</v>
      </c>
      <c r="G41" s="104">
        <f t="shared" si="11"/>
        <v>115136.23000000007</v>
      </c>
      <c r="H41" s="39">
        <f t="shared" si="11"/>
        <v>111817.84000000007</v>
      </c>
      <c r="I41" s="40">
        <f t="shared" si="11"/>
        <v>126922.00000000006</v>
      </c>
      <c r="J41" s="60">
        <f t="shared" si="11"/>
        <v>142503.12000000005</v>
      </c>
      <c r="K41" s="116">
        <f t="shared" si="11"/>
        <v>154108.67952000003</v>
      </c>
      <c r="L41" s="40">
        <f t="shared" si="11"/>
        <v>163477.28264000005</v>
      </c>
      <c r="M41" s="60">
        <f t="shared" si="11"/>
        <v>136696.11368000004</v>
      </c>
      <c r="P41" s="177"/>
    </row>
    <row r="42" spans="1:16">
      <c r="A42" s="45" t="s">
        <v>116</v>
      </c>
      <c r="B42" s="272">
        <v>135283.29840000015</v>
      </c>
      <c r="C42" s="98">
        <f t="shared" si="11"/>
        <v>217017.38000000015</v>
      </c>
      <c r="D42" s="98"/>
      <c r="E42" s="40">
        <f t="shared" si="12"/>
        <v>201843.90000000017</v>
      </c>
      <c r="F42" s="40">
        <f t="shared" si="11"/>
        <v>183061.84000000017</v>
      </c>
      <c r="G42" s="104">
        <f t="shared" si="11"/>
        <v>166385.1800000002</v>
      </c>
      <c r="H42" s="39">
        <f t="shared" si="11"/>
        <v>156346.57000000021</v>
      </c>
      <c r="I42" s="40">
        <f t="shared" si="11"/>
        <v>161767.01000000021</v>
      </c>
      <c r="J42" s="60">
        <f t="shared" si="11"/>
        <v>168964.77000000019</v>
      </c>
      <c r="K42" s="116">
        <f t="shared" si="11"/>
        <v>173212.5207000002</v>
      </c>
      <c r="L42" s="40">
        <f t="shared" si="11"/>
        <v>175143.2144000002</v>
      </c>
      <c r="M42" s="60">
        <f t="shared" si="11"/>
        <v>147850.48290000018</v>
      </c>
      <c r="P42" s="177"/>
    </row>
    <row r="43" spans="1:16">
      <c r="A43" s="45" t="s">
        <v>117</v>
      </c>
      <c r="B43" s="272">
        <v>50277.576740000019</v>
      </c>
      <c r="C43" s="98">
        <f>B43+C36+B51</f>
        <v>75366.210000000021</v>
      </c>
      <c r="D43" s="98"/>
      <c r="E43" s="40">
        <f t="shared" si="12"/>
        <v>68215.060000000027</v>
      </c>
      <c r="F43" s="40">
        <f t="shared" si="11"/>
        <v>61706.090000000026</v>
      </c>
      <c r="G43" s="104">
        <f t="shared" si="11"/>
        <v>59508.210000000021</v>
      </c>
      <c r="H43" s="39">
        <f t="shared" si="11"/>
        <v>59037.820000000022</v>
      </c>
      <c r="I43" s="40">
        <f t="shared" si="11"/>
        <v>60294.110000000022</v>
      </c>
      <c r="J43" s="60">
        <f t="shared" si="11"/>
        <v>58989.60000000002</v>
      </c>
      <c r="K43" s="116">
        <f t="shared" si="11"/>
        <v>58150.873730000021</v>
      </c>
      <c r="L43" s="40">
        <f t="shared" si="11"/>
        <v>56693.905790000019</v>
      </c>
      <c r="M43" s="60">
        <f t="shared" si="11"/>
        <v>49583.045890000016</v>
      </c>
      <c r="P43" s="177"/>
    </row>
    <row r="44" spans="1:16">
      <c r="C44" s="97"/>
      <c r="D44" s="97"/>
      <c r="E44" s="16"/>
      <c r="F44" s="16"/>
      <c r="G44" s="16"/>
      <c r="H44" s="9"/>
      <c r="I44" s="16"/>
      <c r="J44" s="10"/>
      <c r="K44" s="16"/>
      <c r="L44" s="16"/>
      <c r="M44" s="10"/>
    </row>
    <row r="45" spans="1:16">
      <c r="A45" s="38" t="s">
        <v>43</v>
      </c>
      <c r="B45" s="38"/>
      <c r="C45" s="101"/>
      <c r="D45" s="101"/>
      <c r="E45" s="81">
        <f>'PCR Cycle 3'!E$51</f>
        <v>4.3276900000000004E-3</v>
      </c>
      <c r="F45" s="81">
        <f>'PCR Cycle 3'!F$51</f>
        <v>4.1470099999999996E-3</v>
      </c>
      <c r="G45" s="81">
        <f>'PCR Cycle 3'!G$51</f>
        <v>4.0829999999999998E-3</v>
      </c>
      <c r="H45" s="82">
        <f>'PCR Cycle 3'!H$51</f>
        <v>4.0773399999999996E-3</v>
      </c>
      <c r="I45" s="81">
        <f>'PCR Cycle 3'!I$51</f>
        <v>4.1620499999999996E-3</v>
      </c>
      <c r="J45" s="90">
        <f>'PCR Cycle 3'!J$51</f>
        <v>4.0677700000000001E-3</v>
      </c>
      <c r="K45" s="81">
        <f>'PCR Cycle 3'!K$51</f>
        <v>4.0677700000000001E-3</v>
      </c>
      <c r="L45" s="81">
        <f>'PCR Cycle 3'!L$51</f>
        <v>4.0677700000000001E-3</v>
      </c>
      <c r="M45" s="83"/>
    </row>
    <row r="46" spans="1:16">
      <c r="A46" s="38" t="s">
        <v>31</v>
      </c>
      <c r="B46" s="38"/>
      <c r="C46" s="102"/>
      <c r="D46" s="102"/>
      <c r="E46" s="81"/>
      <c r="F46" s="81"/>
      <c r="G46" s="81"/>
      <c r="H46" s="82"/>
      <c r="I46" s="81"/>
      <c r="J46" s="83"/>
      <c r="K46" s="81"/>
      <c r="L46" s="81"/>
      <c r="M46" s="83"/>
    </row>
    <row r="47" spans="1:16">
      <c r="A47" s="45" t="s">
        <v>22</v>
      </c>
      <c r="C47" s="330">
        <v>-3558.29</v>
      </c>
      <c r="D47" s="98"/>
      <c r="E47" s="40">
        <f>ROUND((C39+C47+D47+E32/2)*E$45,2)</f>
        <v>1811.98</v>
      </c>
      <c r="F47" s="40">
        <f t="shared" ref="F47:M51" si="13">ROUND((E39+E47+F32/2)*F$45,2)</f>
        <v>1662.05</v>
      </c>
      <c r="G47" s="104">
        <f t="shared" si="13"/>
        <v>1471.64</v>
      </c>
      <c r="H47" s="39">
        <f t="shared" si="13"/>
        <v>1311.44</v>
      </c>
      <c r="I47" s="116">
        <f t="shared" si="13"/>
        <v>1339.07</v>
      </c>
      <c r="J47" s="48">
        <f t="shared" si="13"/>
        <v>1457.5</v>
      </c>
      <c r="K47" s="153">
        <f t="shared" si="13"/>
        <v>1628.65</v>
      </c>
      <c r="L47" s="104">
        <f t="shared" si="13"/>
        <v>1776.5</v>
      </c>
      <c r="M47" s="60">
        <f t="shared" si="13"/>
        <v>0</v>
      </c>
      <c r="P47" s="177">
        <f t="shared" ref="P47:P51" si="14">-SUM(K47:M47)</f>
        <v>-3405.15</v>
      </c>
    </row>
    <row r="48" spans="1:16">
      <c r="A48" s="45" t="s">
        <v>114</v>
      </c>
      <c r="C48" s="330">
        <v>-495.38</v>
      </c>
      <c r="D48" s="98"/>
      <c r="E48" s="40">
        <f t="shared" ref="E48:E51" si="15">ROUND((C40+C48+D48+E33/2)*E$45,2)</f>
        <v>249.1</v>
      </c>
      <c r="F48" s="40">
        <f t="shared" si="13"/>
        <v>223.4</v>
      </c>
      <c r="G48" s="104">
        <f t="shared" si="13"/>
        <v>196.03</v>
      </c>
      <c r="H48" s="39">
        <f t="shared" si="13"/>
        <v>178.24</v>
      </c>
      <c r="I48" s="116">
        <f t="shared" si="13"/>
        <v>193.92</v>
      </c>
      <c r="J48" s="48">
        <f t="shared" si="13"/>
        <v>226.42</v>
      </c>
      <c r="K48" s="153">
        <f t="shared" si="13"/>
        <v>261.60000000000002</v>
      </c>
      <c r="L48" s="104">
        <f t="shared" si="13"/>
        <v>289.83</v>
      </c>
      <c r="M48" s="60">
        <f t="shared" si="13"/>
        <v>0</v>
      </c>
      <c r="P48" s="177">
        <f t="shared" si="14"/>
        <v>-551.43000000000006</v>
      </c>
    </row>
    <row r="49" spans="1:16">
      <c r="A49" s="45" t="s">
        <v>115</v>
      </c>
      <c r="C49" s="330">
        <v>-1135.5500000000002</v>
      </c>
      <c r="D49" s="98"/>
      <c r="E49" s="40">
        <f t="shared" si="15"/>
        <v>584.58000000000004</v>
      </c>
      <c r="F49" s="40">
        <f t="shared" si="13"/>
        <v>534.03</v>
      </c>
      <c r="G49" s="104">
        <f t="shared" si="13"/>
        <v>489.25</v>
      </c>
      <c r="H49" s="39">
        <f t="shared" si="13"/>
        <v>463.68</v>
      </c>
      <c r="I49" s="116">
        <f t="shared" si="13"/>
        <v>497.79</v>
      </c>
      <c r="J49" s="48">
        <f t="shared" si="13"/>
        <v>548.99</v>
      </c>
      <c r="K49" s="153">
        <f t="shared" si="13"/>
        <v>604.39</v>
      </c>
      <c r="L49" s="104">
        <f t="shared" si="13"/>
        <v>647.16</v>
      </c>
      <c r="M49" s="60">
        <f t="shared" si="13"/>
        <v>0</v>
      </c>
      <c r="P49" s="177">
        <f t="shared" si="14"/>
        <v>-1251.55</v>
      </c>
    </row>
    <row r="50" spans="1:16">
      <c r="A50" s="45" t="s">
        <v>116</v>
      </c>
      <c r="C50" s="330">
        <v>-1744.55</v>
      </c>
      <c r="D50" s="98"/>
      <c r="E50" s="40">
        <f t="shared" si="15"/>
        <v>902.58</v>
      </c>
      <c r="F50" s="40">
        <f t="shared" si="13"/>
        <v>799.98</v>
      </c>
      <c r="G50" s="104">
        <f t="shared" si="13"/>
        <v>715.03</v>
      </c>
      <c r="H50" s="39">
        <f t="shared" si="13"/>
        <v>659.4</v>
      </c>
      <c r="I50" s="116">
        <f t="shared" si="13"/>
        <v>663.37</v>
      </c>
      <c r="J50" s="48">
        <f t="shared" si="13"/>
        <v>674.02</v>
      </c>
      <c r="K50" s="153">
        <f t="shared" si="13"/>
        <v>697.32</v>
      </c>
      <c r="L50" s="104">
        <f t="shared" si="13"/>
        <v>709.93</v>
      </c>
      <c r="M50" s="60">
        <f t="shared" si="13"/>
        <v>0</v>
      </c>
      <c r="P50" s="177">
        <f t="shared" si="14"/>
        <v>-1407.25</v>
      </c>
    </row>
    <row r="51" spans="1:16" ht="15.75" thickBot="1">
      <c r="A51" s="45" t="s">
        <v>117</v>
      </c>
      <c r="C51" s="330">
        <v>-601.76</v>
      </c>
      <c r="D51" s="98"/>
      <c r="E51" s="40">
        <f t="shared" si="15"/>
        <v>309.39</v>
      </c>
      <c r="F51" s="40">
        <f t="shared" si="13"/>
        <v>270.02999999999997</v>
      </c>
      <c r="G51" s="104">
        <f t="shared" si="13"/>
        <v>248.01</v>
      </c>
      <c r="H51" s="39">
        <f t="shared" si="13"/>
        <v>242.18</v>
      </c>
      <c r="I51" s="116">
        <f t="shared" si="13"/>
        <v>248.84</v>
      </c>
      <c r="J51" s="48">
        <f t="shared" si="13"/>
        <v>243.12</v>
      </c>
      <c r="K51" s="153">
        <f t="shared" si="13"/>
        <v>238.74</v>
      </c>
      <c r="L51" s="104">
        <f t="shared" si="13"/>
        <v>234.07</v>
      </c>
      <c r="M51" s="60">
        <f t="shared" si="13"/>
        <v>0</v>
      </c>
      <c r="P51" s="177">
        <f t="shared" si="14"/>
        <v>-472.81</v>
      </c>
    </row>
    <row r="52" spans="1:16" ht="16.5" thickTop="1" thickBot="1">
      <c r="A52" s="53" t="s">
        <v>20</v>
      </c>
      <c r="B52" s="53"/>
      <c r="C52" s="103">
        <v>0</v>
      </c>
      <c r="D52" s="103"/>
      <c r="E52" s="41">
        <f t="shared" ref="E52:J52" si="16">SUM(E47:E51)+SUM(E39:E43)-E55</f>
        <v>0</v>
      </c>
      <c r="F52" s="41">
        <f t="shared" si="16"/>
        <v>0</v>
      </c>
      <c r="G52" s="49">
        <f t="shared" ref="G52:I52" si="17">SUM(G47:G51)+SUM(G39:G43)-G55</f>
        <v>0</v>
      </c>
      <c r="H52" s="138">
        <f t="shared" si="17"/>
        <v>0</v>
      </c>
      <c r="I52" s="49">
        <f t="shared" si="17"/>
        <v>0</v>
      </c>
      <c r="J52" s="61">
        <f t="shared" si="16"/>
        <v>0</v>
      </c>
      <c r="K52" s="154">
        <f t="shared" ref="K52:M52" si="18">SUM(K47:K51)+SUM(K39:K43)-K55</f>
        <v>0</v>
      </c>
      <c r="L52" s="49">
        <f t="shared" si="18"/>
        <v>0</v>
      </c>
      <c r="M52" s="61">
        <f t="shared" si="18"/>
        <v>0</v>
      </c>
    </row>
    <row r="53" spans="1:16" ht="16.5" thickTop="1" thickBot="1">
      <c r="A53" s="53" t="s">
        <v>21</v>
      </c>
      <c r="B53" s="53"/>
      <c r="C53" s="103">
        <v>0</v>
      </c>
      <c r="D53" s="103"/>
      <c r="E53" s="41">
        <f t="shared" ref="E53:J53" si="19">SUM(E47:E51)-E29</f>
        <v>0</v>
      </c>
      <c r="F53" s="41">
        <f t="shared" si="19"/>
        <v>0</v>
      </c>
      <c r="G53" s="49">
        <f t="shared" ref="G53:I53" si="20">SUM(G47:G51)-G29</f>
        <v>0</v>
      </c>
      <c r="H53" s="138">
        <f t="shared" si="20"/>
        <v>0</v>
      </c>
      <c r="I53" s="49">
        <f t="shared" si="20"/>
        <v>0</v>
      </c>
      <c r="J53" s="61">
        <f t="shared" si="19"/>
        <v>0</v>
      </c>
      <c r="K53" s="155">
        <f t="shared" ref="K53:M53" si="21">SUM(K47:K51)-K29</f>
        <v>0</v>
      </c>
      <c r="L53" s="41">
        <f t="shared" si="21"/>
        <v>0</v>
      </c>
      <c r="M53" s="41">
        <f t="shared" si="21"/>
        <v>0</v>
      </c>
    </row>
    <row r="54" spans="1:16" ht="16.5" thickTop="1" thickBot="1">
      <c r="C54" s="97"/>
      <c r="D54" s="97"/>
      <c r="E54" s="16"/>
      <c r="F54" s="16"/>
      <c r="G54" s="16"/>
      <c r="H54" s="9"/>
      <c r="I54" s="16"/>
      <c r="J54" s="10"/>
      <c r="K54" s="16"/>
      <c r="L54" s="16"/>
      <c r="M54" s="10"/>
    </row>
    <row r="55" spans="1:16" ht="15.75" thickBot="1">
      <c r="A55" s="45" t="s">
        <v>30</v>
      </c>
      <c r="B55" s="112">
        <f>SUM(B39:B43)</f>
        <v>514866.71931192814</v>
      </c>
      <c r="C55" s="98">
        <f t="shared" ref="C55:M55" si="22">(C13-SUM(C16:C20))+SUM(C47:C51)+B55</f>
        <v>905336.40000000014</v>
      </c>
      <c r="D55" s="98"/>
      <c r="E55" s="40">
        <f>(E13-SUM(E16:E20))+SUM(D47:E51)+C55+SUM(D32:D36)</f>
        <v>881283.78000000014</v>
      </c>
      <c r="F55" s="40">
        <f t="shared" si="22"/>
        <v>805102.66000000015</v>
      </c>
      <c r="G55" s="104">
        <f t="shared" si="22"/>
        <v>726283.18000000017</v>
      </c>
      <c r="H55" s="39">
        <f t="shared" si="22"/>
        <v>676967.74000000022</v>
      </c>
      <c r="I55" s="40">
        <f t="shared" si="22"/>
        <v>740180.67000000016</v>
      </c>
      <c r="J55" s="60">
        <f t="shared" si="22"/>
        <v>811755.1100000001</v>
      </c>
      <c r="K55" s="153">
        <f t="shared" si="22"/>
        <v>878448.71679000009</v>
      </c>
      <c r="L55" s="104">
        <f t="shared" si="22"/>
        <v>923485.84411000006</v>
      </c>
      <c r="M55" s="60">
        <f t="shared" si="22"/>
        <v>759734.25099000009</v>
      </c>
    </row>
    <row r="56" spans="1:16">
      <c r="A56" s="45" t="s">
        <v>10</v>
      </c>
      <c r="C56" s="113"/>
      <c r="D56" s="16"/>
      <c r="E56" s="16"/>
      <c r="F56" s="16"/>
      <c r="G56" s="16"/>
      <c r="H56" s="9"/>
      <c r="I56" s="16"/>
      <c r="J56" s="28"/>
      <c r="K56" s="16"/>
      <c r="L56" s="16"/>
      <c r="M56" s="10"/>
    </row>
    <row r="57" spans="1:16" ht="15.75" thickBot="1">
      <c r="A57" s="36"/>
      <c r="B57" s="36"/>
      <c r="C57" s="139"/>
      <c r="D57" s="243"/>
      <c r="E57" s="43"/>
      <c r="F57" s="43"/>
      <c r="G57" s="43"/>
      <c r="H57" s="42"/>
      <c r="I57" s="43"/>
      <c r="J57" s="44"/>
      <c r="K57" s="43"/>
      <c r="L57" s="43"/>
      <c r="M57" s="44"/>
    </row>
    <row r="58" spans="1:16">
      <c r="E58"/>
      <c r="F58"/>
      <c r="G58"/>
      <c r="H58"/>
      <c r="I58"/>
      <c r="J58"/>
      <c r="K58"/>
      <c r="L58"/>
      <c r="M58"/>
    </row>
    <row r="59" spans="1:16">
      <c r="A59" s="68" t="s">
        <v>9</v>
      </c>
      <c r="B59" s="68"/>
      <c r="C59" s="68"/>
      <c r="D59" s="68"/>
      <c r="E59"/>
      <c r="F59"/>
      <c r="G59"/>
      <c r="H59"/>
      <c r="I59"/>
      <c r="J59"/>
      <c r="K59"/>
      <c r="L59"/>
      <c r="M59"/>
    </row>
    <row r="60" spans="1:16" ht="31.5" customHeight="1">
      <c r="A60" s="360" t="s">
        <v>136</v>
      </c>
      <c r="B60" s="360"/>
      <c r="C60" s="360"/>
      <c r="D60" s="360"/>
      <c r="E60" s="360"/>
      <c r="F60" s="360"/>
      <c r="G60" s="360"/>
      <c r="H60" s="360"/>
      <c r="I60" s="360"/>
      <c r="J60" s="360"/>
      <c r="K60" s="339"/>
      <c r="L60" s="253"/>
      <c r="M60" s="253"/>
    </row>
    <row r="61" spans="1:16" ht="57.75" customHeight="1">
      <c r="A61" s="360" t="s">
        <v>241</v>
      </c>
      <c r="B61" s="360"/>
      <c r="C61" s="360"/>
      <c r="D61" s="360"/>
      <c r="E61" s="360"/>
      <c r="F61" s="360"/>
      <c r="G61" s="360"/>
      <c r="H61" s="360"/>
      <c r="I61" s="360"/>
      <c r="J61" s="360"/>
      <c r="K61" s="360"/>
      <c r="L61" s="253"/>
    </row>
    <row r="62" spans="1:16">
      <c r="A62" s="360" t="s">
        <v>151</v>
      </c>
      <c r="B62" s="360"/>
      <c r="C62" s="360"/>
      <c r="D62" s="360"/>
      <c r="E62" s="360"/>
      <c r="F62" s="360"/>
      <c r="G62" s="360"/>
      <c r="H62" s="360"/>
      <c r="I62" s="360"/>
      <c r="J62" s="360"/>
      <c r="K62" s="339"/>
      <c r="L62" s="253"/>
      <c r="M62" s="253"/>
    </row>
    <row r="63" spans="1:16">
      <c r="A63" s="360" t="s">
        <v>190</v>
      </c>
      <c r="B63" s="360"/>
      <c r="C63" s="360"/>
      <c r="D63" s="360"/>
      <c r="E63" s="360"/>
      <c r="F63" s="360"/>
      <c r="G63" s="360"/>
      <c r="H63" s="360"/>
      <c r="I63" s="360"/>
      <c r="J63" s="360"/>
      <c r="K63" s="360"/>
    </row>
    <row r="64" spans="1:16">
      <c r="A64" s="62" t="s">
        <v>237</v>
      </c>
      <c r="B64" s="62"/>
      <c r="C64" s="62"/>
      <c r="D64" s="62"/>
      <c r="E64" s="38"/>
      <c r="F64" s="38"/>
      <c r="G64" s="38"/>
      <c r="H64" s="38"/>
      <c r="I64" s="38"/>
      <c r="J64" s="38"/>
      <c r="K64" s="38"/>
    </row>
    <row r="65" spans="1:7" s="38" customFormat="1">
      <c r="A65" s="62" t="s">
        <v>83</v>
      </c>
      <c r="B65" s="62"/>
      <c r="C65" s="62"/>
      <c r="D65" s="62"/>
    </row>
    <row r="66" spans="1:7">
      <c r="A66" s="294"/>
      <c r="B66" s="3"/>
      <c r="C66" s="3"/>
      <c r="D66" s="3"/>
    </row>
    <row r="68" spans="1:7" ht="36" customHeight="1">
      <c r="A68" s="361"/>
      <c r="B68" s="361"/>
      <c r="C68" s="361"/>
      <c r="D68" s="361"/>
      <c r="E68" s="361"/>
      <c r="F68" s="361"/>
      <c r="G68" s="361"/>
    </row>
  </sheetData>
  <mergeCells count="8">
    <mergeCell ref="A68:G68"/>
    <mergeCell ref="E11:G11"/>
    <mergeCell ref="H11:J11"/>
    <mergeCell ref="K11:M11"/>
    <mergeCell ref="A60:J60"/>
    <mergeCell ref="A62:J62"/>
    <mergeCell ref="A61:K61"/>
    <mergeCell ref="A63:K63"/>
  </mergeCells>
  <pageMargins left="0.2" right="0.2" top="0.75" bottom="0.25" header="0.3" footer="0.3"/>
  <pageSetup scale="45" orientation="landscape" r:id="rId1"/>
  <headerFooter>
    <oddHeader>&amp;C&amp;F &amp;A&amp;R&amp;"Arial"&amp;10&amp;K000000CONFIDENTIAL</oddHeader>
    <oddFooter>&amp;R&amp;1#&amp;"Calibri"&amp;10&amp;KA80000Internal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B4A8E-DEE2-477C-9A01-477ED574AD62}">
  <sheetPr codeName="Sheet23">
    <pageSetUpPr fitToPage="1"/>
  </sheetPr>
  <dimension ref="A1:E35"/>
  <sheetViews>
    <sheetView workbookViewId="0"/>
  </sheetViews>
  <sheetFormatPr defaultColWidth="9.140625" defaultRowHeight="15"/>
  <cols>
    <col min="1" max="1" width="43.140625" style="45" customWidth="1"/>
    <col min="2" max="2" width="14.28515625" style="45" bestFit="1" customWidth="1"/>
    <col min="3" max="3" width="14.28515625" style="45" customWidth="1"/>
    <col min="4" max="4" width="13.5703125" style="45" bestFit="1" customWidth="1"/>
    <col min="5" max="5" width="13.42578125" style="45" bestFit="1" customWidth="1"/>
    <col min="6" max="6" width="13.5703125" style="45" bestFit="1" customWidth="1"/>
    <col min="7" max="16384" width="9.140625" style="45"/>
  </cols>
  <sheetData>
    <row r="1" spans="1:5">
      <c r="A1" s="62" t="str">
        <f>'PTD Cycle 3'!A1</f>
        <v>Evergy Metro, Inc. - DSIM Rider Update Filed 06/01/2026</v>
      </c>
    </row>
    <row r="2" spans="1:5">
      <c r="A2" s="8" t="str">
        <f>+'PTD Cycle 3'!A2</f>
        <v>Projections for Cycle 3 July 2026 - June 2027 DSIM</v>
      </c>
    </row>
    <row r="3" spans="1:5" ht="45.75" customHeight="1">
      <c r="B3" s="354" t="s">
        <v>143</v>
      </c>
      <c r="C3" s="354"/>
      <c r="D3" s="354"/>
    </row>
    <row r="4" spans="1:5">
      <c r="B4" s="47" t="s">
        <v>15</v>
      </c>
    </row>
    <row r="5" spans="1:5">
      <c r="A5" s="19" t="s">
        <v>145</v>
      </c>
      <c r="B5" s="255">
        <f>+B11</f>
        <v>0</v>
      </c>
    </row>
    <row r="6" spans="1:5">
      <c r="A6" s="19" t="s">
        <v>146</v>
      </c>
      <c r="B6" s="255">
        <f>+C11</f>
        <v>0</v>
      </c>
    </row>
    <row r="7" spans="1:5">
      <c r="A7" s="19" t="s">
        <v>147</v>
      </c>
      <c r="B7" s="255">
        <f>+D11</f>
        <v>0</v>
      </c>
    </row>
    <row r="8" spans="1:5" ht="60">
      <c r="A8" s="19"/>
      <c r="B8" s="245" t="s">
        <v>145</v>
      </c>
      <c r="C8" s="245" t="s">
        <v>146</v>
      </c>
      <c r="D8" s="246" t="s">
        <v>74</v>
      </c>
      <c r="E8" s="3" t="s">
        <v>3</v>
      </c>
    </row>
    <row r="9" spans="1:5">
      <c r="A9" s="19" t="s">
        <v>22</v>
      </c>
      <c r="B9" s="199">
        <v>0</v>
      </c>
      <c r="C9" s="199">
        <v>0</v>
      </c>
      <c r="D9" s="199">
        <v>0</v>
      </c>
      <c r="E9" s="199">
        <f>SUM(B9:D9)</f>
        <v>0</v>
      </c>
    </row>
    <row r="10" spans="1:5">
      <c r="A10" s="19" t="s">
        <v>23</v>
      </c>
      <c r="B10" s="199">
        <v>0</v>
      </c>
      <c r="C10" s="199">
        <v>0</v>
      </c>
      <c r="D10" s="199">
        <v>0</v>
      </c>
      <c r="E10" s="199">
        <f>SUM(B10:D10)</f>
        <v>0</v>
      </c>
    </row>
    <row r="11" spans="1:5" ht="15.75" thickBot="1">
      <c r="A11" s="19" t="s">
        <v>3</v>
      </c>
      <c r="B11" s="200">
        <f>SUM(B9:B10)</f>
        <v>0</v>
      </c>
      <c r="C11" s="200">
        <f>SUM(C9:C10)</f>
        <v>0</v>
      </c>
      <c r="D11" s="200">
        <f>SUM(D9:D10)</f>
        <v>0</v>
      </c>
      <c r="E11" s="200">
        <f>SUM(E9:E10)</f>
        <v>0</v>
      </c>
    </row>
    <row r="12" spans="1:5" ht="16.5" thickTop="1" thickBot="1">
      <c r="B12" s="201">
        <f>+B11-B5</f>
        <v>0</v>
      </c>
      <c r="C12" s="201">
        <f>+C11-B6</f>
        <v>0</v>
      </c>
      <c r="D12" s="201">
        <f>+D11-B7</f>
        <v>0</v>
      </c>
      <c r="E12" s="201">
        <f>ROUND(B5+B6+B7,2)-E11</f>
        <v>0</v>
      </c>
    </row>
    <row r="13" spans="1:5" ht="15.75" thickTop="1">
      <c r="B13" s="209"/>
      <c r="C13" s="209"/>
      <c r="D13" s="259" t="s">
        <v>149</v>
      </c>
    </row>
    <row r="14" spans="1:5">
      <c r="A14" s="19" t="s">
        <v>91</v>
      </c>
      <c r="B14" s="199">
        <f>ROUND($E$10*D14,2)</f>
        <v>0</v>
      </c>
      <c r="C14" s="199"/>
      <c r="D14" s="206"/>
    </row>
    <row r="15" spans="1:5">
      <c r="A15" s="19" t="s">
        <v>92</v>
      </c>
      <c r="B15" s="199">
        <f t="shared" ref="B15:B17" si="0">ROUND($E$10*D15,2)</f>
        <v>0</v>
      </c>
      <c r="C15" s="199"/>
      <c r="D15" s="206"/>
    </row>
    <row r="16" spans="1:5">
      <c r="A16" s="19" t="s">
        <v>93</v>
      </c>
      <c r="B16" s="199">
        <f t="shared" si="0"/>
        <v>0</v>
      </c>
      <c r="C16" s="247"/>
      <c r="D16" s="206"/>
    </row>
    <row r="17" spans="1:4" ht="15.75" thickBot="1">
      <c r="A17" s="19" t="s">
        <v>94</v>
      </c>
      <c r="B17" s="199">
        <f t="shared" si="0"/>
        <v>0</v>
      </c>
      <c r="C17" s="199"/>
      <c r="D17" s="206"/>
    </row>
    <row r="18" spans="1:4" ht="16.5" thickTop="1" thickBot="1">
      <c r="A18" s="19" t="s">
        <v>95</v>
      </c>
      <c r="B18" s="31">
        <f>SUM(B14:B17)</f>
        <v>0</v>
      </c>
      <c r="C18" s="31"/>
      <c r="D18" s="207">
        <f>SUM(D14:D17)</f>
        <v>0</v>
      </c>
    </row>
    <row r="19" spans="1:4" ht="15.75" thickTop="1"/>
    <row r="20" spans="1:4">
      <c r="A20" s="52" t="s">
        <v>9</v>
      </c>
    </row>
    <row r="21" spans="1:4" s="38" customFormat="1">
      <c r="A21" s="3" t="s">
        <v>172</v>
      </c>
      <c r="B21" s="45"/>
      <c r="C21" s="45"/>
      <c r="D21" s="45"/>
    </row>
    <row r="22" spans="1:4" s="38" customFormat="1">
      <c r="A22" s="3" t="s">
        <v>173</v>
      </c>
      <c r="B22" s="45"/>
      <c r="C22" s="45"/>
      <c r="D22" s="45"/>
    </row>
    <row r="23" spans="1:4" s="38" customFormat="1">
      <c r="A23" s="3" t="s">
        <v>174</v>
      </c>
      <c r="B23" s="45"/>
      <c r="C23" s="45"/>
      <c r="D23" s="45"/>
    </row>
    <row r="25" spans="1:4">
      <c r="A25" s="3"/>
      <c r="D25" s="177"/>
    </row>
    <row r="26" spans="1:4">
      <c r="D26" s="177"/>
    </row>
    <row r="27" spans="1:4">
      <c r="B27" s="69"/>
      <c r="D27" s="177"/>
    </row>
    <row r="28" spans="1:4">
      <c r="A28" s="196"/>
      <c r="B28" s="197"/>
      <c r="D28" s="177"/>
    </row>
    <row r="29" spans="1:4">
      <c r="A29" s="196"/>
      <c r="B29" s="197"/>
      <c r="D29" s="177"/>
    </row>
    <row r="30" spans="1:4">
      <c r="A30" s="196"/>
      <c r="B30" s="197"/>
      <c r="D30" s="177"/>
    </row>
    <row r="31" spans="1:4">
      <c r="A31" s="196"/>
      <c r="B31" s="197"/>
      <c r="D31" s="177"/>
    </row>
    <row r="32" spans="1:4">
      <c r="A32" s="196"/>
      <c r="B32" s="178"/>
      <c r="D32" s="177"/>
    </row>
    <row r="33" spans="1:4">
      <c r="A33" s="196"/>
      <c r="B33" s="178"/>
      <c r="D33" s="177"/>
    </row>
    <row r="34" spans="1:4" ht="17.25">
      <c r="A34" s="196"/>
      <c r="B34" s="178"/>
      <c r="D34" s="198"/>
    </row>
    <row r="35" spans="1:4">
      <c r="A35" s="196"/>
      <c r="D35" s="177"/>
    </row>
  </sheetData>
  <mergeCells count="1">
    <mergeCell ref="B3:D3"/>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2E942-78E4-4BAA-AAF3-3F92AE406A3C}">
  <sheetPr codeName="Sheet25">
    <pageSetUpPr fitToPage="1"/>
  </sheetPr>
  <dimension ref="A1:AH66"/>
  <sheetViews>
    <sheetView zoomScale="85" zoomScaleNormal="85" workbookViewId="0"/>
  </sheetViews>
  <sheetFormatPr defaultColWidth="9.140625" defaultRowHeight="15" outlineLevelCol="1"/>
  <cols>
    <col min="1" max="1" width="37.7109375" style="45" customWidth="1"/>
    <col min="2" max="2" width="12.28515625" style="45" bestFit="1" customWidth="1"/>
    <col min="3" max="3" width="12.42578125" style="45" bestFit="1" customWidth="1"/>
    <col min="4" max="4" width="15.42578125" style="45" customWidth="1"/>
    <col min="5" max="5" width="15.85546875" style="45" bestFit="1" customWidth="1"/>
    <col min="6" max="6" width="12.28515625" style="45" bestFit="1" customWidth="1"/>
    <col min="7" max="8" width="13.28515625" style="45" bestFit="1" customWidth="1"/>
    <col min="9" max="9" width="12.28515625" style="45" bestFit="1" customWidth="1"/>
    <col min="10" max="10" width="12.42578125" style="45" customWidth="1"/>
    <col min="11" max="11" width="12.85546875" style="45" customWidth="1"/>
    <col min="12" max="12" width="16" style="45" customWidth="1"/>
    <col min="13" max="13" width="15" style="45" bestFit="1" customWidth="1"/>
    <col min="14" max="14" width="16" style="45" bestFit="1" customWidth="1"/>
    <col min="15" max="15" width="15.28515625" style="45" hidden="1" customWidth="1" outlineLevel="1"/>
    <col min="16" max="16" width="17.42578125" style="45" bestFit="1" customWidth="1" collapsed="1"/>
    <col min="17" max="17" width="16.28515625" style="45" bestFit="1" customWidth="1"/>
    <col min="18" max="18" width="15.28515625" style="45" bestFit="1" customWidth="1"/>
    <col min="19" max="19" width="12.42578125" style="45" customWidth="1"/>
    <col min="20" max="21" width="14.28515625" style="45" bestFit="1" customWidth="1"/>
    <col min="22" max="16384" width="9.140625" style="45"/>
  </cols>
  <sheetData>
    <row r="1" spans="1:34">
      <c r="A1" s="62" t="str">
        <f>'PTD Cycle 3'!A1</f>
        <v>Evergy Metro, Inc. - DSIM Rider Update Filed 06/01/2026</v>
      </c>
      <c r="B1" s="3"/>
      <c r="C1" s="3"/>
    </row>
    <row r="2" spans="1:34">
      <c r="D2" s="3" t="s">
        <v>144</v>
      </c>
    </row>
    <row r="3" spans="1:34" ht="30">
      <c r="D3" s="47" t="s">
        <v>40</v>
      </c>
      <c r="E3" s="69" t="s">
        <v>15</v>
      </c>
      <c r="F3" s="47" t="s">
        <v>1</v>
      </c>
      <c r="G3" s="69" t="s">
        <v>49</v>
      </c>
      <c r="H3" s="47" t="s">
        <v>8</v>
      </c>
      <c r="I3" s="47" t="s">
        <v>16</v>
      </c>
      <c r="R3" s="47"/>
    </row>
    <row r="4" spans="1:34">
      <c r="A4" s="19" t="s">
        <v>22</v>
      </c>
      <c r="B4" s="19"/>
      <c r="C4" s="19"/>
      <c r="D4" s="21">
        <f>SUM(C16:L16)</f>
        <v>-9939.165551517186</v>
      </c>
      <c r="E4" s="21">
        <f>SUM(C23:K23)</f>
        <v>-18190.329999999998</v>
      </c>
      <c r="F4" s="21">
        <f>E4-D4</f>
        <v>-8251.1644484828121</v>
      </c>
      <c r="G4" s="21">
        <f>+B39</f>
        <v>-9916.5855515172079</v>
      </c>
      <c r="H4" s="21">
        <f>SUM(C47:K47)</f>
        <v>-359.84999999999997</v>
      </c>
      <c r="I4" s="24">
        <f>SUM(F4:H4)</f>
        <v>-18527.60000000002</v>
      </c>
      <c r="J4" s="46">
        <f>+I4-L39</f>
        <v>0</v>
      </c>
      <c r="M4" s="46"/>
    </row>
    <row r="5" spans="1:34">
      <c r="A5" s="19" t="s">
        <v>91</v>
      </c>
      <c r="B5" s="19"/>
      <c r="C5" s="19"/>
      <c r="D5" s="21">
        <f t="shared" ref="D5:D7" si="0">SUM(C17:L17)</f>
        <v>0</v>
      </c>
      <c r="E5" s="21">
        <f t="shared" ref="E5:E7" si="1">SUM(C24:K24)</f>
        <v>-930.2</v>
      </c>
      <c r="F5" s="21">
        <f t="shared" ref="F5:F7" si="2">E5-D5</f>
        <v>-930.2</v>
      </c>
      <c r="G5" s="21">
        <f t="shared" ref="G5:G7" si="3">+B40</f>
        <v>-352.14000000000055</v>
      </c>
      <c r="H5" s="21">
        <f t="shared" ref="H5:H7" si="4">SUM(C48:K48)</f>
        <v>-25.87</v>
      </c>
      <c r="I5" s="24">
        <f t="shared" ref="I5:I7" si="5">SUM(F5:H5)</f>
        <v>-1308.2100000000005</v>
      </c>
      <c r="J5" s="46">
        <f t="shared" ref="J5:J7" si="6">+I5-L40</f>
        <v>0</v>
      </c>
      <c r="M5" s="46"/>
    </row>
    <row r="6" spans="1:34">
      <c r="A6" s="19" t="s">
        <v>92</v>
      </c>
      <c r="B6" s="19"/>
      <c r="C6" s="19"/>
      <c r="D6" s="21">
        <f t="shared" si="0"/>
        <v>0</v>
      </c>
      <c r="E6" s="21">
        <f t="shared" si="1"/>
        <v>-1932.7199999999998</v>
      </c>
      <c r="F6" s="21">
        <f t="shared" si="2"/>
        <v>-1932.7199999999998</v>
      </c>
      <c r="G6" s="21">
        <f t="shared" si="3"/>
        <v>-269.84000000000049</v>
      </c>
      <c r="H6" s="21">
        <f t="shared" si="4"/>
        <v>-42.43</v>
      </c>
      <c r="I6" s="24">
        <f t="shared" si="5"/>
        <v>-2244.9900000000002</v>
      </c>
      <c r="J6" s="46">
        <f t="shared" si="6"/>
        <v>0</v>
      </c>
      <c r="M6" s="46"/>
    </row>
    <row r="7" spans="1:34">
      <c r="A7" s="19" t="s">
        <v>93</v>
      </c>
      <c r="B7" s="19"/>
      <c r="C7" s="19"/>
      <c r="D7" s="21">
        <f t="shared" si="0"/>
        <v>0</v>
      </c>
      <c r="E7" s="21">
        <f t="shared" si="1"/>
        <v>-2843.0699999999997</v>
      </c>
      <c r="F7" s="21">
        <f t="shared" si="2"/>
        <v>-2843.0699999999997</v>
      </c>
      <c r="G7" s="21">
        <f t="shared" si="3"/>
        <v>1033.4900000000002</v>
      </c>
      <c r="H7" s="21">
        <f t="shared" si="4"/>
        <v>-27.400000000000002</v>
      </c>
      <c r="I7" s="24">
        <f t="shared" si="5"/>
        <v>-1836.9799999999996</v>
      </c>
      <c r="J7" s="46">
        <f t="shared" si="6"/>
        <v>0</v>
      </c>
      <c r="M7" s="46"/>
    </row>
    <row r="8" spans="1:34" ht="15.75" thickBot="1">
      <c r="A8" s="19" t="s">
        <v>94</v>
      </c>
      <c r="B8" s="19"/>
      <c r="C8" s="19"/>
      <c r="D8" s="21">
        <f>SUM(C20:L20)</f>
        <v>0</v>
      </c>
      <c r="E8" s="21">
        <f>SUM(C27:K27)</f>
        <v>-730.88</v>
      </c>
      <c r="F8" s="21">
        <f>E8-D8</f>
        <v>-730.88</v>
      </c>
      <c r="G8" s="21">
        <f>+B43</f>
        <v>-411.51000000000022</v>
      </c>
      <c r="H8" s="21">
        <f>SUM(C51:K51)</f>
        <v>-23.61</v>
      </c>
      <c r="I8" s="24">
        <f>SUM(F8:H8)</f>
        <v>-1166.0000000000002</v>
      </c>
      <c r="J8" s="46">
        <f>+I8-L43</f>
        <v>0</v>
      </c>
      <c r="M8" s="46"/>
    </row>
    <row r="9" spans="1:34" ht="16.5" thickTop="1" thickBot="1">
      <c r="D9" s="26">
        <f t="shared" ref="D9" si="7">SUM(D4:D8)</f>
        <v>-9939.165551517186</v>
      </c>
      <c r="E9" s="26">
        <f>SUM(E4:E8)</f>
        <v>-24627.200000000001</v>
      </c>
      <c r="F9" s="26">
        <f>SUM(F4:F8)</f>
        <v>-14688.034448482811</v>
      </c>
      <c r="G9" s="26">
        <f>SUM(G4:G8)</f>
        <v>-9916.5855515172098</v>
      </c>
      <c r="H9" s="26">
        <f>SUM(H4:H8)</f>
        <v>-479.15999999999997</v>
      </c>
      <c r="I9" s="26">
        <f>SUM(I4:I8)</f>
        <v>-25083.780000000021</v>
      </c>
      <c r="S9" s="5"/>
    </row>
    <row r="10" spans="1:34" ht="16.5" thickTop="1" thickBot="1">
      <c r="C10" s="38"/>
      <c r="D10" s="38"/>
      <c r="E10" s="38"/>
      <c r="F10" s="38"/>
      <c r="G10" s="38"/>
      <c r="H10" s="38"/>
      <c r="I10" s="38"/>
      <c r="J10" s="38"/>
      <c r="K10" s="38"/>
      <c r="L10" s="38"/>
      <c r="U10" s="4"/>
      <c r="V10" s="5"/>
    </row>
    <row r="11" spans="1:34" ht="120.75" thickBot="1">
      <c r="B11" s="111" t="str">
        <f>'PCR Cycle 4'!B$11</f>
        <v>Cumulative Over/Under Carryover From 12/01/2025 Filing</v>
      </c>
      <c r="C11" s="144" t="str">
        <f>'PCR Cycle 4'!C$11</f>
        <v>Reverse November 2025 - January 2026 Forecast From 12/01/2025 Filing</v>
      </c>
      <c r="D11" s="362" t="s">
        <v>28</v>
      </c>
      <c r="E11" s="362"/>
      <c r="F11" s="363"/>
      <c r="G11" s="372" t="s">
        <v>28</v>
      </c>
      <c r="H11" s="373"/>
      <c r="I11" s="374"/>
      <c r="J11" s="357" t="s">
        <v>6</v>
      </c>
      <c r="K11" s="358"/>
      <c r="L11" s="359"/>
      <c r="O11" s="260" t="s">
        <v>177</v>
      </c>
    </row>
    <row r="12" spans="1:34">
      <c r="A12" s="45" t="s">
        <v>79</v>
      </c>
      <c r="C12" s="322"/>
      <c r="D12" s="321">
        <f>+'PCR Cycle 4'!E$12</f>
        <v>45991</v>
      </c>
      <c r="E12" s="321">
        <f>+'PCR Cycle 4'!F$12</f>
        <v>46022</v>
      </c>
      <c r="F12" s="321">
        <f>+'PCR Cycle 4'!G$12</f>
        <v>46053</v>
      </c>
      <c r="G12" s="322">
        <f>+'PCR Cycle 4'!H$12</f>
        <v>46081</v>
      </c>
      <c r="H12" s="321">
        <f>+'PCR Cycle 4'!I$12</f>
        <v>46112</v>
      </c>
      <c r="I12" s="323">
        <f>+'PCR Cycle 4'!J$12</f>
        <v>46142</v>
      </c>
      <c r="J12" s="321">
        <f>+'PCR Cycle 4'!K$12</f>
        <v>46173</v>
      </c>
      <c r="K12" s="321">
        <f>+'PCR Cycle 4'!L$12</f>
        <v>46203</v>
      </c>
      <c r="L12" s="324">
        <f>+'PCR Cycle 4'!M$12</f>
        <v>46234</v>
      </c>
      <c r="Y12" s="1"/>
      <c r="Z12" s="1"/>
      <c r="AA12" s="1"/>
      <c r="AB12" s="1"/>
      <c r="AC12" s="1"/>
      <c r="AD12" s="1"/>
      <c r="AE12" s="1"/>
      <c r="AF12" s="1"/>
      <c r="AG12" s="1"/>
      <c r="AH12" s="1"/>
    </row>
    <row r="13" spans="1:34">
      <c r="A13" s="45" t="s">
        <v>3</v>
      </c>
      <c r="C13" s="95">
        <v>0</v>
      </c>
      <c r="D13" s="105">
        <f>SUM(D23:D27)</f>
        <v>0</v>
      </c>
      <c r="E13" s="105">
        <f t="shared" ref="E13:H13" si="8">SUM(E23:E27)</f>
        <v>0</v>
      </c>
      <c r="F13" s="106">
        <f t="shared" si="8"/>
        <v>0</v>
      </c>
      <c r="G13" s="15">
        <f t="shared" si="8"/>
        <v>-24627.200000000001</v>
      </c>
      <c r="H13" s="54">
        <f t="shared" si="8"/>
        <v>0</v>
      </c>
      <c r="I13" s="156">
        <f>+I23+I27</f>
        <v>0</v>
      </c>
      <c r="J13" s="149">
        <f t="shared" ref="J13:K13" si="9">+J23+J27</f>
        <v>0</v>
      </c>
      <c r="K13" s="76">
        <f t="shared" si="9"/>
        <v>0</v>
      </c>
      <c r="L13" s="77"/>
      <c r="O13" s="46">
        <f t="shared" ref="O13" si="10">-SUM(J13:L13)</f>
        <v>0</v>
      </c>
    </row>
    <row r="14" spans="1:34">
      <c r="C14" s="97"/>
      <c r="D14" s="16"/>
      <c r="E14" s="16"/>
      <c r="F14" s="16"/>
      <c r="G14" s="9"/>
      <c r="H14" s="16"/>
      <c r="I14" s="10"/>
      <c r="J14" s="30"/>
      <c r="K14" s="30"/>
      <c r="L14" s="28"/>
    </row>
    <row r="15" spans="1:34">
      <c r="A15" s="45" t="s">
        <v>78</v>
      </c>
      <c r="C15" s="97"/>
      <c r="D15" s="236"/>
      <c r="E15" s="236"/>
      <c r="F15" s="236"/>
      <c r="G15" s="99"/>
      <c r="H15" s="236"/>
      <c r="I15" s="345"/>
      <c r="J15" s="30"/>
      <c r="K15" s="30"/>
      <c r="L15" s="28"/>
      <c r="M15" s="62" t="s">
        <v>44</v>
      </c>
      <c r="N15" s="38"/>
    </row>
    <row r="16" spans="1:34">
      <c r="A16" s="45" t="s">
        <v>22</v>
      </c>
      <c r="C16" s="327">
        <v>6867.9044484828137</v>
      </c>
      <c r="D16" s="128">
        <f>'[4]EMM Nov25'!$G129</f>
        <v>-1626.99</v>
      </c>
      <c r="E16" s="128">
        <f>'[4]EMM Dec25'!$G129</f>
        <v>-2286.33</v>
      </c>
      <c r="F16" s="175">
        <f>'[4]EMM Jan26'!$G129</f>
        <v>-12893.75</v>
      </c>
      <c r="G16" s="15">
        <f>'[4]EMM Feb26'!$G129</f>
        <v>0</v>
      </c>
      <c r="H16" s="114">
        <f>'[4]EMM Mar26'!$G129</f>
        <v>0</v>
      </c>
      <c r="I16" s="158">
        <f>'[4]EMM Apr26'!$G129</f>
        <v>0</v>
      </c>
      <c r="J16" s="116">
        <f>'PCR Cycle 4'!K22*$M16</f>
        <v>0</v>
      </c>
      <c r="K16" s="40">
        <f>'PCR Cycle 4'!L22*$M16</f>
        <v>0</v>
      </c>
      <c r="L16" s="60">
        <f>'PCR Cycle 4'!M22*$M16</f>
        <v>0</v>
      </c>
      <c r="M16" s="71">
        <v>0</v>
      </c>
      <c r="N16" s="4"/>
      <c r="O16" s="46">
        <f t="shared" ref="O16:O20" si="11">-SUM(J16:L16)</f>
        <v>0</v>
      </c>
    </row>
    <row r="17" spans="1:18">
      <c r="A17" s="45" t="s">
        <v>114</v>
      </c>
      <c r="C17" s="327">
        <v>0</v>
      </c>
      <c r="D17" s="128">
        <f>'[4]EMM Nov25'!$G130</f>
        <v>0</v>
      </c>
      <c r="E17" s="128">
        <f>'[4]EMM Dec25'!$G130</f>
        <v>0</v>
      </c>
      <c r="F17" s="175">
        <f>'[4]EMM Jan26'!$G130</f>
        <v>0</v>
      </c>
      <c r="G17" s="15">
        <f>'[4]EMM Feb26'!$G130</f>
        <v>0</v>
      </c>
      <c r="H17" s="114">
        <f>'[4]EMM Mar26'!$G130</f>
        <v>0</v>
      </c>
      <c r="I17" s="158">
        <f>'[4]EMM Apr26'!$G130</f>
        <v>0</v>
      </c>
      <c r="J17" s="116">
        <f>'PCR Cycle 4'!K23*$M17</f>
        <v>0</v>
      </c>
      <c r="K17" s="40">
        <f>'PCR Cycle 4'!L23*$M17</f>
        <v>0</v>
      </c>
      <c r="L17" s="60">
        <f>'PCR Cycle 4'!M23*$M17</f>
        <v>0</v>
      </c>
      <c r="M17" s="71">
        <v>0</v>
      </c>
      <c r="N17" s="4"/>
      <c r="O17" s="46">
        <f t="shared" si="11"/>
        <v>0</v>
      </c>
    </row>
    <row r="18" spans="1:18">
      <c r="A18" s="45" t="s">
        <v>115</v>
      </c>
      <c r="C18" s="327">
        <v>0</v>
      </c>
      <c r="D18" s="128">
        <f>'[4]EMM Nov25'!$G131</f>
        <v>0</v>
      </c>
      <c r="E18" s="128">
        <f>'[4]EMM Dec25'!$G131</f>
        <v>0</v>
      </c>
      <c r="F18" s="175">
        <f>'[4]EMM Jan26'!$G131</f>
        <v>0</v>
      </c>
      <c r="G18" s="15">
        <f>'[4]EMM Feb26'!$G131</f>
        <v>0</v>
      </c>
      <c r="H18" s="114">
        <f>'[4]EMM Mar26'!$G131</f>
        <v>0</v>
      </c>
      <c r="I18" s="158">
        <f>'[4]EMM Apr26'!$G131</f>
        <v>0</v>
      </c>
      <c r="J18" s="116">
        <f>'PCR Cycle 4'!K24*$M18</f>
        <v>0</v>
      </c>
      <c r="K18" s="40">
        <f>'PCR Cycle 4'!L24*$M18</f>
        <v>0</v>
      </c>
      <c r="L18" s="60">
        <f>'PCR Cycle 4'!M24*$M18</f>
        <v>0</v>
      </c>
      <c r="M18" s="71">
        <v>0</v>
      </c>
      <c r="N18" s="4"/>
      <c r="O18" s="46">
        <f t="shared" si="11"/>
        <v>0</v>
      </c>
    </row>
    <row r="19" spans="1:18">
      <c r="A19" s="45" t="s">
        <v>116</v>
      </c>
      <c r="C19" s="327">
        <v>0</v>
      </c>
      <c r="D19" s="128">
        <f>'[4]EMM Nov25'!$G132</f>
        <v>0</v>
      </c>
      <c r="E19" s="128">
        <f>'[4]EMM Dec25'!$G132</f>
        <v>0</v>
      </c>
      <c r="F19" s="175">
        <f>'[4]EMM Jan26'!$G132</f>
        <v>0</v>
      </c>
      <c r="G19" s="15">
        <f>'[4]EMM Feb26'!$G132</f>
        <v>0</v>
      </c>
      <c r="H19" s="114">
        <f>'[4]EMM Mar26'!$G132</f>
        <v>0</v>
      </c>
      <c r="I19" s="158">
        <f>'[4]EMM Apr26'!$G132</f>
        <v>0</v>
      </c>
      <c r="J19" s="116">
        <f>'PCR Cycle 4'!K25*$M19</f>
        <v>0</v>
      </c>
      <c r="K19" s="40">
        <f>'PCR Cycle 4'!L25*$M19</f>
        <v>0</v>
      </c>
      <c r="L19" s="60">
        <f>'PCR Cycle 4'!M25*$M19</f>
        <v>0</v>
      </c>
      <c r="M19" s="71">
        <v>0</v>
      </c>
      <c r="N19" s="4"/>
      <c r="O19" s="46">
        <f t="shared" si="11"/>
        <v>0</v>
      </c>
    </row>
    <row r="20" spans="1:18">
      <c r="A20" s="45" t="s">
        <v>117</v>
      </c>
      <c r="C20" s="327">
        <v>0</v>
      </c>
      <c r="D20" s="128">
        <f>'[4]EMM Nov25'!$G133</f>
        <v>0</v>
      </c>
      <c r="E20" s="128">
        <f>'[4]EMM Dec25'!$G133</f>
        <v>0</v>
      </c>
      <c r="F20" s="175">
        <f>'[4]EMM Jan26'!$G133</f>
        <v>0</v>
      </c>
      <c r="G20" s="15">
        <f>'[4]EMM Feb26'!$G133</f>
        <v>0</v>
      </c>
      <c r="H20" s="114">
        <f>'[4]EMM Mar26'!$G133</f>
        <v>0</v>
      </c>
      <c r="I20" s="158">
        <f>'[4]EMM Apr26'!$G133</f>
        <v>0</v>
      </c>
      <c r="J20" s="116">
        <f>'PCR Cycle 4'!K26*$M20</f>
        <v>0</v>
      </c>
      <c r="K20" s="40">
        <f>'PCR Cycle 4'!L26*$M20</f>
        <v>0</v>
      </c>
      <c r="L20" s="60">
        <f>'PCR Cycle 4'!M26*$M20</f>
        <v>0</v>
      </c>
      <c r="M20" s="71">
        <v>0</v>
      </c>
      <c r="N20" s="4"/>
      <c r="O20" s="46">
        <f t="shared" si="11"/>
        <v>0</v>
      </c>
    </row>
    <row r="21" spans="1:18">
      <c r="C21" s="66"/>
      <c r="D21" s="67"/>
      <c r="E21" s="67"/>
      <c r="F21" s="67"/>
      <c r="G21" s="96"/>
      <c r="H21" s="67"/>
      <c r="I21" s="159"/>
      <c r="J21" s="55"/>
      <c r="K21" s="55"/>
      <c r="L21" s="12"/>
      <c r="N21" s="4"/>
    </row>
    <row r="22" spans="1:18">
      <c r="A22" s="45" t="s">
        <v>80</v>
      </c>
      <c r="C22" s="35"/>
      <c r="D22" s="36"/>
      <c r="E22" s="36"/>
      <c r="F22" s="36"/>
      <c r="G22" s="35"/>
      <c r="H22" s="36"/>
      <c r="I22" s="162"/>
      <c r="J22" s="51"/>
      <c r="K22" s="51"/>
      <c r="L22" s="37"/>
    </row>
    <row r="23" spans="1:18">
      <c r="A23" s="45" t="s">
        <v>22</v>
      </c>
      <c r="C23" s="327">
        <v>0</v>
      </c>
      <c r="D23" s="105">
        <v>0</v>
      </c>
      <c r="E23" s="105">
        <v>0</v>
      </c>
      <c r="F23" s="106">
        <v>0</v>
      </c>
      <c r="G23" s="15">
        <f>'[28]OA Summary by Rate Class'!$D8</f>
        <v>-18190.329999999998</v>
      </c>
      <c r="H23" s="54">
        <v>0</v>
      </c>
      <c r="I23" s="156">
        <v>0</v>
      </c>
      <c r="J23" s="151">
        <v>0</v>
      </c>
      <c r="K23" s="135">
        <v>0</v>
      </c>
      <c r="L23" s="77"/>
      <c r="O23" s="46">
        <f t="shared" ref="O23:O27" si="12">-SUM(J23:L23)</f>
        <v>0</v>
      </c>
    </row>
    <row r="24" spans="1:18">
      <c r="A24" s="45" t="s">
        <v>114</v>
      </c>
      <c r="C24" s="327">
        <v>0</v>
      </c>
      <c r="D24" s="105">
        <v>0</v>
      </c>
      <c r="E24" s="105">
        <v>0</v>
      </c>
      <c r="F24" s="106">
        <v>0</v>
      </c>
      <c r="G24" s="15">
        <f>'[28]OA Summary by Rate Class'!$D9</f>
        <v>-930.2</v>
      </c>
      <c r="H24" s="54">
        <v>0</v>
      </c>
      <c r="I24" s="156">
        <v>0</v>
      </c>
      <c r="J24" s="151">
        <v>0</v>
      </c>
      <c r="K24" s="135">
        <v>0</v>
      </c>
      <c r="L24" s="77"/>
      <c r="O24" s="46">
        <f t="shared" si="12"/>
        <v>0</v>
      </c>
    </row>
    <row r="25" spans="1:18">
      <c r="A25" s="45" t="s">
        <v>115</v>
      </c>
      <c r="C25" s="327">
        <v>0</v>
      </c>
      <c r="D25" s="105">
        <v>0</v>
      </c>
      <c r="E25" s="105">
        <v>0</v>
      </c>
      <c r="F25" s="106">
        <v>0</v>
      </c>
      <c r="G25" s="15">
        <f>'[28]OA Summary by Rate Class'!$D10</f>
        <v>-1932.7199999999998</v>
      </c>
      <c r="H25" s="54">
        <v>0</v>
      </c>
      <c r="I25" s="156">
        <v>0</v>
      </c>
      <c r="J25" s="151">
        <v>0</v>
      </c>
      <c r="K25" s="135">
        <v>0</v>
      </c>
      <c r="L25" s="77"/>
      <c r="O25" s="46">
        <f t="shared" si="12"/>
        <v>0</v>
      </c>
    </row>
    <row r="26" spans="1:18">
      <c r="A26" s="45" t="s">
        <v>116</v>
      </c>
      <c r="C26" s="327">
        <v>0</v>
      </c>
      <c r="D26" s="105">
        <v>0</v>
      </c>
      <c r="E26" s="105">
        <v>0</v>
      </c>
      <c r="F26" s="106">
        <v>0</v>
      </c>
      <c r="G26" s="15">
        <f>'[28]OA Summary by Rate Class'!$D11</f>
        <v>-2843.0699999999997</v>
      </c>
      <c r="H26" s="54">
        <v>0</v>
      </c>
      <c r="I26" s="156">
        <v>0</v>
      </c>
      <c r="J26" s="151">
        <v>0</v>
      </c>
      <c r="K26" s="135">
        <v>0</v>
      </c>
      <c r="L26" s="77"/>
      <c r="O26" s="46">
        <f t="shared" si="12"/>
        <v>0</v>
      </c>
    </row>
    <row r="27" spans="1:18">
      <c r="A27" s="45" t="s">
        <v>117</v>
      </c>
      <c r="C27" s="327">
        <v>0</v>
      </c>
      <c r="D27" s="105">
        <v>0</v>
      </c>
      <c r="E27" s="105">
        <v>0</v>
      </c>
      <c r="F27" s="106">
        <v>0</v>
      </c>
      <c r="G27" s="15">
        <f>'[28]OA Summary by Rate Class'!$D12</f>
        <v>-730.88</v>
      </c>
      <c r="H27" s="54">
        <v>0</v>
      </c>
      <c r="I27" s="156">
        <v>0</v>
      </c>
      <c r="J27" s="151">
        <v>0</v>
      </c>
      <c r="K27" s="135">
        <v>0</v>
      </c>
      <c r="L27" s="77"/>
      <c r="N27" s="46"/>
      <c r="O27" s="46">
        <f t="shared" si="12"/>
        <v>0</v>
      </c>
    </row>
    <row r="28" spans="1:18">
      <c r="C28" s="97"/>
      <c r="D28" s="17"/>
      <c r="E28" s="17"/>
      <c r="F28" s="17"/>
      <c r="G28" s="99"/>
      <c r="H28" s="236"/>
      <c r="I28" s="345"/>
      <c r="J28" s="55"/>
      <c r="K28" s="55"/>
      <c r="L28" s="12"/>
    </row>
    <row r="29" spans="1:18" ht="15.75" thickBot="1">
      <c r="A29" s="3" t="s">
        <v>12</v>
      </c>
      <c r="B29" s="3"/>
      <c r="C29" s="329">
        <v>130</v>
      </c>
      <c r="D29" s="128">
        <f>-68.55-0.01</f>
        <v>-68.56</v>
      </c>
      <c r="E29" s="128">
        <f>-57.86+0.01</f>
        <v>-57.85</v>
      </c>
      <c r="F29" s="129">
        <v>-26.22</v>
      </c>
      <c r="G29" s="25">
        <f>-50.21+0.01</f>
        <v>-50.2</v>
      </c>
      <c r="H29" s="115">
        <f>-102.71+0.01</f>
        <v>-102.69999999999999</v>
      </c>
      <c r="I29" s="163">
        <v>-100.8</v>
      </c>
      <c r="J29" s="152">
        <f>ROUND((SUM(I39:I43)+SUM(I47:I51)+SUM(J32:J36)/2)*J$45,2)</f>
        <v>-101.21</v>
      </c>
      <c r="K29" s="137">
        <f>ROUND((SUM(J39:J43)+SUM(J47:J51)+SUM(K32:K36)/2)*K$45,2)</f>
        <v>-101.62</v>
      </c>
      <c r="L29" s="80"/>
      <c r="O29" s="46">
        <f t="shared" ref="O29" si="13">-SUM(J29:L29)</f>
        <v>202.82999999999998</v>
      </c>
      <c r="R29" s="292"/>
    </row>
    <row r="30" spans="1:18">
      <c r="C30" s="63"/>
      <c r="D30" s="140"/>
      <c r="E30" s="140"/>
      <c r="F30" s="141"/>
      <c r="G30" s="63"/>
      <c r="H30" s="32"/>
      <c r="I30" s="164"/>
      <c r="J30" s="33"/>
      <c r="K30" s="33"/>
      <c r="L30" s="59"/>
    </row>
    <row r="31" spans="1:18">
      <c r="A31" s="45" t="s">
        <v>46</v>
      </c>
      <c r="C31" s="64"/>
      <c r="D31" s="141"/>
      <c r="E31" s="141"/>
      <c r="F31" s="141"/>
      <c r="G31" s="64"/>
      <c r="H31" s="34"/>
      <c r="I31" s="165"/>
      <c r="J31" s="33"/>
      <c r="K31" s="33"/>
      <c r="L31" s="59"/>
    </row>
    <row r="32" spans="1:18">
      <c r="A32" s="45" t="s">
        <v>22</v>
      </c>
      <c r="C32" s="98">
        <f t="shared" ref="C32:L32" si="14">C23-C16</f>
        <v>-6867.9044484828137</v>
      </c>
      <c r="D32" s="40">
        <f t="shared" si="14"/>
        <v>1626.99</v>
      </c>
      <c r="E32" s="40">
        <f t="shared" si="14"/>
        <v>2286.33</v>
      </c>
      <c r="F32" s="104">
        <f t="shared" si="14"/>
        <v>12893.75</v>
      </c>
      <c r="G32" s="39">
        <f t="shared" si="14"/>
        <v>-18190.329999999998</v>
      </c>
      <c r="H32" s="40">
        <f t="shared" si="14"/>
        <v>0</v>
      </c>
      <c r="I32" s="60">
        <f t="shared" si="14"/>
        <v>0</v>
      </c>
      <c r="J32" s="116">
        <f t="shared" si="14"/>
        <v>0</v>
      </c>
      <c r="K32" s="40">
        <f t="shared" si="14"/>
        <v>0</v>
      </c>
      <c r="L32" s="60">
        <f t="shared" si="14"/>
        <v>0</v>
      </c>
    </row>
    <row r="33" spans="1:15">
      <c r="A33" s="45" t="s">
        <v>114</v>
      </c>
      <c r="C33" s="98">
        <f t="shared" ref="C33:L33" si="15">C24-C17</f>
        <v>0</v>
      </c>
      <c r="D33" s="40">
        <f t="shared" si="15"/>
        <v>0</v>
      </c>
      <c r="E33" s="40">
        <f t="shared" si="15"/>
        <v>0</v>
      </c>
      <c r="F33" s="104">
        <f t="shared" si="15"/>
        <v>0</v>
      </c>
      <c r="G33" s="39">
        <f t="shared" si="15"/>
        <v>-930.2</v>
      </c>
      <c r="H33" s="40">
        <f t="shared" si="15"/>
        <v>0</v>
      </c>
      <c r="I33" s="60">
        <f t="shared" si="15"/>
        <v>0</v>
      </c>
      <c r="J33" s="116">
        <f t="shared" si="15"/>
        <v>0</v>
      </c>
      <c r="K33" s="40">
        <f t="shared" si="15"/>
        <v>0</v>
      </c>
      <c r="L33" s="60">
        <f t="shared" si="15"/>
        <v>0</v>
      </c>
    </row>
    <row r="34" spans="1:15">
      <c r="A34" s="45" t="s">
        <v>115</v>
      </c>
      <c r="C34" s="98">
        <f t="shared" ref="C34:L34" si="16">C25-C18</f>
        <v>0</v>
      </c>
      <c r="D34" s="40">
        <f t="shared" si="16"/>
        <v>0</v>
      </c>
      <c r="E34" s="40">
        <f t="shared" si="16"/>
        <v>0</v>
      </c>
      <c r="F34" s="104">
        <f t="shared" si="16"/>
        <v>0</v>
      </c>
      <c r="G34" s="39">
        <f t="shared" si="16"/>
        <v>-1932.7199999999998</v>
      </c>
      <c r="H34" s="40">
        <f t="shared" si="16"/>
        <v>0</v>
      </c>
      <c r="I34" s="60">
        <f t="shared" si="16"/>
        <v>0</v>
      </c>
      <c r="J34" s="116">
        <f t="shared" si="16"/>
        <v>0</v>
      </c>
      <c r="K34" s="40">
        <f t="shared" si="16"/>
        <v>0</v>
      </c>
      <c r="L34" s="60">
        <f t="shared" si="16"/>
        <v>0</v>
      </c>
    </row>
    <row r="35" spans="1:15">
      <c r="A35" s="45" t="s">
        <v>116</v>
      </c>
      <c r="C35" s="98">
        <f t="shared" ref="C35:L35" si="17">C26-C19</f>
        <v>0</v>
      </c>
      <c r="D35" s="40">
        <f t="shared" si="17"/>
        <v>0</v>
      </c>
      <c r="E35" s="40">
        <f t="shared" si="17"/>
        <v>0</v>
      </c>
      <c r="F35" s="104">
        <f t="shared" si="17"/>
        <v>0</v>
      </c>
      <c r="G35" s="39">
        <f t="shared" si="17"/>
        <v>-2843.0699999999997</v>
      </c>
      <c r="H35" s="40">
        <f t="shared" si="17"/>
        <v>0</v>
      </c>
      <c r="I35" s="60">
        <f t="shared" si="17"/>
        <v>0</v>
      </c>
      <c r="J35" s="116">
        <f t="shared" si="17"/>
        <v>0</v>
      </c>
      <c r="K35" s="40">
        <f t="shared" si="17"/>
        <v>0</v>
      </c>
      <c r="L35" s="60">
        <f t="shared" si="17"/>
        <v>0</v>
      </c>
    </row>
    <row r="36" spans="1:15">
      <c r="A36" s="45" t="s">
        <v>117</v>
      </c>
      <c r="C36" s="98">
        <f t="shared" ref="C36:L36" si="18">C27-C20</f>
        <v>0</v>
      </c>
      <c r="D36" s="40">
        <f t="shared" si="18"/>
        <v>0</v>
      </c>
      <c r="E36" s="40">
        <f t="shared" si="18"/>
        <v>0</v>
      </c>
      <c r="F36" s="104">
        <f t="shared" si="18"/>
        <v>0</v>
      </c>
      <c r="G36" s="39">
        <f t="shared" si="18"/>
        <v>-730.88</v>
      </c>
      <c r="H36" s="40">
        <f t="shared" si="18"/>
        <v>0</v>
      </c>
      <c r="I36" s="60">
        <f t="shared" si="18"/>
        <v>0</v>
      </c>
      <c r="J36" s="116">
        <f t="shared" si="18"/>
        <v>0</v>
      </c>
      <c r="K36" s="40">
        <f t="shared" si="18"/>
        <v>0</v>
      </c>
      <c r="L36" s="60">
        <f t="shared" si="18"/>
        <v>0</v>
      </c>
    </row>
    <row r="37" spans="1:15">
      <c r="C37" s="97"/>
      <c r="D37" s="16"/>
      <c r="E37" s="16"/>
      <c r="F37" s="16"/>
      <c r="G37" s="9"/>
      <c r="H37" s="16"/>
      <c r="I37" s="10"/>
      <c r="J37" s="16"/>
      <c r="K37" s="16"/>
      <c r="L37" s="10"/>
    </row>
    <row r="38" spans="1:15">
      <c r="A38" s="45" t="s">
        <v>47</v>
      </c>
      <c r="B38" s="38"/>
      <c r="C38" s="97"/>
      <c r="D38" s="16"/>
      <c r="E38" s="16"/>
      <c r="F38" s="16"/>
      <c r="G38" s="9"/>
      <c r="H38" s="16"/>
      <c r="I38" s="10"/>
      <c r="J38" s="16"/>
      <c r="K38" s="16"/>
      <c r="L38" s="10"/>
    </row>
    <row r="39" spans="1:15">
      <c r="A39" s="45" t="s">
        <v>22</v>
      </c>
      <c r="B39" s="272">
        <v>-9916.5855515172079</v>
      </c>
      <c r="C39" s="98">
        <f t="shared" ref="C39:L39" si="19">B39+C32+B47</f>
        <v>-16784.49000000002</v>
      </c>
      <c r="D39" s="40">
        <f t="shared" si="19"/>
        <v>-15027.51000000002</v>
      </c>
      <c r="E39" s="40">
        <f t="shared" si="19"/>
        <v>-12809.73000000002</v>
      </c>
      <c r="F39" s="104">
        <f t="shared" si="19"/>
        <v>26.159999999980428</v>
      </c>
      <c r="G39" s="39">
        <f t="shared" si="19"/>
        <v>-18190.390000000018</v>
      </c>
      <c r="H39" s="40">
        <f t="shared" si="19"/>
        <v>-18227.470000000019</v>
      </c>
      <c r="I39" s="60">
        <f t="shared" si="19"/>
        <v>-18303.33000000002</v>
      </c>
      <c r="J39" s="116">
        <f t="shared" si="19"/>
        <v>-18377.780000000021</v>
      </c>
      <c r="K39" s="40">
        <f t="shared" si="19"/>
        <v>-18452.540000000019</v>
      </c>
      <c r="L39" s="60">
        <f t="shared" si="19"/>
        <v>-18527.60000000002</v>
      </c>
    </row>
    <row r="40" spans="1:15">
      <c r="A40" s="45" t="s">
        <v>114</v>
      </c>
      <c r="B40" s="272">
        <v>-352.14000000000055</v>
      </c>
      <c r="C40" s="98">
        <f t="shared" ref="C40:L40" si="20">B40+C33+B48</f>
        <v>-352.14000000000055</v>
      </c>
      <c r="D40" s="40">
        <f t="shared" si="20"/>
        <v>-349.07000000000056</v>
      </c>
      <c r="E40" s="40">
        <f t="shared" si="20"/>
        <v>-350.58000000000055</v>
      </c>
      <c r="F40" s="104">
        <f t="shared" si="20"/>
        <v>-352.03000000000054</v>
      </c>
      <c r="G40" s="39">
        <f t="shared" si="20"/>
        <v>-1283.6700000000005</v>
      </c>
      <c r="H40" s="40">
        <f t="shared" si="20"/>
        <v>-1287.0100000000004</v>
      </c>
      <c r="I40" s="60">
        <f t="shared" si="20"/>
        <v>-1292.3700000000003</v>
      </c>
      <c r="J40" s="116">
        <f t="shared" si="20"/>
        <v>-1297.6300000000003</v>
      </c>
      <c r="K40" s="40">
        <f t="shared" si="20"/>
        <v>-1302.9100000000003</v>
      </c>
      <c r="L40" s="60">
        <f t="shared" si="20"/>
        <v>-1308.2100000000003</v>
      </c>
    </row>
    <row r="41" spans="1:15">
      <c r="A41" s="45" t="s">
        <v>115</v>
      </c>
      <c r="B41" s="272">
        <v>-269.84000000000049</v>
      </c>
      <c r="C41" s="98">
        <f t="shared" ref="C41:L41" si="21">B41+C34+B49</f>
        <v>-269.84000000000049</v>
      </c>
      <c r="D41" s="40">
        <f t="shared" si="21"/>
        <v>-267.49000000000046</v>
      </c>
      <c r="E41" s="40">
        <f t="shared" si="21"/>
        <v>-268.65000000000049</v>
      </c>
      <c r="F41" s="104">
        <f t="shared" si="21"/>
        <v>-269.7600000000005</v>
      </c>
      <c r="G41" s="39">
        <f t="shared" si="21"/>
        <v>-2203.5800000000004</v>
      </c>
      <c r="H41" s="40">
        <f t="shared" si="21"/>
        <v>-2208.6200000000003</v>
      </c>
      <c r="I41" s="60">
        <f t="shared" si="21"/>
        <v>-2217.8100000000004</v>
      </c>
      <c r="J41" s="116">
        <f t="shared" si="21"/>
        <v>-2226.8300000000004</v>
      </c>
      <c r="K41" s="40">
        <f t="shared" si="21"/>
        <v>-2235.8900000000003</v>
      </c>
      <c r="L41" s="60">
        <f t="shared" si="21"/>
        <v>-2244.9900000000002</v>
      </c>
    </row>
    <row r="42" spans="1:15">
      <c r="A42" s="45" t="s">
        <v>116</v>
      </c>
      <c r="B42" s="272">
        <v>1033.4900000000002</v>
      </c>
      <c r="C42" s="98">
        <f t="shared" ref="C42:L42" si="22">B42+C35+B50</f>
        <v>1033.4900000000002</v>
      </c>
      <c r="D42" s="40">
        <f t="shared" si="22"/>
        <v>1024.4900000000002</v>
      </c>
      <c r="E42" s="40">
        <f t="shared" si="22"/>
        <v>1028.9200000000003</v>
      </c>
      <c r="F42" s="104">
        <f t="shared" si="22"/>
        <v>1033.1900000000003</v>
      </c>
      <c r="G42" s="39">
        <f t="shared" si="22"/>
        <v>-1805.6599999999994</v>
      </c>
      <c r="H42" s="40">
        <f t="shared" si="22"/>
        <v>-1807.2299999999993</v>
      </c>
      <c r="I42" s="60">
        <f t="shared" si="22"/>
        <v>-1814.7499999999993</v>
      </c>
      <c r="J42" s="116">
        <f t="shared" si="22"/>
        <v>-1822.1299999999994</v>
      </c>
      <c r="K42" s="40">
        <f t="shared" si="22"/>
        <v>-1829.5399999999995</v>
      </c>
      <c r="L42" s="60">
        <f t="shared" si="22"/>
        <v>-1836.9799999999996</v>
      </c>
    </row>
    <row r="43" spans="1:15">
      <c r="A43" s="45" t="s">
        <v>117</v>
      </c>
      <c r="B43" s="272">
        <v>-411.51000000000022</v>
      </c>
      <c r="C43" s="98">
        <f>B43+C36+B51</f>
        <v>-411.51000000000022</v>
      </c>
      <c r="D43" s="40">
        <f t="shared" ref="D43:L43" si="23">C43+D36+C51</f>
        <v>-407.92000000000024</v>
      </c>
      <c r="E43" s="40">
        <f t="shared" si="23"/>
        <v>-409.69000000000023</v>
      </c>
      <c r="F43" s="104">
        <f t="shared" si="23"/>
        <v>-411.39000000000021</v>
      </c>
      <c r="G43" s="39">
        <f t="shared" si="23"/>
        <v>-1143.9500000000003</v>
      </c>
      <c r="H43" s="40">
        <f t="shared" si="23"/>
        <v>-1147.1200000000003</v>
      </c>
      <c r="I43" s="60">
        <f t="shared" si="23"/>
        <v>-1151.8900000000003</v>
      </c>
      <c r="J43" s="116">
        <f t="shared" si="23"/>
        <v>-1156.5800000000004</v>
      </c>
      <c r="K43" s="40">
        <f t="shared" si="23"/>
        <v>-1161.2800000000004</v>
      </c>
      <c r="L43" s="60">
        <f t="shared" si="23"/>
        <v>-1166.0000000000005</v>
      </c>
    </row>
    <row r="44" spans="1:15">
      <c r="C44" s="97"/>
      <c r="D44" s="16"/>
      <c r="E44" s="16"/>
      <c r="F44" s="16"/>
      <c r="G44" s="9"/>
      <c r="H44" s="16"/>
      <c r="I44" s="10"/>
      <c r="J44" s="16"/>
      <c r="K44" s="16"/>
      <c r="L44" s="10"/>
    </row>
    <row r="45" spans="1:15">
      <c r="A45" s="38" t="s">
        <v>43</v>
      </c>
      <c r="B45" s="38"/>
      <c r="C45" s="101"/>
      <c r="D45" s="81">
        <f>'PCR Cycle 3'!E$51</f>
        <v>4.3276900000000004E-3</v>
      </c>
      <c r="E45" s="81">
        <f>'PCR Cycle 3'!F$51</f>
        <v>4.1470099999999996E-3</v>
      </c>
      <c r="F45" s="81">
        <f>'PCR Cycle 3'!G$51</f>
        <v>4.0829999999999998E-3</v>
      </c>
      <c r="G45" s="82">
        <f>'PCR Cycle 3'!H$51</f>
        <v>4.0773399999999996E-3</v>
      </c>
      <c r="H45" s="81">
        <f>'PCR Cycle 3'!I$51</f>
        <v>4.1620499999999996E-3</v>
      </c>
      <c r="I45" s="90">
        <f>'PCR Cycle 3'!J$51</f>
        <v>4.0677700000000001E-3</v>
      </c>
      <c r="J45" s="81">
        <f>'PCR Cycle 3'!K$51</f>
        <v>4.0677700000000001E-3</v>
      </c>
      <c r="K45" s="81">
        <f>'PCR Cycle 3'!L$51</f>
        <v>4.0677700000000001E-3</v>
      </c>
      <c r="L45" s="83"/>
    </row>
    <row r="46" spans="1:15">
      <c r="A46" s="38" t="s">
        <v>31</v>
      </c>
      <c r="B46" s="38"/>
      <c r="C46" s="102"/>
      <c r="D46" s="81"/>
      <c r="E46" s="81"/>
      <c r="F46" s="81"/>
      <c r="G46" s="82"/>
      <c r="H46" s="81"/>
      <c r="I46" s="83"/>
      <c r="J46" s="81"/>
      <c r="K46" s="81"/>
      <c r="L46" s="83"/>
    </row>
    <row r="47" spans="1:15">
      <c r="A47" s="45" t="s">
        <v>22</v>
      </c>
      <c r="C47" s="330">
        <v>129.99</v>
      </c>
      <c r="D47" s="40">
        <f t="shared" ref="D47:L51" si="24">ROUND((C39+C47+D32/2)*D$45,2)</f>
        <v>-68.55</v>
      </c>
      <c r="E47" s="40">
        <f t="shared" si="24"/>
        <v>-57.86</v>
      </c>
      <c r="F47" s="104">
        <f t="shared" si="24"/>
        <v>-26.22</v>
      </c>
      <c r="G47" s="39">
        <f t="shared" si="24"/>
        <v>-37.08</v>
      </c>
      <c r="H47" s="116">
        <f t="shared" si="24"/>
        <v>-75.86</v>
      </c>
      <c r="I47" s="48">
        <f t="shared" si="24"/>
        <v>-74.45</v>
      </c>
      <c r="J47" s="153">
        <f t="shared" si="24"/>
        <v>-74.760000000000005</v>
      </c>
      <c r="K47" s="104">
        <f t="shared" si="24"/>
        <v>-75.06</v>
      </c>
      <c r="L47" s="60">
        <f t="shared" si="24"/>
        <v>0</v>
      </c>
      <c r="O47" s="46">
        <f t="shared" ref="O47:O51" si="25">-SUM(J47:L47)</f>
        <v>149.82</v>
      </c>
    </row>
    <row r="48" spans="1:15">
      <c r="A48" s="45" t="s">
        <v>114</v>
      </c>
      <c r="C48" s="330">
        <v>3.0700000000000003</v>
      </c>
      <c r="D48" s="40">
        <f t="shared" ref="D48:L48" si="26">ROUND((C40+C48+D33/2)*D$45,2)</f>
        <v>-1.51</v>
      </c>
      <c r="E48" s="40">
        <f t="shared" si="26"/>
        <v>-1.45</v>
      </c>
      <c r="F48" s="104">
        <f t="shared" si="26"/>
        <v>-1.44</v>
      </c>
      <c r="G48" s="39">
        <f t="shared" si="24"/>
        <v>-3.34</v>
      </c>
      <c r="H48" s="116">
        <f t="shared" si="26"/>
        <v>-5.36</v>
      </c>
      <c r="I48" s="48">
        <f t="shared" si="26"/>
        <v>-5.26</v>
      </c>
      <c r="J48" s="153">
        <f t="shared" si="26"/>
        <v>-5.28</v>
      </c>
      <c r="K48" s="104">
        <f t="shared" si="26"/>
        <v>-5.3</v>
      </c>
      <c r="L48" s="60">
        <f t="shared" si="26"/>
        <v>0</v>
      </c>
      <c r="O48" s="46">
        <f t="shared" si="25"/>
        <v>10.58</v>
      </c>
    </row>
    <row r="49" spans="1:15">
      <c r="A49" s="45" t="s">
        <v>115</v>
      </c>
      <c r="C49" s="330">
        <v>2.3499999999999996</v>
      </c>
      <c r="D49" s="40">
        <f t="shared" ref="D49:L49" si="27">ROUND((C41+C49+D34/2)*D$45,2)</f>
        <v>-1.1599999999999999</v>
      </c>
      <c r="E49" s="40">
        <f t="shared" si="27"/>
        <v>-1.1100000000000001</v>
      </c>
      <c r="F49" s="104">
        <f t="shared" si="27"/>
        <v>-1.1000000000000001</v>
      </c>
      <c r="G49" s="39">
        <f t="shared" si="24"/>
        <v>-5.04</v>
      </c>
      <c r="H49" s="116">
        <f t="shared" si="27"/>
        <v>-9.19</v>
      </c>
      <c r="I49" s="48">
        <f t="shared" si="27"/>
        <v>-9.02</v>
      </c>
      <c r="J49" s="153">
        <f t="shared" si="27"/>
        <v>-9.06</v>
      </c>
      <c r="K49" s="104">
        <f t="shared" si="27"/>
        <v>-9.1</v>
      </c>
      <c r="L49" s="60">
        <f t="shared" si="27"/>
        <v>0</v>
      </c>
      <c r="O49" s="46">
        <f t="shared" si="25"/>
        <v>18.16</v>
      </c>
    </row>
    <row r="50" spans="1:15">
      <c r="A50" s="45" t="s">
        <v>116</v>
      </c>
      <c r="C50" s="330">
        <v>-9</v>
      </c>
      <c r="D50" s="40">
        <f t="shared" ref="D50:L50" si="28">ROUND((C42+C50+D35/2)*D$45,2)</f>
        <v>4.43</v>
      </c>
      <c r="E50" s="40">
        <f t="shared" si="28"/>
        <v>4.2699999999999996</v>
      </c>
      <c r="F50" s="104">
        <f t="shared" si="28"/>
        <v>4.22</v>
      </c>
      <c r="G50" s="39">
        <f t="shared" si="24"/>
        <v>-1.57</v>
      </c>
      <c r="H50" s="116">
        <f t="shared" si="28"/>
        <v>-7.52</v>
      </c>
      <c r="I50" s="48">
        <f t="shared" si="28"/>
        <v>-7.38</v>
      </c>
      <c r="J50" s="153">
        <f t="shared" si="28"/>
        <v>-7.41</v>
      </c>
      <c r="K50" s="104">
        <f t="shared" si="28"/>
        <v>-7.44</v>
      </c>
      <c r="L50" s="60">
        <f t="shared" si="28"/>
        <v>0</v>
      </c>
      <c r="O50" s="46">
        <f t="shared" si="25"/>
        <v>14.850000000000001</v>
      </c>
    </row>
    <row r="51" spans="1:15" ht="15.75" thickBot="1">
      <c r="A51" s="45" t="s">
        <v>117</v>
      </c>
      <c r="C51" s="330">
        <v>3.59</v>
      </c>
      <c r="D51" s="40">
        <f t="shared" ref="D51:L51" si="29">ROUND((C43+C51+D36/2)*D$45,2)</f>
        <v>-1.77</v>
      </c>
      <c r="E51" s="40">
        <f t="shared" si="29"/>
        <v>-1.7</v>
      </c>
      <c r="F51" s="104">
        <f t="shared" si="29"/>
        <v>-1.68</v>
      </c>
      <c r="G51" s="39">
        <f t="shared" si="24"/>
        <v>-3.17</v>
      </c>
      <c r="H51" s="116">
        <f t="shared" si="29"/>
        <v>-4.7699999999999996</v>
      </c>
      <c r="I51" s="48">
        <f t="shared" si="29"/>
        <v>-4.6900000000000004</v>
      </c>
      <c r="J51" s="153">
        <f t="shared" si="29"/>
        <v>-4.7</v>
      </c>
      <c r="K51" s="104">
        <f t="shared" si="29"/>
        <v>-4.72</v>
      </c>
      <c r="L51" s="60">
        <f t="shared" si="29"/>
        <v>0</v>
      </c>
      <c r="O51" s="46">
        <f t="shared" si="25"/>
        <v>9.42</v>
      </c>
    </row>
    <row r="52" spans="1:15" ht="16.5" thickTop="1" thickBot="1">
      <c r="A52" s="53" t="s">
        <v>20</v>
      </c>
      <c r="B52" s="53"/>
      <c r="C52" s="103">
        <v>0</v>
      </c>
      <c r="D52" s="41">
        <f t="shared" ref="D52:I52" si="30">SUM(D47:D51)+SUM(D39:D43)-D55</f>
        <v>0</v>
      </c>
      <c r="E52" s="41">
        <f t="shared" si="30"/>
        <v>0</v>
      </c>
      <c r="F52" s="49">
        <f t="shared" ref="F52:H52" si="31">SUM(F47:F51)+SUM(F39:F43)-F55</f>
        <v>2.4122925879055401E-12</v>
      </c>
      <c r="G52" s="138">
        <f t="shared" si="31"/>
        <v>0</v>
      </c>
      <c r="H52" s="49">
        <f t="shared" si="31"/>
        <v>0</v>
      </c>
      <c r="I52" s="61">
        <f t="shared" si="30"/>
        <v>0</v>
      </c>
      <c r="J52" s="154">
        <f t="shared" ref="J52:L52" si="32">SUM(J47:J51)+SUM(J39:J43)-J55</f>
        <v>0</v>
      </c>
      <c r="K52" s="49">
        <f t="shared" si="32"/>
        <v>0</v>
      </c>
      <c r="L52" s="61">
        <f t="shared" si="32"/>
        <v>0</v>
      </c>
    </row>
    <row r="53" spans="1:15" ht="16.5" thickTop="1" thickBot="1">
      <c r="A53" s="53" t="s">
        <v>21</v>
      </c>
      <c r="B53" s="53"/>
      <c r="C53" s="103">
        <v>0</v>
      </c>
      <c r="D53" s="41">
        <f t="shared" ref="D53:I53" si="33">SUM(D47:D51)-D29</f>
        <v>0</v>
      </c>
      <c r="E53" s="41">
        <f t="shared" si="33"/>
        <v>0</v>
      </c>
      <c r="F53" s="49">
        <f t="shared" ref="F53:H53" si="34">SUM(F47:F51)-F29</f>
        <v>0</v>
      </c>
      <c r="G53" s="138">
        <f t="shared" si="34"/>
        <v>0</v>
      </c>
      <c r="H53" s="49">
        <f t="shared" si="34"/>
        <v>0</v>
      </c>
      <c r="I53" s="61">
        <f t="shared" si="33"/>
        <v>0</v>
      </c>
      <c r="J53" s="155">
        <f t="shared" ref="J53:L53" si="35">SUM(J47:J51)-J29</f>
        <v>0</v>
      </c>
      <c r="K53" s="41">
        <f t="shared" si="35"/>
        <v>0</v>
      </c>
      <c r="L53" s="41">
        <f t="shared" si="35"/>
        <v>0</v>
      </c>
    </row>
    <row r="54" spans="1:15" ht="16.5" thickTop="1" thickBot="1">
      <c r="C54" s="97"/>
      <c r="D54" s="16"/>
      <c r="E54" s="16"/>
      <c r="F54" s="16"/>
      <c r="G54" s="9"/>
      <c r="H54" s="16"/>
      <c r="I54" s="10"/>
      <c r="J54" s="16"/>
      <c r="K54" s="16"/>
      <c r="L54" s="10"/>
    </row>
    <row r="55" spans="1:15" ht="15.75" thickBot="1">
      <c r="A55" s="45" t="s">
        <v>30</v>
      </c>
      <c r="B55" s="112">
        <f>SUM(B39:B43)</f>
        <v>-9916.5855515172098</v>
      </c>
      <c r="C55" s="98">
        <f t="shared" ref="C55:L55" si="36">(C13-SUM(C16:C20))+SUM(C47:C51)+B55</f>
        <v>-16654.490000000023</v>
      </c>
      <c r="D55" s="40">
        <f t="shared" si="36"/>
        <v>-15096.060000000023</v>
      </c>
      <c r="E55" s="40">
        <f t="shared" si="36"/>
        <v>-12867.580000000024</v>
      </c>
      <c r="F55" s="104">
        <f t="shared" si="36"/>
        <v>-5.0000000022919266E-2</v>
      </c>
      <c r="G55" s="39">
        <f t="shared" si="36"/>
        <v>-24677.450000000026</v>
      </c>
      <c r="H55" s="40">
        <f t="shared" si="36"/>
        <v>-24780.150000000027</v>
      </c>
      <c r="I55" s="60">
        <f t="shared" si="36"/>
        <v>-24880.950000000026</v>
      </c>
      <c r="J55" s="153">
        <f t="shared" si="36"/>
        <v>-24982.160000000025</v>
      </c>
      <c r="K55" s="104">
        <f t="shared" si="36"/>
        <v>-25083.780000000024</v>
      </c>
      <c r="L55" s="60">
        <f t="shared" si="36"/>
        <v>-25083.780000000024</v>
      </c>
    </row>
    <row r="56" spans="1:15">
      <c r="A56" s="45" t="s">
        <v>10</v>
      </c>
      <c r="C56" s="113"/>
      <c r="D56" s="16"/>
      <c r="E56" s="16"/>
      <c r="F56" s="16"/>
      <c r="G56" s="9"/>
      <c r="H56" s="16"/>
      <c r="I56" s="10"/>
      <c r="J56" s="16"/>
      <c r="K56" s="16"/>
      <c r="L56" s="10"/>
    </row>
    <row r="57" spans="1:15" ht="15.75" thickBot="1">
      <c r="A57" s="36"/>
      <c r="B57" s="36"/>
      <c r="C57" s="139"/>
      <c r="D57" s="43"/>
      <c r="E57" s="43"/>
      <c r="F57" s="43"/>
      <c r="G57" s="42"/>
      <c r="H57" s="43"/>
      <c r="I57" s="44"/>
      <c r="J57" s="43"/>
      <c r="K57" s="43"/>
      <c r="L57" s="44"/>
    </row>
    <row r="59" spans="1:15">
      <c r="A59" s="68" t="s">
        <v>9</v>
      </c>
      <c r="B59" s="68"/>
      <c r="C59" s="68"/>
    </row>
    <row r="60" spans="1:15" ht="15" customHeight="1">
      <c r="A60" s="360" t="s">
        <v>277</v>
      </c>
      <c r="B60" s="360"/>
      <c r="C60" s="360"/>
      <c r="D60" s="360"/>
      <c r="E60" s="360"/>
      <c r="F60" s="360"/>
      <c r="G60" s="360"/>
      <c r="H60" s="360"/>
      <c r="I60" s="360"/>
      <c r="J60" s="339"/>
      <c r="K60" s="339"/>
      <c r="L60" s="258"/>
    </row>
    <row r="61" spans="1:15" ht="63" customHeight="1">
      <c r="A61" s="360" t="s">
        <v>242</v>
      </c>
      <c r="B61" s="360"/>
      <c r="C61" s="360"/>
      <c r="D61" s="360"/>
      <c r="E61" s="360"/>
      <c r="F61" s="360"/>
      <c r="G61" s="360"/>
      <c r="H61" s="360"/>
      <c r="I61" s="360"/>
      <c r="J61" s="360"/>
      <c r="K61" s="360"/>
    </row>
    <row r="62" spans="1:15">
      <c r="A62" s="360" t="s">
        <v>190</v>
      </c>
      <c r="B62" s="360"/>
      <c r="C62" s="360"/>
      <c r="D62" s="360"/>
      <c r="E62" s="360"/>
      <c r="F62" s="360"/>
      <c r="G62" s="360"/>
      <c r="H62" s="360"/>
      <c r="I62" s="360"/>
      <c r="J62" s="360"/>
      <c r="K62" s="376"/>
      <c r="L62" s="258"/>
    </row>
    <row r="63" spans="1:15">
      <c r="A63" s="62" t="s">
        <v>237</v>
      </c>
      <c r="B63" s="62"/>
      <c r="C63" s="62"/>
      <c r="D63" s="62"/>
      <c r="E63" s="38"/>
      <c r="F63" s="38"/>
      <c r="G63" s="38"/>
      <c r="H63" s="38"/>
      <c r="I63" s="38"/>
      <c r="J63" s="286"/>
      <c r="K63" s="38"/>
    </row>
    <row r="64" spans="1:15">
      <c r="A64" s="62" t="s">
        <v>106</v>
      </c>
      <c r="B64" s="62"/>
      <c r="C64" s="62"/>
      <c r="D64" s="38"/>
      <c r="E64" s="38"/>
      <c r="F64" s="38"/>
      <c r="G64" s="38"/>
      <c r="H64" s="38"/>
      <c r="I64" s="286"/>
      <c r="J64" s="38"/>
      <c r="K64" s="38"/>
    </row>
    <row r="65" spans="1:9">
      <c r="A65" s="3"/>
      <c r="B65" s="62"/>
      <c r="C65" s="62"/>
      <c r="D65" s="38"/>
      <c r="E65" s="38"/>
      <c r="F65" s="38"/>
      <c r="G65" s="38"/>
      <c r="H65" s="38"/>
      <c r="I65" s="38"/>
    </row>
    <row r="66" spans="1:9">
      <c r="A66" s="3"/>
      <c r="B66" s="3"/>
      <c r="C66" s="3"/>
    </row>
  </sheetData>
  <mergeCells count="6">
    <mergeCell ref="A62:K62"/>
    <mergeCell ref="D11:F11"/>
    <mergeCell ref="G11:I11"/>
    <mergeCell ref="J11:L11"/>
    <mergeCell ref="A60:I60"/>
    <mergeCell ref="A61:K61"/>
  </mergeCells>
  <pageMargins left="0.2" right="0.2" top="0.75" bottom="0.25" header="0.3" footer="0.3"/>
  <pageSetup scale="48" orientation="landscape" r:id="rId1"/>
  <headerFooter>
    <oddHeader>&amp;C&amp;F &amp;A&amp;R&amp;"Arial"&amp;10&amp;K000000CONFIDENTIAL</oddHeader>
    <oddFooter>&amp;R&amp;1#&amp;"Calibri"&amp;10&amp;KA80000Internal Use Only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F0A7E-E2DF-4173-A378-A9A50A515D03}">
  <sheetPr>
    <pageSetUpPr fitToPage="1"/>
  </sheetPr>
  <dimension ref="A1:AH66"/>
  <sheetViews>
    <sheetView zoomScale="85" zoomScaleNormal="85" workbookViewId="0"/>
  </sheetViews>
  <sheetFormatPr defaultColWidth="9.140625" defaultRowHeight="15" outlineLevelCol="1"/>
  <cols>
    <col min="1" max="1" width="37.7109375" style="45" customWidth="1"/>
    <col min="2" max="2" width="12.28515625" style="45" bestFit="1" customWidth="1"/>
    <col min="3" max="3" width="12.42578125" style="45" bestFit="1" customWidth="1"/>
    <col min="4" max="4" width="15.42578125" style="45" customWidth="1"/>
    <col min="5" max="5" width="15.85546875" style="45" bestFit="1" customWidth="1"/>
    <col min="6" max="6" width="12.28515625" style="45" bestFit="1" customWidth="1"/>
    <col min="7" max="8" width="13.28515625" style="45" bestFit="1" customWidth="1"/>
    <col min="9" max="9" width="12.28515625" style="45" bestFit="1" customWidth="1"/>
    <col min="10" max="10" width="12.42578125" style="45" customWidth="1"/>
    <col min="11" max="11" width="12.85546875" style="45" customWidth="1"/>
    <col min="12" max="12" width="16" style="45" customWidth="1"/>
    <col min="13" max="13" width="15" style="45" bestFit="1" customWidth="1"/>
    <col min="14" max="14" width="16" style="45" bestFit="1" customWidth="1"/>
    <col min="15" max="15" width="15.28515625" style="45" hidden="1" customWidth="1" outlineLevel="1"/>
    <col min="16" max="16" width="17.42578125" style="45" bestFit="1" customWidth="1" collapsed="1"/>
    <col min="17" max="17" width="16.28515625" style="45" bestFit="1" customWidth="1"/>
    <col min="18" max="18" width="15.28515625" style="45" bestFit="1" customWidth="1"/>
    <col min="19" max="19" width="12.42578125" style="45" customWidth="1"/>
    <col min="20" max="21" width="14.28515625" style="45" bestFit="1" customWidth="1"/>
    <col min="22" max="16384" width="9.140625" style="45"/>
  </cols>
  <sheetData>
    <row r="1" spans="1:34">
      <c r="A1" s="62" t="str">
        <f>'PTD Cycle 3'!A1</f>
        <v>Evergy Metro, Inc. - DSIM Rider Update Filed 06/01/2026</v>
      </c>
      <c r="B1" s="3"/>
      <c r="C1" s="3"/>
    </row>
    <row r="2" spans="1:34">
      <c r="D2" s="62" t="s">
        <v>235</v>
      </c>
    </row>
    <row r="3" spans="1:34" ht="30">
      <c r="D3" s="47" t="s">
        <v>40</v>
      </c>
      <c r="E3" s="69" t="s">
        <v>15</v>
      </c>
      <c r="F3" s="47" t="s">
        <v>1</v>
      </c>
      <c r="G3" s="69" t="s">
        <v>49</v>
      </c>
      <c r="H3" s="47" t="s">
        <v>8</v>
      </c>
      <c r="I3" s="47" t="s">
        <v>16</v>
      </c>
      <c r="R3" s="47"/>
    </row>
    <row r="4" spans="1:34">
      <c r="A4" s="19" t="s">
        <v>22</v>
      </c>
      <c r="B4" s="19"/>
      <c r="C4" s="19"/>
      <c r="D4" s="21">
        <f>SUM(C16:L16)</f>
        <v>-82.46</v>
      </c>
      <c r="E4" s="21">
        <f>SUM(C23:K23)</f>
        <v>-82.46</v>
      </c>
      <c r="F4" s="21">
        <f>E4-D4</f>
        <v>0</v>
      </c>
      <c r="G4" s="21">
        <f>+B39</f>
        <v>0</v>
      </c>
      <c r="H4" s="21">
        <f>SUM(C47:K47)</f>
        <v>0</v>
      </c>
      <c r="I4" s="24">
        <f>SUM(F4:H4)</f>
        <v>0</v>
      </c>
      <c r="J4" s="46">
        <f>+I4-L39</f>
        <v>0</v>
      </c>
      <c r="M4" s="46"/>
    </row>
    <row r="5" spans="1:34">
      <c r="A5" s="19" t="s">
        <v>91</v>
      </c>
      <c r="B5" s="19"/>
      <c r="C5" s="19"/>
      <c r="D5" s="21">
        <f t="shared" ref="D5:D7" si="0">SUM(C17:L17)</f>
        <v>-17.36</v>
      </c>
      <c r="E5" s="21">
        <f t="shared" ref="E5:E7" si="1">SUM(C24:K24)</f>
        <v>-17.36</v>
      </c>
      <c r="F5" s="21">
        <f t="shared" ref="F5:F7" si="2">E5-D5</f>
        <v>0</v>
      </c>
      <c r="G5" s="21">
        <f t="shared" ref="G5:G7" si="3">+B40</f>
        <v>0</v>
      </c>
      <c r="H5" s="21">
        <f t="shared" ref="H5:H7" si="4">SUM(C48:K48)</f>
        <v>0</v>
      </c>
      <c r="I5" s="24">
        <f t="shared" ref="I5:I7" si="5">SUM(F5:H5)</f>
        <v>0</v>
      </c>
      <c r="J5" s="46">
        <f t="shared" ref="J5:J7" si="6">+I5-L40</f>
        <v>0</v>
      </c>
      <c r="M5" s="46"/>
    </row>
    <row r="6" spans="1:34">
      <c r="A6" s="19" t="s">
        <v>92</v>
      </c>
      <c r="B6" s="19"/>
      <c r="C6" s="19"/>
      <c r="D6" s="21">
        <f t="shared" si="0"/>
        <v>-79.569999999999993</v>
      </c>
      <c r="E6" s="21">
        <f t="shared" si="1"/>
        <v>-79.569999999999993</v>
      </c>
      <c r="F6" s="21">
        <f t="shared" si="2"/>
        <v>0</v>
      </c>
      <c r="G6" s="21">
        <f t="shared" si="3"/>
        <v>0</v>
      </c>
      <c r="H6" s="21">
        <f t="shared" si="4"/>
        <v>0</v>
      </c>
      <c r="I6" s="24">
        <f t="shared" si="5"/>
        <v>0</v>
      </c>
      <c r="J6" s="46">
        <f t="shared" si="6"/>
        <v>0</v>
      </c>
      <c r="M6" s="46"/>
    </row>
    <row r="7" spans="1:34">
      <c r="A7" s="19" t="s">
        <v>93</v>
      </c>
      <c r="B7" s="19"/>
      <c r="C7" s="19"/>
      <c r="D7" s="21">
        <f t="shared" si="0"/>
        <v>-27.82</v>
      </c>
      <c r="E7" s="21">
        <f t="shared" si="1"/>
        <v>-27.82</v>
      </c>
      <c r="F7" s="21">
        <f t="shared" si="2"/>
        <v>0</v>
      </c>
      <c r="G7" s="21">
        <f t="shared" si="3"/>
        <v>0</v>
      </c>
      <c r="H7" s="21">
        <f t="shared" si="4"/>
        <v>0</v>
      </c>
      <c r="I7" s="24">
        <f t="shared" si="5"/>
        <v>0</v>
      </c>
      <c r="J7" s="46">
        <f t="shared" si="6"/>
        <v>0</v>
      </c>
      <c r="M7" s="46"/>
    </row>
    <row r="8" spans="1:34" ht="15.75" thickBot="1">
      <c r="A8" s="19" t="s">
        <v>94</v>
      </c>
      <c r="B8" s="19"/>
      <c r="C8" s="19"/>
      <c r="D8" s="21">
        <f>SUM(C20:L20)</f>
        <v>-9.93</v>
      </c>
      <c r="E8" s="21">
        <f>SUM(C27:K27)</f>
        <v>-9.9300000000000015</v>
      </c>
      <c r="F8" s="21">
        <f>E8-D8</f>
        <v>0</v>
      </c>
      <c r="G8" s="21">
        <f>+B43</f>
        <v>0</v>
      </c>
      <c r="H8" s="21">
        <f>SUM(C51:K51)</f>
        <v>0</v>
      </c>
      <c r="I8" s="24">
        <f>SUM(F8:H8)</f>
        <v>0</v>
      </c>
      <c r="J8" s="46">
        <f>+I8-L43</f>
        <v>0</v>
      </c>
      <c r="M8" s="46"/>
    </row>
    <row r="9" spans="1:34" ht="16.5" thickTop="1" thickBot="1">
      <c r="D9" s="26">
        <f t="shared" ref="D9" si="7">SUM(D4:D8)</f>
        <v>-217.14</v>
      </c>
      <c r="E9" s="26">
        <f>SUM(E4:E8)</f>
        <v>-217.14</v>
      </c>
      <c r="F9" s="26">
        <f>SUM(F4:F8)</f>
        <v>0</v>
      </c>
      <c r="G9" s="26">
        <f>SUM(G4:G8)</f>
        <v>0</v>
      </c>
      <c r="H9" s="26">
        <f>SUM(H4:H8)</f>
        <v>0</v>
      </c>
      <c r="I9" s="26">
        <f>SUM(I4:I8)</f>
        <v>0</v>
      </c>
      <c r="S9" s="5"/>
    </row>
    <row r="10" spans="1:34" ht="16.5" thickTop="1" thickBot="1">
      <c r="C10" s="38"/>
      <c r="D10" s="38"/>
      <c r="E10" s="38"/>
      <c r="F10" s="38"/>
      <c r="G10" s="38"/>
      <c r="H10" s="38"/>
      <c r="I10" s="38"/>
      <c r="J10" s="38"/>
      <c r="K10" s="38"/>
      <c r="L10" s="38"/>
      <c r="U10" s="4"/>
      <c r="V10" s="5"/>
    </row>
    <row r="11" spans="1:34" ht="120.75" thickBot="1">
      <c r="B11" s="111" t="str">
        <f>'PCR Cycle 4'!B$11</f>
        <v>Cumulative Over/Under Carryover From 12/01/2025 Filing</v>
      </c>
      <c r="C11" s="144" t="str">
        <f>'PCR Cycle 4'!C$11</f>
        <v>Reverse November 2025 - January 2026 Forecast From 12/01/2025 Filing</v>
      </c>
      <c r="D11" s="362" t="s">
        <v>28</v>
      </c>
      <c r="E11" s="362"/>
      <c r="F11" s="363"/>
      <c r="G11" s="372" t="s">
        <v>28</v>
      </c>
      <c r="H11" s="373"/>
      <c r="I11" s="374"/>
      <c r="J11" s="357" t="s">
        <v>6</v>
      </c>
      <c r="K11" s="358"/>
      <c r="L11" s="359"/>
      <c r="O11" s="317" t="s">
        <v>177</v>
      </c>
    </row>
    <row r="12" spans="1:34">
      <c r="A12" s="45" t="s">
        <v>79</v>
      </c>
      <c r="C12" s="322"/>
      <c r="D12" s="321">
        <f>+'PCR Cycle 4'!E$12</f>
        <v>45991</v>
      </c>
      <c r="E12" s="321">
        <f>+'PCR Cycle 4'!F$12</f>
        <v>46022</v>
      </c>
      <c r="F12" s="321">
        <f>+'PCR Cycle 4'!G$12</f>
        <v>46053</v>
      </c>
      <c r="G12" s="322">
        <f>+'PCR Cycle 4'!H$12</f>
        <v>46081</v>
      </c>
      <c r="H12" s="321">
        <f>+'PCR Cycle 4'!I$12</f>
        <v>46112</v>
      </c>
      <c r="I12" s="323">
        <f>+'PCR Cycle 4'!J$12</f>
        <v>46142</v>
      </c>
      <c r="J12" s="321">
        <f>+'PCR Cycle 4'!K$12</f>
        <v>46173</v>
      </c>
      <c r="K12" s="321">
        <f>+'PCR Cycle 4'!L$12</f>
        <v>46203</v>
      </c>
      <c r="L12" s="324">
        <f>+'PCR Cycle 4'!M$12</f>
        <v>46234</v>
      </c>
      <c r="Y12" s="1"/>
      <c r="Z12" s="1"/>
      <c r="AA12" s="1"/>
      <c r="AB12" s="1"/>
      <c r="AC12" s="1"/>
      <c r="AD12" s="1"/>
      <c r="AE12" s="1"/>
      <c r="AF12" s="1"/>
      <c r="AG12" s="1"/>
      <c r="AH12" s="1"/>
    </row>
    <row r="13" spans="1:34">
      <c r="A13" s="45" t="s">
        <v>3</v>
      </c>
      <c r="C13" s="327">
        <v>0</v>
      </c>
      <c r="D13" s="105">
        <f>SUM(D23:D27)</f>
        <v>0</v>
      </c>
      <c r="E13" s="105">
        <f t="shared" ref="E13:H13" si="8">SUM(E23:E27)</f>
        <v>0</v>
      </c>
      <c r="F13" s="106">
        <f t="shared" si="8"/>
        <v>0</v>
      </c>
      <c r="G13" s="15">
        <f t="shared" si="8"/>
        <v>-217.14</v>
      </c>
      <c r="H13" s="54">
        <f t="shared" si="8"/>
        <v>0</v>
      </c>
      <c r="I13" s="156">
        <f>+I23+I27</f>
        <v>0</v>
      </c>
      <c r="J13" s="149">
        <f t="shared" ref="J13:K13" si="9">+J23+J27</f>
        <v>0</v>
      </c>
      <c r="K13" s="76">
        <f t="shared" si="9"/>
        <v>0</v>
      </c>
      <c r="L13" s="77"/>
      <c r="O13" s="46">
        <v>0</v>
      </c>
    </row>
    <row r="14" spans="1:34">
      <c r="C14" s="97"/>
      <c r="D14" s="16"/>
      <c r="E14" s="16"/>
      <c r="F14" s="16"/>
      <c r="G14" s="9"/>
      <c r="H14" s="16"/>
      <c r="I14" s="10"/>
      <c r="J14" s="30"/>
      <c r="K14" s="30"/>
      <c r="L14" s="28"/>
    </row>
    <row r="15" spans="1:34">
      <c r="A15" s="45" t="s">
        <v>78</v>
      </c>
      <c r="C15" s="97"/>
      <c r="D15" s="17"/>
      <c r="E15" s="17"/>
      <c r="F15" s="17"/>
      <c r="G15" s="89"/>
      <c r="H15" s="17"/>
      <c r="I15" s="157"/>
      <c r="J15" s="30"/>
      <c r="K15" s="30"/>
      <c r="L15" s="28"/>
      <c r="M15" s="62" t="s">
        <v>44</v>
      </c>
      <c r="N15" s="38"/>
    </row>
    <row r="16" spans="1:34">
      <c r="A16" s="45" t="s">
        <v>22</v>
      </c>
      <c r="C16" s="327">
        <v>0</v>
      </c>
      <c r="D16" s="128">
        <f>'[4]EMM Nov25'!$G177</f>
        <v>0</v>
      </c>
      <c r="E16" s="128">
        <f>'[4]EMM Dec25'!$G177</f>
        <v>0</v>
      </c>
      <c r="F16" s="175">
        <f>'[4]EMM Jan26'!$G177</f>
        <v>0</v>
      </c>
      <c r="G16" s="15">
        <f>'[4]EMM Feb26'!$G177</f>
        <v>-82.46</v>
      </c>
      <c r="H16" s="114">
        <f>'[4]EMM Mar26'!$G177</f>
        <v>0</v>
      </c>
      <c r="I16" s="158">
        <f>'[4]EMM Apr26'!$G177</f>
        <v>0</v>
      </c>
      <c r="J16" s="116">
        <f>'PCR Cycle 4'!K22*$M16</f>
        <v>0</v>
      </c>
      <c r="K16" s="40">
        <f>'PCR Cycle 4'!L22*$M16</f>
        <v>0</v>
      </c>
      <c r="L16" s="60">
        <f>'PCR Cycle 4'!M22*$M16</f>
        <v>0</v>
      </c>
      <c r="M16" s="71">
        <v>0</v>
      </c>
      <c r="N16" s="4"/>
      <c r="O16" s="46">
        <v>6650.2584632921016</v>
      </c>
    </row>
    <row r="17" spans="1:15">
      <c r="A17" s="45" t="s">
        <v>114</v>
      </c>
      <c r="C17" s="327">
        <v>0</v>
      </c>
      <c r="D17" s="128">
        <f>'[4]EMM Nov25'!$G178</f>
        <v>0</v>
      </c>
      <c r="E17" s="128">
        <f>'[4]EMM Dec25'!$G178</f>
        <v>0</v>
      </c>
      <c r="F17" s="175">
        <f>'[4]EMM Jan26'!$G178</f>
        <v>0</v>
      </c>
      <c r="G17" s="15">
        <f>'[4]EMM Feb26'!$G178</f>
        <v>-17.36</v>
      </c>
      <c r="H17" s="114">
        <f>'[4]EMM Mar26'!$G178</f>
        <v>0</v>
      </c>
      <c r="I17" s="158">
        <f>'[4]EMM Apr26'!$G178</f>
        <v>0</v>
      </c>
      <c r="J17" s="116">
        <f>'PCR Cycle 4'!K23*$M17</f>
        <v>0</v>
      </c>
      <c r="K17" s="40">
        <f>'PCR Cycle 4'!L23*$M17</f>
        <v>0</v>
      </c>
      <c r="L17" s="60">
        <f>'PCR Cycle 4'!M23*$M17</f>
        <v>0</v>
      </c>
      <c r="M17" s="71">
        <v>0</v>
      </c>
      <c r="N17" s="4"/>
      <c r="O17" s="46">
        <v>0</v>
      </c>
    </row>
    <row r="18" spans="1:15">
      <c r="A18" s="45" t="s">
        <v>115</v>
      </c>
      <c r="C18" s="327">
        <v>0</v>
      </c>
      <c r="D18" s="128">
        <f>'[4]EMM Nov25'!$G179</f>
        <v>0</v>
      </c>
      <c r="E18" s="128">
        <f>'[4]EMM Dec25'!$G179</f>
        <v>0</v>
      </c>
      <c r="F18" s="175">
        <f>'[4]EMM Jan26'!$G179</f>
        <v>0</v>
      </c>
      <c r="G18" s="15">
        <f>'[4]EMM Feb26'!$G179</f>
        <v>-79.569999999999993</v>
      </c>
      <c r="H18" s="114">
        <f>'[4]EMM Mar26'!$G179</f>
        <v>0</v>
      </c>
      <c r="I18" s="158">
        <f>'[4]EMM Apr26'!$G179</f>
        <v>0</v>
      </c>
      <c r="J18" s="116">
        <f>'PCR Cycle 4'!K24*$M18</f>
        <v>0</v>
      </c>
      <c r="K18" s="40">
        <f>'PCR Cycle 4'!L24*$M18</f>
        <v>0</v>
      </c>
      <c r="L18" s="60">
        <f>'PCR Cycle 4'!M24*$M18</f>
        <v>0</v>
      </c>
      <c r="M18" s="71">
        <v>0</v>
      </c>
      <c r="N18" s="4"/>
      <c r="O18" s="46">
        <v>0</v>
      </c>
    </row>
    <row r="19" spans="1:15">
      <c r="A19" s="45" t="s">
        <v>116</v>
      </c>
      <c r="C19" s="327">
        <v>0</v>
      </c>
      <c r="D19" s="128">
        <f>'[4]EMM Nov25'!$G180</f>
        <v>0</v>
      </c>
      <c r="E19" s="128">
        <f>'[4]EMM Dec25'!$G180</f>
        <v>0</v>
      </c>
      <c r="F19" s="175">
        <f>'[4]EMM Jan26'!$G180</f>
        <v>0</v>
      </c>
      <c r="G19" s="15">
        <f>'[4]EMM Feb26'!$G180</f>
        <v>-27.82</v>
      </c>
      <c r="H19" s="114">
        <f>'[4]EMM Mar26'!$G180</f>
        <v>0</v>
      </c>
      <c r="I19" s="158">
        <f>'[4]EMM Apr26'!$G180</f>
        <v>0</v>
      </c>
      <c r="J19" s="116">
        <f>'PCR Cycle 4'!K25*$M19</f>
        <v>0</v>
      </c>
      <c r="K19" s="40">
        <f>'PCR Cycle 4'!L25*$M19</f>
        <v>0</v>
      </c>
      <c r="L19" s="60">
        <f>'PCR Cycle 4'!M25*$M19</f>
        <v>0</v>
      </c>
      <c r="M19" s="71">
        <v>0</v>
      </c>
      <c r="N19" s="4"/>
      <c r="O19" s="46">
        <v>0</v>
      </c>
    </row>
    <row r="20" spans="1:15">
      <c r="A20" s="45" t="s">
        <v>117</v>
      </c>
      <c r="C20" s="327">
        <v>0</v>
      </c>
      <c r="D20" s="128">
        <f>'[4]EMM Nov25'!$G181</f>
        <v>0</v>
      </c>
      <c r="E20" s="128">
        <f>'[4]EMM Dec25'!$G181</f>
        <v>0</v>
      </c>
      <c r="F20" s="175">
        <f>'[4]EMM Jan26'!$G181</f>
        <v>0</v>
      </c>
      <c r="G20" s="15">
        <f>'[4]EMM Feb26'!$G181</f>
        <v>-9.93</v>
      </c>
      <c r="H20" s="114">
        <f>'[4]EMM Mar26'!$G181</f>
        <v>0</v>
      </c>
      <c r="I20" s="158">
        <f>'[4]EMM Apr26'!$G181</f>
        <v>0</v>
      </c>
      <c r="J20" s="116">
        <f>'PCR Cycle 4'!K26*$M20</f>
        <v>0</v>
      </c>
      <c r="K20" s="40">
        <f>'PCR Cycle 4'!L26*$M20</f>
        <v>0</v>
      </c>
      <c r="L20" s="60">
        <f>'PCR Cycle 4'!M26*$M20</f>
        <v>0</v>
      </c>
      <c r="M20" s="71">
        <v>0</v>
      </c>
      <c r="N20" s="4"/>
      <c r="O20" s="46">
        <v>0</v>
      </c>
    </row>
    <row r="21" spans="1:15">
      <c r="C21" s="66"/>
      <c r="D21" s="67"/>
      <c r="E21" s="67"/>
      <c r="F21" s="67"/>
      <c r="G21" s="96"/>
      <c r="H21" s="67"/>
      <c r="I21" s="159"/>
      <c r="J21" s="55"/>
      <c r="K21" s="55"/>
      <c r="L21" s="12"/>
      <c r="N21" s="4"/>
    </row>
    <row r="22" spans="1:15">
      <c r="A22" s="45" t="s">
        <v>80</v>
      </c>
      <c r="C22" s="35"/>
      <c r="D22" s="36"/>
      <c r="E22" s="36"/>
      <c r="F22" s="36"/>
      <c r="G22" s="35"/>
      <c r="H22" s="36"/>
      <c r="I22" s="162"/>
      <c r="J22" s="51"/>
      <c r="K22" s="51"/>
      <c r="L22" s="37"/>
    </row>
    <row r="23" spans="1:15">
      <c r="A23" s="45" t="s">
        <v>22</v>
      </c>
      <c r="C23" s="327">
        <v>0</v>
      </c>
      <c r="D23" s="105">
        <v>0</v>
      </c>
      <c r="E23" s="105">
        <v>0</v>
      </c>
      <c r="F23" s="106">
        <v>0</v>
      </c>
      <c r="G23" s="15">
        <f>'[28]OA Summary by Rate Class'!$D26</f>
        <v>-82.46</v>
      </c>
      <c r="H23" s="54">
        <v>0</v>
      </c>
      <c r="I23" s="156">
        <v>0</v>
      </c>
      <c r="J23" s="151">
        <v>0</v>
      </c>
      <c r="K23" s="135">
        <v>0</v>
      </c>
      <c r="L23" s="77"/>
      <c r="O23" s="46">
        <v>0</v>
      </c>
    </row>
    <row r="24" spans="1:15">
      <c r="A24" s="45" t="s">
        <v>114</v>
      </c>
      <c r="C24" s="327">
        <v>0</v>
      </c>
      <c r="D24" s="105">
        <v>0</v>
      </c>
      <c r="E24" s="105">
        <v>0</v>
      </c>
      <c r="F24" s="106">
        <v>0</v>
      </c>
      <c r="G24" s="15">
        <f>'[28]OA Summary by Rate Class'!$D27</f>
        <v>-17.36</v>
      </c>
      <c r="H24" s="54">
        <v>0</v>
      </c>
      <c r="I24" s="156">
        <v>0</v>
      </c>
      <c r="J24" s="151">
        <v>0</v>
      </c>
      <c r="K24" s="135">
        <v>0</v>
      </c>
      <c r="L24" s="77"/>
      <c r="O24" s="46">
        <v>0</v>
      </c>
    </row>
    <row r="25" spans="1:15">
      <c r="A25" s="45" t="s">
        <v>115</v>
      </c>
      <c r="C25" s="327">
        <v>0</v>
      </c>
      <c r="D25" s="105">
        <v>0</v>
      </c>
      <c r="E25" s="105">
        <v>0</v>
      </c>
      <c r="F25" s="106">
        <v>0</v>
      </c>
      <c r="G25" s="15">
        <f>'[28]OA Summary by Rate Class'!$D28</f>
        <v>-79.569999999999993</v>
      </c>
      <c r="H25" s="54">
        <v>0</v>
      </c>
      <c r="I25" s="156">
        <v>0</v>
      </c>
      <c r="J25" s="151">
        <v>0</v>
      </c>
      <c r="K25" s="135">
        <v>0</v>
      </c>
      <c r="L25" s="77"/>
      <c r="O25" s="46">
        <v>0</v>
      </c>
    </row>
    <row r="26" spans="1:15">
      <c r="A26" s="45" t="s">
        <v>116</v>
      </c>
      <c r="C26" s="327">
        <v>0</v>
      </c>
      <c r="D26" s="105">
        <v>0</v>
      </c>
      <c r="E26" s="105">
        <v>0</v>
      </c>
      <c r="F26" s="106">
        <v>0</v>
      </c>
      <c r="G26" s="15">
        <f>'[28]OA Summary by Rate Class'!$D29</f>
        <v>-27.82</v>
      </c>
      <c r="H26" s="54">
        <v>0</v>
      </c>
      <c r="I26" s="156">
        <v>0</v>
      </c>
      <c r="J26" s="151">
        <v>0</v>
      </c>
      <c r="K26" s="135">
        <v>0</v>
      </c>
      <c r="L26" s="77"/>
      <c r="O26" s="46">
        <v>0</v>
      </c>
    </row>
    <row r="27" spans="1:15">
      <c r="A27" s="45" t="s">
        <v>117</v>
      </c>
      <c r="C27" s="327">
        <v>0</v>
      </c>
      <c r="D27" s="105">
        <v>0</v>
      </c>
      <c r="E27" s="105">
        <v>0</v>
      </c>
      <c r="F27" s="106">
        <v>0</v>
      </c>
      <c r="G27" s="15">
        <f>'[28]OA Summary by Rate Class'!$D30</f>
        <v>-9.9300000000000015</v>
      </c>
      <c r="H27" s="54">
        <v>0</v>
      </c>
      <c r="I27" s="156">
        <v>0</v>
      </c>
      <c r="J27" s="151">
        <v>0</v>
      </c>
      <c r="K27" s="135">
        <v>0</v>
      </c>
      <c r="L27" s="77"/>
      <c r="N27" s="46"/>
      <c r="O27" s="46">
        <v>0</v>
      </c>
    </row>
    <row r="28" spans="1:15">
      <c r="C28" s="97"/>
      <c r="D28" s="17"/>
      <c r="E28" s="17"/>
      <c r="F28" s="17"/>
      <c r="G28" s="89"/>
      <c r="H28" s="17"/>
      <c r="I28" s="157"/>
      <c r="J28" s="55"/>
      <c r="K28" s="55"/>
      <c r="L28" s="12"/>
    </row>
    <row r="29" spans="1:15" ht="15.75" thickBot="1">
      <c r="A29" s="3" t="s">
        <v>12</v>
      </c>
      <c r="B29" s="3"/>
      <c r="C29" s="329">
        <v>0</v>
      </c>
      <c r="D29" s="128">
        <v>0</v>
      </c>
      <c r="E29" s="128">
        <v>0</v>
      </c>
      <c r="F29" s="129">
        <v>0</v>
      </c>
      <c r="G29" s="25">
        <v>0</v>
      </c>
      <c r="H29" s="115">
        <v>0</v>
      </c>
      <c r="I29" s="163">
        <v>0</v>
      </c>
      <c r="J29" s="152">
        <f>ROUND((SUM(I39:I43)+SUM(I47:I51)+SUM(J32:J36)/2)*J$45,2)</f>
        <v>0</v>
      </c>
      <c r="K29" s="137">
        <f>ROUND((SUM(J39:J43)+SUM(J47:J51)+SUM(K32:K36)/2)*K$45,2)</f>
        <v>0</v>
      </c>
      <c r="L29" s="80"/>
      <c r="O29" s="46">
        <v>262.40999999999997</v>
      </c>
    </row>
    <row r="30" spans="1:15">
      <c r="C30" s="63"/>
      <c r="D30" s="140"/>
      <c r="E30" s="140"/>
      <c r="F30" s="141"/>
      <c r="G30" s="63"/>
      <c r="H30" s="32"/>
      <c r="I30" s="164"/>
      <c r="J30" s="33"/>
      <c r="K30" s="33"/>
      <c r="L30" s="59"/>
    </row>
    <row r="31" spans="1:15">
      <c r="A31" s="45" t="s">
        <v>46</v>
      </c>
      <c r="C31" s="64"/>
      <c r="D31" s="141"/>
      <c r="E31" s="141"/>
      <c r="F31" s="141"/>
      <c r="G31" s="64"/>
      <c r="H31" s="34"/>
      <c r="I31" s="165"/>
      <c r="J31" s="33"/>
      <c r="K31" s="33"/>
      <c r="L31" s="59"/>
    </row>
    <row r="32" spans="1:15">
      <c r="A32" s="45" t="s">
        <v>22</v>
      </c>
      <c r="C32" s="98">
        <f t="shared" ref="C32:L36" si="10">C23-C16</f>
        <v>0</v>
      </c>
      <c r="D32" s="40">
        <f t="shared" si="10"/>
        <v>0</v>
      </c>
      <c r="E32" s="40">
        <f t="shared" si="10"/>
        <v>0</v>
      </c>
      <c r="F32" s="104">
        <f t="shared" si="10"/>
        <v>0</v>
      </c>
      <c r="G32" s="39">
        <f t="shared" si="10"/>
        <v>0</v>
      </c>
      <c r="H32" s="40">
        <f t="shared" si="10"/>
        <v>0</v>
      </c>
      <c r="I32" s="60">
        <f t="shared" si="10"/>
        <v>0</v>
      </c>
      <c r="J32" s="116">
        <f t="shared" si="10"/>
        <v>0</v>
      </c>
      <c r="K32" s="40">
        <f t="shared" si="10"/>
        <v>0</v>
      </c>
      <c r="L32" s="60">
        <f t="shared" si="10"/>
        <v>0</v>
      </c>
    </row>
    <row r="33" spans="1:15">
      <c r="A33" s="45" t="s">
        <v>114</v>
      </c>
      <c r="C33" s="98">
        <f t="shared" si="10"/>
        <v>0</v>
      </c>
      <c r="D33" s="40">
        <f t="shared" si="10"/>
        <v>0</v>
      </c>
      <c r="E33" s="40">
        <f t="shared" si="10"/>
        <v>0</v>
      </c>
      <c r="F33" s="104">
        <f t="shared" si="10"/>
        <v>0</v>
      </c>
      <c r="G33" s="39">
        <f t="shared" si="10"/>
        <v>0</v>
      </c>
      <c r="H33" s="40">
        <f t="shared" si="10"/>
        <v>0</v>
      </c>
      <c r="I33" s="60">
        <f t="shared" si="10"/>
        <v>0</v>
      </c>
      <c r="J33" s="116">
        <f t="shared" si="10"/>
        <v>0</v>
      </c>
      <c r="K33" s="40">
        <f t="shared" si="10"/>
        <v>0</v>
      </c>
      <c r="L33" s="60">
        <f t="shared" si="10"/>
        <v>0</v>
      </c>
    </row>
    <row r="34" spans="1:15">
      <c r="A34" s="45" t="s">
        <v>115</v>
      </c>
      <c r="C34" s="98">
        <f t="shared" si="10"/>
        <v>0</v>
      </c>
      <c r="D34" s="40">
        <f t="shared" si="10"/>
        <v>0</v>
      </c>
      <c r="E34" s="40">
        <f t="shared" si="10"/>
        <v>0</v>
      </c>
      <c r="F34" s="104">
        <f t="shared" si="10"/>
        <v>0</v>
      </c>
      <c r="G34" s="39">
        <f t="shared" si="10"/>
        <v>0</v>
      </c>
      <c r="H34" s="40">
        <f t="shared" si="10"/>
        <v>0</v>
      </c>
      <c r="I34" s="60">
        <f t="shared" si="10"/>
        <v>0</v>
      </c>
      <c r="J34" s="116">
        <f t="shared" si="10"/>
        <v>0</v>
      </c>
      <c r="K34" s="40">
        <f t="shared" si="10"/>
        <v>0</v>
      </c>
      <c r="L34" s="60">
        <f t="shared" si="10"/>
        <v>0</v>
      </c>
    </row>
    <row r="35" spans="1:15">
      <c r="A35" s="45" t="s">
        <v>116</v>
      </c>
      <c r="C35" s="98">
        <f t="shared" si="10"/>
        <v>0</v>
      </c>
      <c r="D35" s="40">
        <f t="shared" si="10"/>
        <v>0</v>
      </c>
      <c r="E35" s="40">
        <f t="shared" si="10"/>
        <v>0</v>
      </c>
      <c r="F35" s="104">
        <f t="shared" si="10"/>
        <v>0</v>
      </c>
      <c r="G35" s="39">
        <f t="shared" si="10"/>
        <v>0</v>
      </c>
      <c r="H35" s="40">
        <f t="shared" si="10"/>
        <v>0</v>
      </c>
      <c r="I35" s="60">
        <f t="shared" si="10"/>
        <v>0</v>
      </c>
      <c r="J35" s="116">
        <f t="shared" si="10"/>
        <v>0</v>
      </c>
      <c r="K35" s="40">
        <f t="shared" si="10"/>
        <v>0</v>
      </c>
      <c r="L35" s="60">
        <f t="shared" si="10"/>
        <v>0</v>
      </c>
    </row>
    <row r="36" spans="1:15">
      <c r="A36" s="45" t="s">
        <v>117</v>
      </c>
      <c r="C36" s="98">
        <f t="shared" si="10"/>
        <v>0</v>
      </c>
      <c r="D36" s="40">
        <f t="shared" si="10"/>
        <v>0</v>
      </c>
      <c r="E36" s="40">
        <f t="shared" si="10"/>
        <v>0</v>
      </c>
      <c r="F36" s="104">
        <f t="shared" si="10"/>
        <v>0</v>
      </c>
      <c r="G36" s="39">
        <f t="shared" si="10"/>
        <v>0</v>
      </c>
      <c r="H36" s="40">
        <f t="shared" si="10"/>
        <v>0</v>
      </c>
      <c r="I36" s="60">
        <f t="shared" si="10"/>
        <v>0</v>
      </c>
      <c r="J36" s="116">
        <f t="shared" si="10"/>
        <v>0</v>
      </c>
      <c r="K36" s="40">
        <f t="shared" si="10"/>
        <v>0</v>
      </c>
      <c r="L36" s="60">
        <f t="shared" si="10"/>
        <v>0</v>
      </c>
    </row>
    <row r="37" spans="1:15">
      <c r="C37" s="97"/>
      <c r="D37" s="16"/>
      <c r="E37" s="16"/>
      <c r="F37" s="16"/>
      <c r="G37" s="9"/>
      <c r="H37" s="16"/>
      <c r="I37" s="10"/>
      <c r="J37" s="16"/>
      <c r="K37" s="16"/>
      <c r="L37" s="10"/>
    </row>
    <row r="38" spans="1:15">
      <c r="A38" s="45" t="s">
        <v>47</v>
      </c>
      <c r="B38" s="38"/>
      <c r="C38" s="97"/>
      <c r="D38" s="16"/>
      <c r="E38" s="16"/>
      <c r="F38" s="16"/>
      <c r="G38" s="9"/>
      <c r="H38" s="16"/>
      <c r="I38" s="10"/>
      <c r="J38" s="16"/>
      <c r="K38" s="16"/>
      <c r="L38" s="10"/>
    </row>
    <row r="39" spans="1:15">
      <c r="A39" s="45" t="s">
        <v>22</v>
      </c>
      <c r="B39" s="272">
        <v>0</v>
      </c>
      <c r="C39" s="98">
        <f t="shared" ref="C39:L43" si="11">B39+C32+B47</f>
        <v>0</v>
      </c>
      <c r="D39" s="40">
        <f t="shared" si="11"/>
        <v>0</v>
      </c>
      <c r="E39" s="40">
        <f t="shared" si="11"/>
        <v>0</v>
      </c>
      <c r="F39" s="104">
        <f t="shared" si="11"/>
        <v>0</v>
      </c>
      <c r="G39" s="39">
        <f t="shared" si="11"/>
        <v>0</v>
      </c>
      <c r="H39" s="40">
        <f t="shared" si="11"/>
        <v>0</v>
      </c>
      <c r="I39" s="60">
        <f t="shared" si="11"/>
        <v>0</v>
      </c>
      <c r="J39" s="116">
        <f t="shared" si="11"/>
        <v>0</v>
      </c>
      <c r="K39" s="40">
        <f t="shared" si="11"/>
        <v>0</v>
      </c>
      <c r="L39" s="60">
        <f t="shared" si="11"/>
        <v>0</v>
      </c>
    </row>
    <row r="40" spans="1:15">
      <c r="A40" s="45" t="s">
        <v>114</v>
      </c>
      <c r="B40" s="272">
        <v>0</v>
      </c>
      <c r="C40" s="98">
        <f t="shared" si="11"/>
        <v>0</v>
      </c>
      <c r="D40" s="40">
        <f t="shared" si="11"/>
        <v>0</v>
      </c>
      <c r="E40" s="40">
        <f t="shared" si="11"/>
        <v>0</v>
      </c>
      <c r="F40" s="104">
        <f t="shared" si="11"/>
        <v>0</v>
      </c>
      <c r="G40" s="39">
        <f t="shared" si="11"/>
        <v>0</v>
      </c>
      <c r="H40" s="40">
        <f t="shared" si="11"/>
        <v>0</v>
      </c>
      <c r="I40" s="60">
        <f t="shared" si="11"/>
        <v>0</v>
      </c>
      <c r="J40" s="116">
        <f t="shared" si="11"/>
        <v>0</v>
      </c>
      <c r="K40" s="40">
        <f t="shared" si="11"/>
        <v>0</v>
      </c>
      <c r="L40" s="60">
        <f t="shared" si="11"/>
        <v>0</v>
      </c>
    </row>
    <row r="41" spans="1:15">
      <c r="A41" s="45" t="s">
        <v>115</v>
      </c>
      <c r="B41" s="272">
        <v>0</v>
      </c>
      <c r="C41" s="98">
        <f t="shared" si="11"/>
        <v>0</v>
      </c>
      <c r="D41" s="40">
        <f t="shared" si="11"/>
        <v>0</v>
      </c>
      <c r="E41" s="40">
        <f t="shared" si="11"/>
        <v>0</v>
      </c>
      <c r="F41" s="104">
        <f t="shared" si="11"/>
        <v>0</v>
      </c>
      <c r="G41" s="39">
        <f t="shared" si="11"/>
        <v>0</v>
      </c>
      <c r="H41" s="40">
        <f t="shared" si="11"/>
        <v>0</v>
      </c>
      <c r="I41" s="60">
        <f t="shared" si="11"/>
        <v>0</v>
      </c>
      <c r="J41" s="116">
        <f t="shared" si="11"/>
        <v>0</v>
      </c>
      <c r="K41" s="40">
        <f t="shared" si="11"/>
        <v>0</v>
      </c>
      <c r="L41" s="60">
        <f t="shared" si="11"/>
        <v>0</v>
      </c>
    </row>
    <row r="42" spans="1:15">
      <c r="A42" s="45" t="s">
        <v>116</v>
      </c>
      <c r="B42" s="272">
        <v>0</v>
      </c>
      <c r="C42" s="98">
        <f t="shared" si="11"/>
        <v>0</v>
      </c>
      <c r="D42" s="40">
        <f t="shared" si="11"/>
        <v>0</v>
      </c>
      <c r="E42" s="40">
        <f t="shared" si="11"/>
        <v>0</v>
      </c>
      <c r="F42" s="104">
        <f t="shared" si="11"/>
        <v>0</v>
      </c>
      <c r="G42" s="39">
        <f t="shared" si="11"/>
        <v>0</v>
      </c>
      <c r="H42" s="40">
        <f t="shared" si="11"/>
        <v>0</v>
      </c>
      <c r="I42" s="60">
        <f t="shared" si="11"/>
        <v>0</v>
      </c>
      <c r="J42" s="116">
        <f t="shared" si="11"/>
        <v>0</v>
      </c>
      <c r="K42" s="40">
        <f t="shared" si="11"/>
        <v>0</v>
      </c>
      <c r="L42" s="60">
        <f t="shared" si="11"/>
        <v>0</v>
      </c>
    </row>
    <row r="43" spans="1:15">
      <c r="A43" s="45" t="s">
        <v>117</v>
      </c>
      <c r="B43" s="272">
        <v>0</v>
      </c>
      <c r="C43" s="98">
        <f>B43+C36+B51</f>
        <v>0</v>
      </c>
      <c r="D43" s="40">
        <f t="shared" si="11"/>
        <v>0</v>
      </c>
      <c r="E43" s="40">
        <f t="shared" si="11"/>
        <v>0</v>
      </c>
      <c r="F43" s="104">
        <f t="shared" si="11"/>
        <v>0</v>
      </c>
      <c r="G43" s="39">
        <f t="shared" si="11"/>
        <v>0</v>
      </c>
      <c r="H43" s="40">
        <f t="shared" si="11"/>
        <v>0</v>
      </c>
      <c r="I43" s="60">
        <f t="shared" si="11"/>
        <v>0</v>
      </c>
      <c r="J43" s="116">
        <f t="shared" si="11"/>
        <v>0</v>
      </c>
      <c r="K43" s="40">
        <f t="shared" si="11"/>
        <v>0</v>
      </c>
      <c r="L43" s="60">
        <f t="shared" si="11"/>
        <v>0</v>
      </c>
    </row>
    <row r="44" spans="1:15">
      <c r="C44" s="97"/>
      <c r="D44" s="16"/>
      <c r="E44" s="16"/>
      <c r="F44" s="16"/>
      <c r="G44" s="9"/>
      <c r="H44" s="16"/>
      <c r="I44" s="10"/>
      <c r="J44" s="16"/>
      <c r="K44" s="16"/>
      <c r="L44" s="10"/>
    </row>
    <row r="45" spans="1:15">
      <c r="A45" s="38" t="s">
        <v>43</v>
      </c>
      <c r="B45" s="38"/>
      <c r="C45" s="101"/>
      <c r="D45" s="81">
        <f>'PCR Cycle 3'!E$51</f>
        <v>4.3276900000000004E-3</v>
      </c>
      <c r="E45" s="81">
        <f>'PCR Cycle 3'!F$51</f>
        <v>4.1470099999999996E-3</v>
      </c>
      <c r="F45" s="81">
        <f>'PCR Cycle 3'!G$51</f>
        <v>4.0829999999999998E-3</v>
      </c>
      <c r="G45" s="82">
        <f>'PCR Cycle 3'!H$51</f>
        <v>4.0773399999999996E-3</v>
      </c>
      <c r="H45" s="81">
        <f>'PCR Cycle 3'!I$51</f>
        <v>4.1620499999999996E-3</v>
      </c>
      <c r="I45" s="90">
        <f>'PCR Cycle 3'!J$51</f>
        <v>4.0677700000000001E-3</v>
      </c>
      <c r="J45" s="81">
        <f>'PCR Cycle 3'!K$51</f>
        <v>4.0677700000000001E-3</v>
      </c>
      <c r="K45" s="81">
        <f>'PCR Cycle 3'!L$51</f>
        <v>4.0677700000000001E-3</v>
      </c>
      <c r="L45" s="83"/>
    </row>
    <row r="46" spans="1:15">
      <c r="A46" s="38" t="s">
        <v>31</v>
      </c>
      <c r="B46" s="38"/>
      <c r="C46" s="102"/>
      <c r="D46" s="81"/>
      <c r="E46" s="81"/>
      <c r="F46" s="81"/>
      <c r="G46" s="82"/>
      <c r="H46" s="81"/>
      <c r="I46" s="83"/>
      <c r="J46" s="81"/>
      <c r="K46" s="81"/>
      <c r="L46" s="83"/>
    </row>
    <row r="47" spans="1:15">
      <c r="A47" s="45" t="s">
        <v>22</v>
      </c>
      <c r="C47" s="273">
        <v>0</v>
      </c>
      <c r="D47" s="40">
        <f t="shared" ref="D47:L51" si="12">ROUND((C39+C47+D32/2)*D$45,2)</f>
        <v>0</v>
      </c>
      <c r="E47" s="40">
        <f t="shared" si="12"/>
        <v>0</v>
      </c>
      <c r="F47" s="104">
        <f t="shared" si="12"/>
        <v>0</v>
      </c>
      <c r="G47" s="39">
        <f t="shared" si="12"/>
        <v>0</v>
      </c>
      <c r="H47" s="116">
        <f t="shared" si="12"/>
        <v>0</v>
      </c>
      <c r="I47" s="48">
        <f t="shared" si="12"/>
        <v>0</v>
      </c>
      <c r="J47" s="153">
        <f t="shared" si="12"/>
        <v>0</v>
      </c>
      <c r="K47" s="104">
        <f t="shared" si="12"/>
        <v>0</v>
      </c>
      <c r="L47" s="60">
        <f t="shared" si="12"/>
        <v>0</v>
      </c>
      <c r="O47" s="46">
        <f t="shared" ref="O47:O51" si="13">-SUM(J47:L47)</f>
        <v>0</v>
      </c>
    </row>
    <row r="48" spans="1:15">
      <c r="A48" s="45" t="s">
        <v>114</v>
      </c>
      <c r="C48" s="273">
        <v>0</v>
      </c>
      <c r="D48" s="40">
        <f t="shared" si="12"/>
        <v>0</v>
      </c>
      <c r="E48" s="40">
        <f t="shared" si="12"/>
        <v>0</v>
      </c>
      <c r="F48" s="104">
        <f t="shared" si="12"/>
        <v>0</v>
      </c>
      <c r="G48" s="39">
        <f>ROUND((F40+F48+G33/2)*G$45,2)*0</f>
        <v>0</v>
      </c>
      <c r="H48" s="116">
        <f t="shared" si="12"/>
        <v>0</v>
      </c>
      <c r="I48" s="48">
        <f t="shared" si="12"/>
        <v>0</v>
      </c>
      <c r="J48" s="153">
        <f t="shared" si="12"/>
        <v>0</v>
      </c>
      <c r="K48" s="104">
        <f t="shared" si="12"/>
        <v>0</v>
      </c>
      <c r="L48" s="60">
        <f t="shared" si="12"/>
        <v>0</v>
      </c>
      <c r="O48" s="46">
        <f t="shared" si="13"/>
        <v>0</v>
      </c>
    </row>
    <row r="49" spans="1:15">
      <c r="A49" s="45" t="s">
        <v>115</v>
      </c>
      <c r="C49" s="273">
        <v>0</v>
      </c>
      <c r="D49" s="40">
        <f t="shared" si="12"/>
        <v>0</v>
      </c>
      <c r="E49" s="40">
        <f t="shared" si="12"/>
        <v>0</v>
      </c>
      <c r="F49" s="104">
        <f t="shared" si="12"/>
        <v>0</v>
      </c>
      <c r="G49" s="39">
        <f t="shared" ref="G49:G51" si="14">ROUND((F41+F49+G34/2)*G$45,2)*0</f>
        <v>0</v>
      </c>
      <c r="H49" s="116">
        <f t="shared" si="12"/>
        <v>0</v>
      </c>
      <c r="I49" s="48">
        <f t="shared" si="12"/>
        <v>0</v>
      </c>
      <c r="J49" s="153">
        <f t="shared" si="12"/>
        <v>0</v>
      </c>
      <c r="K49" s="104">
        <f t="shared" si="12"/>
        <v>0</v>
      </c>
      <c r="L49" s="60">
        <f t="shared" si="12"/>
        <v>0</v>
      </c>
      <c r="O49" s="46">
        <f t="shared" si="13"/>
        <v>0</v>
      </c>
    </row>
    <row r="50" spans="1:15">
      <c r="A50" s="45" t="s">
        <v>116</v>
      </c>
      <c r="C50" s="273">
        <v>0</v>
      </c>
      <c r="D50" s="40">
        <f t="shared" si="12"/>
        <v>0</v>
      </c>
      <c r="E50" s="40">
        <f t="shared" si="12"/>
        <v>0</v>
      </c>
      <c r="F50" s="104">
        <f t="shared" si="12"/>
        <v>0</v>
      </c>
      <c r="G50" s="39">
        <f t="shared" si="14"/>
        <v>0</v>
      </c>
      <c r="H50" s="116">
        <f t="shared" si="12"/>
        <v>0</v>
      </c>
      <c r="I50" s="48">
        <f t="shared" si="12"/>
        <v>0</v>
      </c>
      <c r="J50" s="153">
        <f t="shared" si="12"/>
        <v>0</v>
      </c>
      <c r="K50" s="104">
        <f t="shared" si="12"/>
        <v>0</v>
      </c>
      <c r="L50" s="60">
        <f t="shared" si="12"/>
        <v>0</v>
      </c>
      <c r="O50" s="46">
        <f t="shared" si="13"/>
        <v>0</v>
      </c>
    </row>
    <row r="51" spans="1:15" ht="15.75" thickBot="1">
      <c r="A51" s="45" t="s">
        <v>117</v>
      </c>
      <c r="C51" s="273">
        <v>0</v>
      </c>
      <c r="D51" s="40">
        <f t="shared" si="12"/>
        <v>0</v>
      </c>
      <c r="E51" s="40">
        <f t="shared" si="12"/>
        <v>0</v>
      </c>
      <c r="F51" s="104">
        <f t="shared" si="12"/>
        <v>0</v>
      </c>
      <c r="G51" s="39">
        <f t="shared" si="14"/>
        <v>0</v>
      </c>
      <c r="H51" s="116">
        <f t="shared" si="12"/>
        <v>0</v>
      </c>
      <c r="I51" s="48">
        <f t="shared" si="12"/>
        <v>0</v>
      </c>
      <c r="J51" s="153">
        <f t="shared" si="12"/>
        <v>0</v>
      </c>
      <c r="K51" s="104">
        <f t="shared" si="12"/>
        <v>0</v>
      </c>
      <c r="L51" s="60">
        <f t="shared" si="12"/>
        <v>0</v>
      </c>
      <c r="O51" s="46">
        <f t="shared" si="13"/>
        <v>0</v>
      </c>
    </row>
    <row r="52" spans="1:15" ht="16.5" thickTop="1" thickBot="1">
      <c r="A52" s="53" t="s">
        <v>20</v>
      </c>
      <c r="B52" s="53"/>
      <c r="C52" s="103">
        <v>0</v>
      </c>
      <c r="D52" s="41">
        <f t="shared" ref="D52:I52" si="15">SUM(D47:D51)+SUM(D39:D43)-D55</f>
        <v>0</v>
      </c>
      <c r="E52" s="41">
        <f t="shared" si="15"/>
        <v>0</v>
      </c>
      <c r="F52" s="49">
        <f t="shared" ref="F52:H52" si="16">SUM(F47:F51)+SUM(F39:F43)-F55</f>
        <v>0</v>
      </c>
      <c r="G52" s="138">
        <f t="shared" si="16"/>
        <v>0</v>
      </c>
      <c r="H52" s="49">
        <f t="shared" si="16"/>
        <v>0</v>
      </c>
      <c r="I52" s="61">
        <f t="shared" si="15"/>
        <v>0</v>
      </c>
      <c r="J52" s="154">
        <f t="shared" ref="J52:L52" si="17">SUM(J47:J51)+SUM(J39:J43)-J55</f>
        <v>0</v>
      </c>
      <c r="K52" s="49">
        <f t="shared" si="17"/>
        <v>0</v>
      </c>
      <c r="L52" s="61">
        <f t="shared" si="17"/>
        <v>0</v>
      </c>
    </row>
    <row r="53" spans="1:15" ht="16.5" thickTop="1" thickBot="1">
      <c r="A53" s="53" t="s">
        <v>21</v>
      </c>
      <c r="B53" s="53"/>
      <c r="C53" s="103">
        <v>0</v>
      </c>
      <c r="D53" s="41">
        <f t="shared" ref="D53:I53" si="18">SUM(D47:D51)-D29</f>
        <v>0</v>
      </c>
      <c r="E53" s="41">
        <f t="shared" si="18"/>
        <v>0</v>
      </c>
      <c r="F53" s="49">
        <f t="shared" ref="F53:H53" si="19">SUM(F47:F51)-F29</f>
        <v>0</v>
      </c>
      <c r="G53" s="138">
        <f t="shared" si="19"/>
        <v>0</v>
      </c>
      <c r="H53" s="49">
        <f t="shared" si="19"/>
        <v>0</v>
      </c>
      <c r="I53" s="61">
        <f t="shared" si="18"/>
        <v>0</v>
      </c>
      <c r="J53" s="155">
        <f t="shared" ref="J53:L53" si="20">SUM(J47:J51)-J29</f>
        <v>0</v>
      </c>
      <c r="K53" s="41">
        <f t="shared" si="20"/>
        <v>0</v>
      </c>
      <c r="L53" s="41">
        <f t="shared" si="20"/>
        <v>0</v>
      </c>
    </row>
    <row r="54" spans="1:15" ht="16.5" thickTop="1" thickBot="1">
      <c r="C54" s="97"/>
      <c r="D54" s="16"/>
      <c r="E54" s="16"/>
      <c r="F54" s="16"/>
      <c r="G54" s="9"/>
      <c r="H54" s="16"/>
      <c r="I54" s="10"/>
      <c r="J54" s="16"/>
      <c r="K54" s="16"/>
      <c r="L54" s="10"/>
    </row>
    <row r="55" spans="1:15" ht="15.75" thickBot="1">
      <c r="A55" s="45" t="s">
        <v>30</v>
      </c>
      <c r="B55" s="112">
        <f>SUM(B39:B43)</f>
        <v>0</v>
      </c>
      <c r="C55" s="98">
        <f t="shared" ref="C55:L55" si="21">(C13-SUM(C16:C20))+SUM(C47:C51)+B55</f>
        <v>0</v>
      </c>
      <c r="D55" s="40">
        <f t="shared" si="21"/>
        <v>0</v>
      </c>
      <c r="E55" s="40">
        <f t="shared" si="21"/>
        <v>0</v>
      </c>
      <c r="F55" s="104">
        <f t="shared" si="21"/>
        <v>0</v>
      </c>
      <c r="G55" s="39">
        <f t="shared" si="21"/>
        <v>0</v>
      </c>
      <c r="H55" s="40">
        <f t="shared" si="21"/>
        <v>0</v>
      </c>
      <c r="I55" s="60">
        <f t="shared" si="21"/>
        <v>0</v>
      </c>
      <c r="J55" s="153">
        <f t="shared" si="21"/>
        <v>0</v>
      </c>
      <c r="K55" s="104">
        <f t="shared" si="21"/>
        <v>0</v>
      </c>
      <c r="L55" s="60">
        <f t="shared" si="21"/>
        <v>0</v>
      </c>
    </row>
    <row r="56" spans="1:15">
      <c r="A56" s="45" t="s">
        <v>10</v>
      </c>
      <c r="C56" s="113"/>
      <c r="D56" s="16"/>
      <c r="E56" s="16"/>
      <c r="F56" s="16"/>
      <c r="G56" s="9"/>
      <c r="H56" s="16"/>
      <c r="I56" s="10"/>
      <c r="J56" s="16"/>
      <c r="K56" s="16"/>
      <c r="L56" s="10"/>
    </row>
    <row r="57" spans="1:15" ht="15.75" thickBot="1">
      <c r="A57" s="36"/>
      <c r="B57" s="36"/>
      <c r="C57" s="139"/>
      <c r="D57" s="43"/>
      <c r="E57" s="43"/>
      <c r="F57" s="43"/>
      <c r="G57" s="42"/>
      <c r="H57" s="43"/>
      <c r="I57" s="44"/>
      <c r="J57" s="43"/>
      <c r="K57" s="43"/>
      <c r="L57" s="44"/>
    </row>
    <row r="59" spans="1:15">
      <c r="A59" s="68" t="s">
        <v>9</v>
      </c>
      <c r="B59" s="68"/>
      <c r="C59" s="68"/>
    </row>
    <row r="60" spans="1:15">
      <c r="A60" s="360" t="s">
        <v>277</v>
      </c>
      <c r="B60" s="360"/>
      <c r="C60" s="360"/>
      <c r="D60" s="360"/>
      <c r="E60" s="360"/>
      <c r="F60" s="360"/>
      <c r="G60" s="360"/>
      <c r="H60" s="360"/>
      <c r="I60" s="360"/>
      <c r="J60" s="339"/>
      <c r="K60" s="339"/>
      <c r="L60" s="278"/>
    </row>
    <row r="61" spans="1:15" ht="63" customHeight="1">
      <c r="A61" s="360" t="s">
        <v>242</v>
      </c>
      <c r="B61" s="360"/>
      <c r="C61" s="360"/>
      <c r="D61" s="360"/>
      <c r="E61" s="360"/>
      <c r="F61" s="360"/>
      <c r="G61" s="360"/>
      <c r="H61" s="360"/>
      <c r="I61" s="360"/>
      <c r="J61" s="360"/>
      <c r="K61" s="360"/>
    </row>
    <row r="62" spans="1:15">
      <c r="A62" s="360" t="s">
        <v>190</v>
      </c>
      <c r="B62" s="360"/>
      <c r="C62" s="360"/>
      <c r="D62" s="360"/>
      <c r="E62" s="360"/>
      <c r="F62" s="360"/>
      <c r="G62" s="360"/>
      <c r="H62" s="360"/>
      <c r="I62" s="360"/>
      <c r="J62" s="360"/>
      <c r="K62" s="376"/>
      <c r="L62" s="278"/>
    </row>
    <row r="63" spans="1:15">
      <c r="A63" s="62" t="s">
        <v>237</v>
      </c>
      <c r="B63" s="62"/>
      <c r="C63" s="62"/>
      <c r="D63" s="62"/>
      <c r="E63" s="38"/>
      <c r="F63" s="38"/>
      <c r="G63" s="38"/>
      <c r="H63" s="38"/>
      <c r="I63" s="38"/>
      <c r="J63" s="286"/>
      <c r="K63" s="38"/>
    </row>
    <row r="64" spans="1:15">
      <c r="A64" s="62" t="s">
        <v>106</v>
      </c>
      <c r="B64" s="62"/>
      <c r="C64" s="62"/>
      <c r="D64" s="38"/>
      <c r="E64" s="38"/>
      <c r="F64" s="38"/>
      <c r="G64" s="38"/>
      <c r="H64" s="38"/>
      <c r="I64" s="286"/>
      <c r="J64" s="38"/>
      <c r="K64" s="38"/>
    </row>
    <row r="65" spans="1:11">
      <c r="A65" s="62"/>
      <c r="B65" s="62"/>
      <c r="C65" s="62"/>
      <c r="D65" s="38"/>
      <c r="E65" s="38"/>
      <c r="F65" s="38"/>
      <c r="G65" s="38"/>
      <c r="H65" s="38"/>
      <c r="I65" s="38"/>
      <c r="J65" s="38"/>
      <c r="K65" s="38"/>
    </row>
    <row r="66" spans="1:11">
      <c r="A66" s="3"/>
      <c r="B66" s="3"/>
      <c r="C66" s="3"/>
    </row>
  </sheetData>
  <mergeCells count="6">
    <mergeCell ref="A62:K62"/>
    <mergeCell ref="D11:F11"/>
    <mergeCell ref="G11:I11"/>
    <mergeCell ref="J11:L11"/>
    <mergeCell ref="A60:I60"/>
    <mergeCell ref="A61:K61"/>
  </mergeCells>
  <pageMargins left="0.2" right="0.2" top="0.75" bottom="0.25" header="0.3" footer="0.3"/>
  <pageSetup scale="48" orientation="landscape" r:id="rId1"/>
  <headerFooter>
    <oddHeader>&amp;C&amp;F &amp;A&amp;R&amp;"Arial"&amp;10&amp;K000000CONFIDENTIAL</oddHeader>
    <oddFooter>&amp;R&amp;1#&amp;"Calibri"&amp;10&amp;KA80000Internal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50"/>
    <pageSetUpPr fitToPage="1"/>
  </sheetPr>
  <dimension ref="A1:AG57"/>
  <sheetViews>
    <sheetView tabSelected="1" zoomScale="85" zoomScaleNormal="85" workbookViewId="0">
      <pane xSplit="2" ySplit="3" topLeftCell="N12" activePane="bottomRight" state="frozen"/>
      <selection activeCell="B5" sqref="B5"/>
      <selection pane="topRight" activeCell="B5" sqref="B5"/>
      <selection pane="bottomLeft" activeCell="B5" sqref="B5"/>
      <selection pane="bottomRight" activeCell="W28" sqref="W28:AA32"/>
    </sheetView>
  </sheetViews>
  <sheetFormatPr defaultRowHeight="15" outlineLevelCol="1"/>
  <cols>
    <col min="2" max="2" width="25.140625" customWidth="1"/>
    <col min="3" max="3" width="16.5703125" bestFit="1" customWidth="1"/>
    <col min="4" max="4" width="15.5703125" customWidth="1"/>
    <col min="5" max="5" width="15.42578125" bestFit="1" customWidth="1"/>
    <col min="6" max="6" width="13.7109375" bestFit="1" customWidth="1"/>
    <col min="7" max="7" width="18.42578125" bestFit="1" customWidth="1"/>
    <col min="8" max="8" width="14.28515625" bestFit="1" customWidth="1"/>
    <col min="9" max="9" width="3.5703125" customWidth="1"/>
    <col min="10" max="10" width="13.7109375" bestFit="1" customWidth="1"/>
    <col min="11" max="11" width="12.85546875" bestFit="1" customWidth="1"/>
    <col min="12" max="13" width="13.7109375" bestFit="1" customWidth="1"/>
    <col min="14" max="14" width="11.42578125" bestFit="1" customWidth="1"/>
    <col min="15" max="15" width="16" customWidth="1" outlineLevel="1"/>
    <col min="16" max="16" width="19.28515625" customWidth="1" outlineLevel="1"/>
    <col min="17" max="17" width="16" style="45" customWidth="1" outlineLevel="1"/>
    <col min="18" max="18" width="11.85546875" customWidth="1" outlineLevel="1"/>
    <col min="19" max="20" width="16" customWidth="1" outlineLevel="1"/>
    <col min="21" max="21" width="16.5703125" style="45" customWidth="1" outlineLevel="1"/>
    <col min="22" max="22" width="16" customWidth="1" outlineLevel="1"/>
    <col min="23" max="23" width="9.140625" customWidth="1" outlineLevel="1"/>
    <col min="24" max="25" width="16.5703125" customWidth="1" outlineLevel="1"/>
    <col min="26" max="26" width="16" customWidth="1" outlineLevel="1"/>
    <col min="27" max="27" width="16.5703125" customWidth="1" outlineLevel="1"/>
    <col min="28" max="28" width="13" customWidth="1" outlineLevel="1"/>
    <col min="29" max="30" width="16.5703125" customWidth="1" outlineLevel="1"/>
    <col min="31" max="32" width="16" customWidth="1" outlineLevel="1"/>
    <col min="33" max="33" width="12.85546875" bestFit="1" customWidth="1"/>
  </cols>
  <sheetData>
    <row r="1" spans="1:33">
      <c r="A1" s="62" t="str">
        <f>'PTD Cycle 3'!A1</f>
        <v>Evergy Metro, Inc. - DSIM Rider Update Filed 06/01/2026</v>
      </c>
    </row>
    <row r="2" spans="1:33" ht="15.75" thickBot="1">
      <c r="H2" s="45"/>
      <c r="I2" s="45"/>
      <c r="J2" s="47"/>
      <c r="K2" s="47"/>
    </row>
    <row r="3" spans="1:33" ht="27.75" thickBot="1">
      <c r="B3" s="85" t="s">
        <v>5</v>
      </c>
      <c r="C3" s="123" t="s">
        <v>17</v>
      </c>
      <c r="D3" s="123" t="s">
        <v>18</v>
      </c>
      <c r="E3" s="123" t="s">
        <v>51</v>
      </c>
      <c r="F3" s="123" t="s">
        <v>19</v>
      </c>
      <c r="G3" s="87" t="s">
        <v>32</v>
      </c>
      <c r="H3" s="87" t="s">
        <v>25</v>
      </c>
      <c r="I3" s="38"/>
      <c r="J3" s="86" t="s">
        <v>11</v>
      </c>
      <c r="K3" s="87" t="s">
        <v>50</v>
      </c>
      <c r="L3" s="87" t="s">
        <v>62</v>
      </c>
      <c r="M3" s="87" t="s">
        <v>63</v>
      </c>
    </row>
    <row r="4" spans="1:33" ht="15.75" thickBot="1">
      <c r="B4" s="88" t="s">
        <v>22</v>
      </c>
      <c r="C4" s="121">
        <f t="shared" ref="C4:F8" si="0">C13+C22</f>
        <v>2266544.6900000004</v>
      </c>
      <c r="D4" s="122">
        <f t="shared" ca="1" si="0"/>
        <v>1346647.21502</v>
      </c>
      <c r="E4" s="122">
        <f t="shared" si="0"/>
        <v>425194.59723999997</v>
      </c>
      <c r="F4" s="122">
        <f t="shared" si="0"/>
        <v>-18527.60000000002</v>
      </c>
      <c r="G4" s="310">
        <f>SUM('[1]KCPL Billed kWh Sales'!$E41:$F41)</f>
        <v>2808389302</v>
      </c>
      <c r="H4" s="125">
        <f ca="1">ROUND(SUM(C4:F4)/G4,5)</f>
        <v>1.4300000000000001E-3</v>
      </c>
      <c r="I4" s="126"/>
      <c r="J4" s="279">
        <f t="shared" ref="J4:J8" si="1">ROUND((C13+C22)/G4,5)</f>
        <v>8.0999999999999996E-4</v>
      </c>
      <c r="K4" s="233">
        <f ca="1">ROUND((D13+D22)/G4,5)</f>
        <v>4.8000000000000001E-4</v>
      </c>
      <c r="L4" s="233">
        <f>ROUND((E13+E22)/G4,5)</f>
        <v>1.4999999999999999E-4</v>
      </c>
      <c r="M4" s="127">
        <f>ROUND((F13+F22)/G4,5)</f>
        <v>-1.0000000000000001E-5</v>
      </c>
      <c r="N4" s="341">
        <f ca="1">+H4-SUM(J4:M4)</f>
        <v>0</v>
      </c>
    </row>
    <row r="5" spans="1:33" ht="15.75" thickBot="1">
      <c r="B5" s="88" t="s">
        <v>91</v>
      </c>
      <c r="C5" s="121">
        <f t="shared" si="0"/>
        <v>413064.48783979804</v>
      </c>
      <c r="D5" s="122">
        <f t="shared" ca="1" si="0"/>
        <v>474460.6206599999</v>
      </c>
      <c r="E5" s="122">
        <f t="shared" si="0"/>
        <v>172711.19127999997</v>
      </c>
      <c r="F5" s="122">
        <f t="shared" si="0"/>
        <v>-1308.2100000000005</v>
      </c>
      <c r="G5" s="310">
        <f>SUM('[1]KCPL Billed kWh Sales'!$E42:$F42)</f>
        <v>746894153</v>
      </c>
      <c r="H5" s="125">
        <f ca="1">ROUND(SUM(C5:F5)/G5,5)</f>
        <v>1.42E-3</v>
      </c>
      <c r="I5" s="126"/>
      <c r="J5" s="279">
        <f t="shared" si="1"/>
        <v>5.5000000000000003E-4</v>
      </c>
      <c r="K5" s="233">
        <f ca="1">ROUND((D14+D23)/G5,5)</f>
        <v>6.4000000000000005E-4</v>
      </c>
      <c r="L5" s="233">
        <f>ROUND((E14+E23)/G5,5)</f>
        <v>2.3000000000000001E-4</v>
      </c>
      <c r="M5" s="127">
        <f>ROUND((F14+F23)/G5,5)</f>
        <v>0</v>
      </c>
      <c r="N5" s="341">
        <f t="shared" ref="N5:N8" ca="1" si="2">+H5-SUM(J5:M5)</f>
        <v>0</v>
      </c>
      <c r="O5" s="232"/>
      <c r="P5" s="232"/>
      <c r="Q5" s="232"/>
      <c r="R5" s="232"/>
      <c r="S5" s="232"/>
      <c r="T5" s="232"/>
    </row>
    <row r="6" spans="1:33" s="45" customFormat="1" ht="15.75" thickBot="1">
      <c r="B6" s="88" t="s">
        <v>92</v>
      </c>
      <c r="C6" s="121">
        <f t="shared" si="0"/>
        <v>-431996.53999999911</v>
      </c>
      <c r="D6" s="122">
        <f t="shared" ca="1" si="0"/>
        <v>891000.98808999965</v>
      </c>
      <c r="E6" s="122">
        <f t="shared" si="0"/>
        <v>219685.58368000004</v>
      </c>
      <c r="F6" s="122">
        <f t="shared" si="0"/>
        <v>-2244.9900000000002</v>
      </c>
      <c r="G6" s="310">
        <f>SUM('[1]KCPL Billed kWh Sales'!$E43:$F43)</f>
        <v>1243400161</v>
      </c>
      <c r="H6" s="125">
        <f ca="1">ROUND(SUM(C6:F6)/G6,5)</f>
        <v>5.4000000000000001E-4</v>
      </c>
      <c r="I6" s="126"/>
      <c r="J6" s="326">
        <f>ROUND((C15+C24)/G6,5)-0.00001</f>
        <v>-3.6000000000000002E-4</v>
      </c>
      <c r="K6" s="233">
        <f ca="1">ROUND((D15+D24)/G6,5)</f>
        <v>7.2000000000000005E-4</v>
      </c>
      <c r="L6" s="233">
        <f>ROUND((E15+E24)/G6,5)</f>
        <v>1.8000000000000001E-4</v>
      </c>
      <c r="M6" s="127">
        <f>ROUND((F15+F24)/G6,5)</f>
        <v>0</v>
      </c>
      <c r="N6" s="341">
        <f t="shared" ca="1" si="2"/>
        <v>0</v>
      </c>
      <c r="O6" s="232"/>
      <c r="P6" s="232"/>
      <c r="Q6" s="232"/>
      <c r="R6" s="232"/>
      <c r="S6" s="232"/>
      <c r="T6" s="232"/>
    </row>
    <row r="7" spans="1:33" s="45" customFormat="1" ht="15.75" thickBot="1">
      <c r="B7" s="88" t="s">
        <v>93</v>
      </c>
      <c r="C7" s="121">
        <f t="shared" si="0"/>
        <v>4025733.5599999996</v>
      </c>
      <c r="D7" s="122">
        <f t="shared" ca="1" si="0"/>
        <v>527770.75042000005</v>
      </c>
      <c r="E7" s="122">
        <f t="shared" si="0"/>
        <v>204881.07290000014</v>
      </c>
      <c r="F7" s="122">
        <f t="shared" si="0"/>
        <v>-1836.9799999999996</v>
      </c>
      <c r="G7" s="310">
        <f>SUM('[1]KCPL Billed kWh Sales'!$E44:$F44)</f>
        <v>2000876857</v>
      </c>
      <c r="H7" s="125">
        <f ca="1">ROUND(SUM(C7:F7)/G7,5)</f>
        <v>2.3800000000000002E-3</v>
      </c>
      <c r="I7" s="126"/>
      <c r="J7" s="326">
        <f>ROUND((C16+C25)/G7,5)+0.00001</f>
        <v>2.0200000000000001E-3</v>
      </c>
      <c r="K7" s="233">
        <f ca="1">ROUND((D16+D25)/G7,5)</f>
        <v>2.5999999999999998E-4</v>
      </c>
      <c r="L7" s="233">
        <f>ROUND((E16+E25)/G7,5)</f>
        <v>1E-4</v>
      </c>
      <c r="M7" s="127">
        <f>ROUND((F16+F25)/G7,5)</f>
        <v>0</v>
      </c>
      <c r="N7" s="341">
        <f t="shared" ca="1" si="2"/>
        <v>0</v>
      </c>
      <c r="O7" s="232"/>
      <c r="P7" s="232"/>
      <c r="Q7" s="232"/>
      <c r="R7" s="232"/>
      <c r="S7" s="232"/>
      <c r="T7" s="232"/>
    </row>
    <row r="8" spans="1:33" s="45" customFormat="1" ht="15.75" thickBot="1">
      <c r="B8" s="88" t="s">
        <v>94</v>
      </c>
      <c r="C8" s="121">
        <f t="shared" si="0"/>
        <v>1510398.2121602034</v>
      </c>
      <c r="D8" s="122">
        <f t="shared" ca="1" si="0"/>
        <v>38908.629210000014</v>
      </c>
      <c r="E8" s="122">
        <f t="shared" si="0"/>
        <v>60912.375890000018</v>
      </c>
      <c r="F8" s="122">
        <f t="shared" si="0"/>
        <v>-1166.0000000000002</v>
      </c>
      <c r="G8" s="310">
        <f>SUM('[1]KCPL Billed kWh Sales'!$E45:$F45)</f>
        <v>657131150</v>
      </c>
      <c r="H8" s="125">
        <f ca="1">ROUND(SUM(C8:F8)/G8,5)</f>
        <v>2.4499999999999999E-3</v>
      </c>
      <c r="I8" s="126"/>
      <c r="J8" s="279">
        <f t="shared" si="1"/>
        <v>2.3E-3</v>
      </c>
      <c r="K8" s="233">
        <f ca="1">ROUND((D17+D26)/G8,5)</f>
        <v>6.0000000000000002E-5</v>
      </c>
      <c r="L8" s="233">
        <f>ROUND((E17+E26)/G8,5)</f>
        <v>9.0000000000000006E-5</v>
      </c>
      <c r="M8" s="127">
        <f>ROUND((F17+F26)/G8,5)</f>
        <v>0</v>
      </c>
      <c r="N8" s="341">
        <f t="shared" ca="1" si="2"/>
        <v>0</v>
      </c>
      <c r="O8" s="232"/>
      <c r="P8" s="232"/>
      <c r="Q8" s="232"/>
      <c r="R8" s="232"/>
      <c r="S8" s="232"/>
      <c r="T8" s="232"/>
    </row>
    <row r="9" spans="1:33">
      <c r="C9" s="120"/>
      <c r="D9" s="120"/>
      <c r="E9" s="120"/>
      <c r="F9" s="120"/>
      <c r="G9" s="119"/>
    </row>
    <row r="10" spans="1:33">
      <c r="C10" s="120"/>
      <c r="D10" s="120"/>
      <c r="E10" s="120"/>
      <c r="F10" s="120"/>
      <c r="G10" s="119"/>
      <c r="H10" s="248"/>
      <c r="I10" s="142"/>
      <c r="J10" s="299"/>
      <c r="K10" s="299"/>
      <c r="L10" s="299"/>
      <c r="M10" s="248"/>
    </row>
    <row r="11" spans="1:33" ht="15.75" thickBot="1">
      <c r="C11" s="120"/>
      <c r="D11" s="120"/>
      <c r="E11" s="120"/>
      <c r="F11" s="120"/>
      <c r="G11" s="119"/>
      <c r="H11" s="249"/>
      <c r="I11" s="250"/>
      <c r="J11" s="249"/>
      <c r="K11" s="249"/>
      <c r="L11" s="249"/>
      <c r="M11" s="249"/>
    </row>
    <row r="12" spans="1:33" ht="15.75" thickBot="1">
      <c r="B12" s="85" t="s">
        <v>5</v>
      </c>
      <c r="C12" s="124" t="s">
        <v>4</v>
      </c>
      <c r="D12" s="124" t="s">
        <v>14</v>
      </c>
      <c r="E12" s="124" t="s">
        <v>52</v>
      </c>
      <c r="F12" s="124" t="s">
        <v>15</v>
      </c>
      <c r="G12" s="119"/>
      <c r="H12" s="249"/>
      <c r="I12" s="250"/>
      <c r="J12" s="249"/>
      <c r="K12" s="249"/>
      <c r="L12" s="249"/>
      <c r="M12" s="249"/>
      <c r="O12" s="124" t="s">
        <v>64</v>
      </c>
      <c r="P12" s="124" t="s">
        <v>65</v>
      </c>
      <c r="Q12" s="124" t="s">
        <v>72</v>
      </c>
      <c r="R12" s="45"/>
      <c r="S12" s="124" t="s">
        <v>66</v>
      </c>
      <c r="T12" s="124" t="s">
        <v>67</v>
      </c>
      <c r="U12" s="124" t="s">
        <v>88</v>
      </c>
      <c r="V12" s="124" t="s">
        <v>81</v>
      </c>
      <c r="X12" s="124" t="s">
        <v>97</v>
      </c>
      <c r="Y12" s="124" t="s">
        <v>98</v>
      </c>
      <c r="Z12" s="124" t="s">
        <v>99</v>
      </c>
      <c r="AA12" s="124" t="s">
        <v>100</v>
      </c>
      <c r="AC12" s="124" t="s">
        <v>178</v>
      </c>
      <c r="AD12" s="124" t="s">
        <v>179</v>
      </c>
      <c r="AE12" s="124" t="s">
        <v>180</v>
      </c>
      <c r="AF12" s="124" t="s">
        <v>181</v>
      </c>
      <c r="AG12" s="45"/>
    </row>
    <row r="13" spans="1:33" ht="15.75" thickBot="1">
      <c r="B13" s="88" t="s">
        <v>22</v>
      </c>
      <c r="C13" s="274">
        <f>+'PPC Cycle 4'!C5</f>
        <v>4209785.1800000006</v>
      </c>
      <c r="D13" s="274">
        <f ca="1">+'PTD Cycle 3'!C6+'PTD Cycle 4'!C6</f>
        <v>1481007.19</v>
      </c>
      <c r="E13" s="274">
        <f>+'EO Cycle 3'!G7+'EO Cycle 4'!G7</f>
        <v>57333.880000000005</v>
      </c>
      <c r="F13" s="274">
        <f>+'OA Cycle 3'!F9</f>
        <v>0</v>
      </c>
      <c r="G13" s="119"/>
      <c r="H13" s="249"/>
      <c r="I13" s="250"/>
      <c r="J13" s="249"/>
      <c r="K13" s="249"/>
      <c r="L13" s="249"/>
      <c r="M13" s="249"/>
      <c r="O13" s="337">
        <v>0</v>
      </c>
      <c r="P13" s="337">
        <v>0</v>
      </c>
      <c r="Q13" s="337">
        <v>0</v>
      </c>
      <c r="R13" s="148"/>
      <c r="S13" s="337">
        <v>0</v>
      </c>
      <c r="T13" s="337">
        <v>0</v>
      </c>
      <c r="U13" s="337">
        <v>0</v>
      </c>
      <c r="V13" s="337">
        <v>0</v>
      </c>
      <c r="W13" s="254"/>
      <c r="X13" s="337">
        <v>0</v>
      </c>
      <c r="Y13" s="275">
        <f ca="1">ROUND('PTD Cycle 3'!C6/'Tariff Tables'!G4,5)</f>
        <v>5.1999999999999995E-4</v>
      </c>
      <c r="Z13" s="325">
        <f>ROUND('EO Cycle 3'!G7/'Tariff Tables'!G4,5)+0.00001</f>
        <v>0</v>
      </c>
      <c r="AA13" s="275">
        <f>ROUND('OA Cycle 3'!E9/'Tariff Tables'!G4,5)</f>
        <v>0</v>
      </c>
      <c r="AB13" s="148"/>
      <c r="AC13" s="275">
        <f>ROUND('PPC Cycle 4'!C5/'Tariff Tables'!$G4,5)</f>
        <v>1.5E-3</v>
      </c>
      <c r="AD13" s="275">
        <f ca="1">ROUND('PTD Cycle 4'!C6/'Tariff Tables'!G4,5)</f>
        <v>1.0000000000000001E-5</v>
      </c>
      <c r="AE13" s="275">
        <f>ROUND('EO Cycle 4'!G7/'Tariff Tables'!G4,5)</f>
        <v>3.0000000000000001E-5</v>
      </c>
      <c r="AF13" s="275"/>
      <c r="AG13" s="148">
        <f ca="1">SUM($O13:OFFSET(AG13,0,-1),$O22:OFFSET(AG22,0,-1))</f>
        <v>1.4300000000000001E-3</v>
      </c>
    </row>
    <row r="14" spans="1:33" ht="15.75" thickBot="1">
      <c r="B14" s="88" t="s">
        <v>91</v>
      </c>
      <c r="C14" s="274">
        <f>+'PPC Cycle 4'!C6</f>
        <v>468525.68</v>
      </c>
      <c r="D14" s="274">
        <f ca="1">+'PTD Cycle 3'!C7+'PTD Cycle 4'!C7</f>
        <v>561697.40999999992</v>
      </c>
      <c r="E14" s="274">
        <f>+'EO Cycle 3'!G11+'EO Cycle 4'!G11</f>
        <v>114967.3</v>
      </c>
      <c r="F14" s="274">
        <f>+'OA Cycle 3'!F14</f>
        <v>0</v>
      </c>
      <c r="G14" s="119"/>
      <c r="H14" s="249"/>
      <c r="I14" s="250"/>
      <c r="J14" s="251"/>
      <c r="K14" s="249"/>
      <c r="L14" s="249"/>
      <c r="M14" s="249"/>
      <c r="O14" s="337">
        <v>0</v>
      </c>
      <c r="P14" s="337">
        <v>0</v>
      </c>
      <c r="Q14" s="337">
        <v>0</v>
      </c>
      <c r="R14" s="148"/>
      <c r="S14" s="337">
        <v>0</v>
      </c>
      <c r="T14" s="337">
        <v>0</v>
      </c>
      <c r="U14" s="337">
        <v>0</v>
      </c>
      <c r="V14" s="337">
        <v>0</v>
      </c>
      <c r="W14" s="254"/>
      <c r="X14" s="337">
        <v>0</v>
      </c>
      <c r="Y14" s="275">
        <f ca="1">ROUND('PTD Cycle 3'!C7/'Tariff Tables'!G5,5)</f>
        <v>5.9999999999999995E-4</v>
      </c>
      <c r="Z14" s="275">
        <f>ROUND('EO Cycle 3'!G11/'Tariff Tables'!G5,5)</f>
        <v>2.0000000000000002E-5</v>
      </c>
      <c r="AA14" s="275">
        <f>ROUND('OA Cycle 3'!B14/'Tariff Tables'!G5,5)</f>
        <v>0</v>
      </c>
      <c r="AB14" s="148"/>
      <c r="AC14" s="275">
        <f>ROUND('PPC Cycle 4'!C6/'Tariff Tables'!$G5,5)</f>
        <v>6.3000000000000003E-4</v>
      </c>
      <c r="AD14" s="275">
        <f ca="1">ROUND('PTD Cycle 4'!C7/'Tariff Tables'!G5,5)</f>
        <v>1.6000000000000001E-4</v>
      </c>
      <c r="AE14" s="275">
        <f>ROUND('EO Cycle 4'!G11/'Tariff Tables'!G5,5)</f>
        <v>1.2999999999999999E-4</v>
      </c>
      <c r="AF14" s="275"/>
      <c r="AG14" s="148">
        <f ca="1">SUM($O14:OFFSET(AG14,0,-1),$O23:OFFSET(AG23,0,-1))</f>
        <v>1.4199999999999998E-3</v>
      </c>
    </row>
    <row r="15" spans="1:33" s="45" customFormat="1" ht="15.75" thickBot="1">
      <c r="B15" s="88" t="s">
        <v>92</v>
      </c>
      <c r="C15" s="274">
        <f>+'PPC Cycle 4'!C7</f>
        <v>1861717.79</v>
      </c>
      <c r="D15" s="274">
        <f ca="1">+'PTD Cycle 3'!C8+'PTD Cycle 4'!C8</f>
        <v>821917.58</v>
      </c>
      <c r="E15" s="274">
        <f>+'EO Cycle 3'!G12+'EO Cycle 4'!G12</f>
        <v>82989.47</v>
      </c>
      <c r="F15" s="274">
        <f>+'OA Cycle 3'!F15</f>
        <v>0</v>
      </c>
      <c r="G15" s="119"/>
      <c r="H15" s="249"/>
      <c r="I15" s="250"/>
      <c r="J15" s="249"/>
      <c r="K15" s="249"/>
      <c r="L15" s="252"/>
      <c r="M15" s="249"/>
      <c r="O15" s="337">
        <v>0</v>
      </c>
      <c r="P15" s="337">
        <v>0</v>
      </c>
      <c r="Q15" s="337">
        <v>0</v>
      </c>
      <c r="R15" s="148"/>
      <c r="S15" s="337">
        <v>0</v>
      </c>
      <c r="T15" s="337">
        <v>0</v>
      </c>
      <c r="U15" s="337">
        <v>0</v>
      </c>
      <c r="V15" s="337">
        <v>0</v>
      </c>
      <c r="W15" s="254"/>
      <c r="X15" s="337">
        <v>0</v>
      </c>
      <c r="Y15" s="275">
        <f ca="1">ROUND('PTD Cycle 3'!C8/'Tariff Tables'!G6,5)</f>
        <v>6.2E-4</v>
      </c>
      <c r="Z15" s="275">
        <f>ROUND('EO Cycle 3'!G12/'Tariff Tables'!G6,5)</f>
        <v>1.0000000000000001E-5</v>
      </c>
      <c r="AA15" s="275">
        <f>ROUND('OA Cycle 3'!B15/'Tariff Tables'!G6,5)</f>
        <v>0</v>
      </c>
      <c r="AB15" s="148"/>
      <c r="AC15" s="275">
        <f>ROUND('PPC Cycle 4'!C7/'Tariff Tables'!$G6,5)</f>
        <v>1.5E-3</v>
      </c>
      <c r="AD15" s="275">
        <f ca="1">ROUND('PTD Cycle 4'!C8/'Tariff Tables'!G6,5)</f>
        <v>4.0000000000000003E-5</v>
      </c>
      <c r="AE15" s="275">
        <f>ROUND('EO Cycle 4'!G12/'Tariff Tables'!G6,5)</f>
        <v>6.0000000000000002E-5</v>
      </c>
      <c r="AF15" s="275"/>
      <c r="AG15" s="148">
        <f ca="1">SUM($O15:OFFSET(AG15,0,-1),$O24:OFFSET(AG24,0,-1))</f>
        <v>5.3999999999999979E-4</v>
      </c>
    </row>
    <row r="16" spans="1:33" s="45" customFormat="1" ht="15.75" thickBot="1">
      <c r="B16" s="88" t="s">
        <v>93</v>
      </c>
      <c r="C16" s="274">
        <f>+'PPC Cycle 4'!C8</f>
        <v>3574597.56</v>
      </c>
      <c r="D16" s="274">
        <f ca="1">+'PTD Cycle 3'!C9+'PTD Cycle 4'!C9</f>
        <v>523194.44</v>
      </c>
      <c r="E16" s="274">
        <f>+'EO Cycle 3'!G13+'EO Cycle 4'!G13</f>
        <v>57030.590000000004</v>
      </c>
      <c r="F16" s="274">
        <f>+'OA Cycle 3'!F16</f>
        <v>0</v>
      </c>
      <c r="G16" s="119"/>
      <c r="H16" s="16"/>
      <c r="I16" s="16"/>
      <c r="J16" s="147"/>
      <c r="K16" s="16"/>
      <c r="L16" s="16"/>
      <c r="M16" s="16"/>
      <c r="O16" s="337">
        <v>0</v>
      </c>
      <c r="P16" s="337">
        <v>0</v>
      </c>
      <c r="Q16" s="337">
        <v>0</v>
      </c>
      <c r="R16" s="218"/>
      <c r="S16" s="337">
        <v>0</v>
      </c>
      <c r="T16" s="337">
        <v>0</v>
      </c>
      <c r="U16" s="337">
        <v>0</v>
      </c>
      <c r="V16" s="337">
        <v>0</v>
      </c>
      <c r="W16" s="254"/>
      <c r="X16" s="337">
        <v>0</v>
      </c>
      <c r="Y16" s="275">
        <f ca="1">ROUND('PTD Cycle 3'!C9/'Tariff Tables'!G7,5)</f>
        <v>2.5000000000000001E-4</v>
      </c>
      <c r="Z16" s="275">
        <f>ROUND('EO Cycle 3'!G13/'Tariff Tables'!G7,5)</f>
        <v>1.0000000000000001E-5</v>
      </c>
      <c r="AA16" s="275">
        <f>ROUND('OA Cycle 3'!B16/'Tariff Tables'!G7,5)</f>
        <v>0</v>
      </c>
      <c r="AB16" s="148"/>
      <c r="AC16" s="275">
        <f>ROUND('PPC Cycle 4'!C8/'Tariff Tables'!$G7,5)</f>
        <v>1.7899999999999999E-3</v>
      </c>
      <c r="AD16" s="275">
        <f ca="1">ROUND('PTD Cycle 4'!C9/'Tariff Tables'!G7,5)</f>
        <v>1.0000000000000001E-5</v>
      </c>
      <c r="AE16" s="275">
        <f>ROUND('EO Cycle 4'!G13/'Tariff Tables'!G7,5)</f>
        <v>2.0000000000000002E-5</v>
      </c>
      <c r="AF16" s="275"/>
      <c r="AG16" s="148">
        <f ca="1">SUM($O16:OFFSET(AG16,0,-1),$O25:OFFSET(AG25,0,-1))</f>
        <v>2.3799999999999997E-3</v>
      </c>
    </row>
    <row r="17" spans="2:33" s="45" customFormat="1" ht="15.75" thickBot="1">
      <c r="B17" s="88" t="s">
        <v>94</v>
      </c>
      <c r="C17" s="274">
        <f>+'PPC Cycle 4'!C9</f>
        <v>1307980.56</v>
      </c>
      <c r="D17" s="274">
        <f ca="1">+'PTD Cycle 3'!C10+'PTD Cycle 4'!C10</f>
        <v>33154.639999999999</v>
      </c>
      <c r="E17" s="274">
        <f>+'EO Cycle 3'!G14+'EO Cycle 4'!G14</f>
        <v>11329.33</v>
      </c>
      <c r="F17" s="274">
        <f>+'OA Cycle 3'!F17</f>
        <v>0</v>
      </c>
      <c r="G17" s="119"/>
      <c r="J17" s="147"/>
      <c r="K17" s="16"/>
      <c r="O17" s="337">
        <v>0</v>
      </c>
      <c r="P17" s="337">
        <v>0</v>
      </c>
      <c r="Q17" s="337">
        <v>0</v>
      </c>
      <c r="R17" s="218"/>
      <c r="S17" s="337">
        <v>0</v>
      </c>
      <c r="T17" s="337">
        <v>0</v>
      </c>
      <c r="U17" s="337">
        <v>0</v>
      </c>
      <c r="V17" s="337">
        <v>0</v>
      </c>
      <c r="W17" s="254"/>
      <c r="X17" s="337">
        <v>0</v>
      </c>
      <c r="Y17" s="275">
        <f ca="1">ROUND('PTD Cycle 3'!C10/'Tariff Tables'!G8,5)</f>
        <v>5.0000000000000002E-5</v>
      </c>
      <c r="Z17" s="325">
        <f>ROUND('EO Cycle 3'!G14/'Tariff Tables'!G8,5)-0.00001</f>
        <v>0</v>
      </c>
      <c r="AA17" s="275">
        <f>ROUND('OA Cycle 3'!B17/'Tariff Tables'!G8,5)</f>
        <v>0</v>
      </c>
      <c r="AB17" s="148"/>
      <c r="AC17" s="275">
        <f>ROUND('PPC Cycle 4'!C9/'Tariff Tables'!$G8,5)</f>
        <v>1.99E-3</v>
      </c>
      <c r="AD17" s="275">
        <f ca="1">ROUND('PTD Cycle 4'!C10/'Tariff Tables'!G8,5)</f>
        <v>0</v>
      </c>
      <c r="AE17" s="275">
        <f>ROUND('EO Cycle 4'!G14/'Tariff Tables'!G8,5)</f>
        <v>1.0000000000000001E-5</v>
      </c>
      <c r="AF17" s="275"/>
      <c r="AG17" s="148">
        <f ca="1">SUM($O17:OFFSET(AG17,0,-1),$O26:OFFSET(AG26,0,-1))</f>
        <v>2.4500000000000004E-3</v>
      </c>
    </row>
    <row r="18" spans="2:33">
      <c r="C18" s="120"/>
      <c r="D18" s="120"/>
      <c r="E18" s="120"/>
      <c r="F18" s="120"/>
      <c r="G18" s="119"/>
      <c r="J18" s="16"/>
      <c r="K18" s="16"/>
      <c r="O18" s="171"/>
      <c r="P18" s="171"/>
      <c r="Q18" s="219"/>
      <c r="R18" s="218"/>
      <c r="S18" s="218"/>
      <c r="T18" s="218"/>
      <c r="U18" s="218"/>
      <c r="V18" s="218"/>
      <c r="W18" s="254"/>
      <c r="X18" s="218"/>
      <c r="Y18" s="218"/>
      <c r="Z18" s="218"/>
      <c r="AA18" s="218"/>
      <c r="AC18" s="218"/>
      <c r="AD18" s="218"/>
      <c r="AE18" s="218"/>
      <c r="AF18" s="218"/>
      <c r="AG18" s="45"/>
    </row>
    <row r="19" spans="2:33">
      <c r="C19" s="120"/>
      <c r="D19" s="120"/>
      <c r="E19" s="120"/>
      <c r="F19" s="120"/>
      <c r="G19" s="119"/>
      <c r="J19" s="16"/>
      <c r="K19" s="16"/>
      <c r="O19" s="171"/>
      <c r="P19" s="171"/>
      <c r="Q19" s="219"/>
      <c r="R19" s="218"/>
      <c r="S19" s="218"/>
      <c r="T19" s="218"/>
      <c r="U19" s="218"/>
      <c r="V19" s="218"/>
      <c r="W19" s="254"/>
      <c r="X19" s="218"/>
      <c r="Y19" s="218"/>
      <c r="Z19" s="218"/>
      <c r="AA19" s="218"/>
      <c r="AC19" s="218"/>
      <c r="AD19" s="218"/>
      <c r="AE19" s="218"/>
      <c r="AF19" s="218"/>
      <c r="AG19" s="45"/>
    </row>
    <row r="20" spans="2:33" ht="15.75" thickBot="1">
      <c r="C20" s="120"/>
      <c r="D20" s="120"/>
      <c r="E20" s="120"/>
      <c r="F20" s="120"/>
      <c r="G20" s="119"/>
      <c r="J20" s="16"/>
      <c r="K20" s="16"/>
      <c r="O20" s="171"/>
      <c r="P20" s="171"/>
      <c r="Q20" s="219"/>
      <c r="R20" s="218"/>
      <c r="S20" s="218"/>
      <c r="T20" s="218"/>
      <c r="U20" s="218"/>
      <c r="V20" s="218"/>
      <c r="W20" s="254"/>
      <c r="X20" s="218"/>
      <c r="Y20" s="218"/>
      <c r="Z20" s="218"/>
      <c r="AA20" s="218"/>
      <c r="AC20" s="218"/>
      <c r="AD20" s="218"/>
      <c r="AE20" s="218"/>
      <c r="AF20" s="218"/>
      <c r="AG20" s="45"/>
    </row>
    <row r="21" spans="2:33" ht="15.75" thickBot="1">
      <c r="B21" s="85" t="s">
        <v>5</v>
      </c>
      <c r="C21" s="124" t="s">
        <v>2</v>
      </c>
      <c r="D21" s="124" t="s">
        <v>7</v>
      </c>
      <c r="E21" s="124" t="s">
        <v>53</v>
      </c>
      <c r="F21" s="124" t="s">
        <v>16</v>
      </c>
      <c r="G21" s="119"/>
      <c r="O21" s="172" t="s">
        <v>68</v>
      </c>
      <c r="P21" s="172" t="s">
        <v>69</v>
      </c>
      <c r="Q21" s="220" t="s">
        <v>73</v>
      </c>
      <c r="R21" s="218"/>
      <c r="S21" s="221" t="s">
        <v>70</v>
      </c>
      <c r="T21" s="221" t="s">
        <v>71</v>
      </c>
      <c r="U21" s="220" t="s">
        <v>90</v>
      </c>
      <c r="V21" s="221" t="s">
        <v>82</v>
      </c>
      <c r="W21" s="254"/>
      <c r="X21" s="221" t="s">
        <v>101</v>
      </c>
      <c r="Y21" s="221" t="s">
        <v>102</v>
      </c>
      <c r="Z21" s="220" t="s">
        <v>103</v>
      </c>
      <c r="AA21" s="221" t="s">
        <v>104</v>
      </c>
      <c r="AC21" s="221" t="s">
        <v>183</v>
      </c>
      <c r="AD21" s="221" t="s">
        <v>184</v>
      </c>
      <c r="AE21" s="220" t="s">
        <v>185</v>
      </c>
      <c r="AF21" s="221" t="s">
        <v>186</v>
      </c>
      <c r="AG21" s="45"/>
    </row>
    <row r="22" spans="2:33" ht="15.75" thickBot="1">
      <c r="B22" s="88" t="s">
        <v>22</v>
      </c>
      <c r="C22" s="274">
        <f>'PCR Cycle 4'!K4+'PCR Cycle 3'!K4</f>
        <v>-1943240.4900000005</v>
      </c>
      <c r="D22" s="274">
        <f>'TDR Cycle 4'!K4+'TDR Cycle 3'!K4</f>
        <v>-134359.97497999982</v>
      </c>
      <c r="E22" s="274">
        <f>+'EOR Cycle 3'!J4</f>
        <v>367860.71723999997</v>
      </c>
      <c r="F22" s="274">
        <f>+'OAR Cycle 3'!I4+'OAR Cycle 4'!I4</f>
        <v>-18527.60000000002</v>
      </c>
      <c r="G22" s="119"/>
      <c r="O22" s="337">
        <v>0</v>
      </c>
      <c r="P22" s="337">
        <v>0</v>
      </c>
      <c r="Q22" s="337">
        <v>0</v>
      </c>
      <c r="R22" s="218"/>
      <c r="S22" s="337">
        <v>0</v>
      </c>
      <c r="T22" s="337">
        <v>0</v>
      </c>
      <c r="U22" s="337">
        <v>0</v>
      </c>
      <c r="V22" s="337">
        <v>0</v>
      </c>
      <c r="W22" s="254"/>
      <c r="X22" s="275">
        <f>ROUND('PCR Cycle 3'!K4/'Tariff Tables'!G4,5)</f>
        <v>1.1E-4</v>
      </c>
      <c r="Y22" s="275">
        <f>ROUND('TDR Cycle 3'!K4/'Tariff Tables'!G4,5)</f>
        <v>1.0000000000000001E-5</v>
      </c>
      <c r="Z22" s="325">
        <f>ROUND(+'EOR Cycle 3'!J4/'Tariff Tables'!G4,5)-0.00001</f>
        <v>1.1999999999999999E-4</v>
      </c>
      <c r="AA22" s="275">
        <f>ROUND(('OAR Cycle 3'!I4)/'Tariff Tables'!G4,5)</f>
        <v>-1.0000000000000001E-5</v>
      </c>
      <c r="AC22" s="325">
        <f>ROUND('PCR Cycle 4'!K4/'Tariff Tables'!$G4,5)+0.00001</f>
        <v>-7.9999999999999993E-4</v>
      </c>
      <c r="AD22" s="275">
        <f>ROUND('TDR Cycle 4'!K4/'Tariff Tables'!$G4,5)</f>
        <v>-6.0000000000000002E-5</v>
      </c>
      <c r="AE22" s="275"/>
      <c r="AF22" s="275">
        <f>ROUND(('OAR Cycle 4'!I4)/'Tariff Tables'!G4,5)</f>
        <v>0</v>
      </c>
      <c r="AG22" s="45"/>
    </row>
    <row r="23" spans="2:33" ht="15.75" thickBot="1">
      <c r="B23" s="88" t="s">
        <v>91</v>
      </c>
      <c r="C23" s="274">
        <f>'PCR Cycle 4'!K5+'PCR Cycle 3'!K5</f>
        <v>-55461.192160201972</v>
      </c>
      <c r="D23" s="274">
        <f>'TDR Cycle 4'!K5+'TDR Cycle 3'!K5</f>
        <v>-87236.789340000032</v>
      </c>
      <c r="E23" s="274">
        <f>+'EOR Cycle 3'!J5</f>
        <v>57743.891279999967</v>
      </c>
      <c r="F23" s="274">
        <f>+'OAR Cycle 3'!I5+'OAR Cycle 4'!I5</f>
        <v>-1308.2100000000005</v>
      </c>
      <c r="G23" s="119"/>
      <c r="O23" s="337">
        <v>0</v>
      </c>
      <c r="P23" s="337">
        <v>0</v>
      </c>
      <c r="Q23" s="337">
        <v>0</v>
      </c>
      <c r="R23" s="218"/>
      <c r="S23" s="337">
        <v>0</v>
      </c>
      <c r="T23" s="337">
        <v>0</v>
      </c>
      <c r="U23" s="337">
        <v>0</v>
      </c>
      <c r="V23" s="337">
        <v>0</v>
      </c>
      <c r="W23" s="254"/>
      <c r="X23" s="325">
        <f>ROUND('PCR Cycle 3'!K5/'Tariff Tables'!G5,5)-0.00001</f>
        <v>1E-4</v>
      </c>
      <c r="Y23" s="275">
        <f>ROUND('TDR Cycle 3'!K5/'Tariff Tables'!G5,5)</f>
        <v>-1.0000000000000001E-5</v>
      </c>
      <c r="Z23" s="275">
        <f>ROUND(+'EOR Cycle 3'!J5/'Tariff Tables'!G5,5)</f>
        <v>8.0000000000000007E-5</v>
      </c>
      <c r="AA23" s="275">
        <f>ROUND(('OAR Cycle 3'!I5-'OAR Cycle 3'!G5)/'Tariff Tables'!G5,5)</f>
        <v>0</v>
      </c>
      <c r="AC23" s="275">
        <f>ROUND('PCR Cycle 4'!K5/'Tariff Tables'!$G5,5)</f>
        <v>-1.8000000000000001E-4</v>
      </c>
      <c r="AD23" s="275">
        <f>ROUND('TDR Cycle 4'!K5/'Tariff Tables'!$G5,5)</f>
        <v>-1.1E-4</v>
      </c>
      <c r="AE23" s="275"/>
      <c r="AF23" s="275">
        <f>ROUND(('OAR Cycle 4'!I5-'OAR Cycle 4'!G5)/'Tariff Tables'!G5,5)</f>
        <v>0</v>
      </c>
      <c r="AG23" s="45"/>
    </row>
    <row r="24" spans="2:33" s="45" customFormat="1" ht="15.75" thickBot="1">
      <c r="B24" s="88" t="s">
        <v>92</v>
      </c>
      <c r="C24" s="274">
        <f>'PCR Cycle 4'!K6+'PCR Cycle 3'!K6</f>
        <v>-2293714.3299999991</v>
      </c>
      <c r="D24" s="274">
        <f>'TDR Cycle 4'!K6+'TDR Cycle 3'!K6</f>
        <v>69083.408089999692</v>
      </c>
      <c r="E24" s="274">
        <f>+'EOR Cycle 3'!J6</f>
        <v>136696.11368000004</v>
      </c>
      <c r="F24" s="274">
        <f>+'OAR Cycle 3'!I6+'OAR Cycle 4'!I6</f>
        <v>-2244.9900000000002</v>
      </c>
      <c r="G24" s="119"/>
      <c r="O24" s="337">
        <v>0</v>
      </c>
      <c r="P24" s="337">
        <v>0</v>
      </c>
      <c r="Q24" s="337">
        <v>0</v>
      </c>
      <c r="R24" s="218"/>
      <c r="S24" s="337">
        <v>0</v>
      </c>
      <c r="T24" s="337">
        <v>0</v>
      </c>
      <c r="U24" s="337">
        <v>0</v>
      </c>
      <c r="V24" s="337">
        <v>0</v>
      </c>
      <c r="W24" s="254"/>
      <c r="X24" s="325">
        <f>ROUND('PCR Cycle 3'!K6/'Tariff Tables'!G6,5)-0.00002</f>
        <v>2.0000000000000001E-4</v>
      </c>
      <c r="Y24" s="275">
        <f>ROUND('TDR Cycle 3'!K6/'Tariff Tables'!G6,5)</f>
        <v>1E-4</v>
      </c>
      <c r="Z24" s="275">
        <f>ROUND(+'EOR Cycle 3'!J6/'Tariff Tables'!G6,5)</f>
        <v>1.1E-4</v>
      </c>
      <c r="AA24" s="275">
        <f>ROUND(('OAR Cycle 3'!I6-'OAR Cycle 3'!G6)/'Tariff Tables'!G6,5)</f>
        <v>0</v>
      </c>
      <c r="AC24" s="275">
        <f>ROUND('PCR Cycle 4'!K6/'Tariff Tables'!$G6,5)</f>
        <v>-2.0600000000000002E-3</v>
      </c>
      <c r="AD24" s="325">
        <f>ROUND('TDR Cycle 4'!K6/'Tariff Tables'!$G6,5)+0.00001</f>
        <v>-4.0000000000000003E-5</v>
      </c>
      <c r="AE24" s="275"/>
      <c r="AF24" s="275">
        <f>ROUND(('OAR Cycle 4'!I6-'OAR Cycle 4'!G6)/'Tariff Tables'!G6,5)</f>
        <v>0</v>
      </c>
    </row>
    <row r="25" spans="2:33" s="45" customFormat="1" ht="15.75" thickBot="1">
      <c r="B25" s="88" t="s">
        <v>93</v>
      </c>
      <c r="C25" s="274">
        <f>'PCR Cycle 4'!K7+'PCR Cycle 3'!K7</f>
        <v>451135.99999999977</v>
      </c>
      <c r="D25" s="274">
        <f>'TDR Cycle 4'!K7+'TDR Cycle 3'!K7</f>
        <v>4576.3104200000816</v>
      </c>
      <c r="E25" s="274">
        <f>+'EOR Cycle 3'!J7</f>
        <v>147850.48290000015</v>
      </c>
      <c r="F25" s="274">
        <f>+'OAR Cycle 3'!I7+'OAR Cycle 4'!I7</f>
        <v>-1836.9799999999996</v>
      </c>
      <c r="G25" s="119"/>
      <c r="O25" s="337">
        <v>0</v>
      </c>
      <c r="P25" s="337">
        <v>0</v>
      </c>
      <c r="Q25" s="337">
        <v>0</v>
      </c>
      <c r="R25" s="218"/>
      <c r="S25" s="337">
        <v>0</v>
      </c>
      <c r="T25" s="337">
        <v>0</v>
      </c>
      <c r="U25" s="337">
        <v>0</v>
      </c>
      <c r="V25" s="337">
        <v>0</v>
      </c>
      <c r="W25" s="254"/>
      <c r="X25" s="275">
        <f>ROUND('PCR Cycle 3'!K7/'Tariff Tables'!G7,5)</f>
        <v>-4.0000000000000003E-5</v>
      </c>
      <c r="Y25" s="275">
        <f>ROUND('TDR Cycle 3'!K7/'Tariff Tables'!G7,5)</f>
        <v>2.0000000000000002E-5</v>
      </c>
      <c r="Z25" s="275">
        <f>ROUND(+'EOR Cycle 3'!J7/'Tariff Tables'!G7,5)</f>
        <v>6.9999999999999994E-5</v>
      </c>
      <c r="AA25" s="275">
        <f>ROUND(('OAR Cycle 3'!I7-'OAR Cycle 3'!G7)/'Tariff Tables'!G7,5)</f>
        <v>0</v>
      </c>
      <c r="AC25" s="275">
        <f>ROUND('PCR Cycle 4'!K7/'Tariff Tables'!$G7,5)</f>
        <v>2.7E-4</v>
      </c>
      <c r="AD25" s="275">
        <f>ROUND('TDR Cycle 4'!K7/'Tariff Tables'!$G7,5)</f>
        <v>-2.0000000000000002E-5</v>
      </c>
      <c r="AE25" s="275"/>
      <c r="AF25" s="275">
        <f>ROUND(('OAR Cycle 4'!I7-'OAR Cycle 4'!G7)/'Tariff Tables'!G7,5)</f>
        <v>0</v>
      </c>
    </row>
    <row r="26" spans="2:33" s="45" customFormat="1" ht="15.75" thickBot="1">
      <c r="B26" s="88" t="s">
        <v>94</v>
      </c>
      <c r="C26" s="274">
        <f>'PCR Cycle 4'!K8+'PCR Cycle 3'!K8</f>
        <v>202417.65216020335</v>
      </c>
      <c r="D26" s="274">
        <f>'TDR Cycle 4'!K8+'TDR Cycle 3'!K8</f>
        <v>5753.9892100000161</v>
      </c>
      <c r="E26" s="274">
        <f>+'EOR Cycle 3'!J8</f>
        <v>49583.045890000016</v>
      </c>
      <c r="F26" s="274">
        <f>+'OAR Cycle 3'!I8+'OAR Cycle 4'!I8</f>
        <v>-1166.0000000000002</v>
      </c>
      <c r="G26" s="119"/>
      <c r="H26" s="119"/>
      <c r="O26" s="337">
        <v>0</v>
      </c>
      <c r="P26" s="337">
        <v>0</v>
      </c>
      <c r="Q26" s="337">
        <v>0</v>
      </c>
      <c r="R26" s="218"/>
      <c r="S26" s="337">
        <v>0</v>
      </c>
      <c r="T26" s="337">
        <v>0</v>
      </c>
      <c r="U26" s="337">
        <v>0</v>
      </c>
      <c r="V26" s="337">
        <v>0</v>
      </c>
      <c r="W26" s="254"/>
      <c r="X26" s="275">
        <f>ROUND('PCR Cycle 3'!K8/'Tariff Tables'!G8,5)</f>
        <v>-1.6000000000000001E-4</v>
      </c>
      <c r="Y26" s="275">
        <f>ROUND('TDR Cycle 3'!K8/'Tariff Tables'!G8,5)</f>
        <v>2.0000000000000002E-5</v>
      </c>
      <c r="Z26" s="275">
        <f>ROUND(+'EOR Cycle 3'!J8/'Tariff Tables'!G8,5)</f>
        <v>8.0000000000000007E-5</v>
      </c>
      <c r="AA26" s="275">
        <f>ROUND(('OAR Cycle 3'!I8-'OAR Cycle 3'!G8)/'Tariff Tables'!G8,5)</f>
        <v>0</v>
      </c>
      <c r="AC26" s="275">
        <f>ROUND('PCR Cycle 4'!K8/'Tariff Tables'!$G8,5)</f>
        <v>4.6999999999999999E-4</v>
      </c>
      <c r="AD26" s="275">
        <f>ROUND('TDR Cycle 4'!K8/'Tariff Tables'!$G8,5)</f>
        <v>-1.0000000000000001E-5</v>
      </c>
      <c r="AE26" s="275"/>
      <c r="AF26" s="275">
        <f>ROUND(('OAR Cycle 4'!I8-'OAR Cycle 4'!G8)/'Tariff Tables'!G8,5)</f>
        <v>0</v>
      </c>
    </row>
    <row r="27" spans="2:33">
      <c r="C27" s="120"/>
      <c r="D27" s="120"/>
      <c r="E27" s="120"/>
      <c r="F27" s="120"/>
      <c r="O27" s="45"/>
      <c r="P27" s="45"/>
      <c r="R27" s="45"/>
      <c r="S27" s="45"/>
      <c r="T27" s="45"/>
      <c r="X27" s="218"/>
      <c r="Y27" s="218"/>
      <c r="Z27" s="218"/>
      <c r="AA27" s="218"/>
      <c r="AC27" s="218"/>
      <c r="AD27" s="218"/>
      <c r="AE27" s="218"/>
      <c r="AF27" s="218"/>
    </row>
    <row r="28" spans="2:33">
      <c r="B28" s="91" t="s">
        <v>33</v>
      </c>
      <c r="W28" t="s">
        <v>129</v>
      </c>
      <c r="X28" s="342">
        <f>+J4-O13-O22-S13-S22-X13-X22-AC13-AC22</f>
        <v>0</v>
      </c>
      <c r="Y28" s="342">
        <f ca="1">+K4-P13-P22-T13-T22-Y13-Y22-AD13-AD22</f>
        <v>6.0986372202309624E-20</v>
      </c>
      <c r="Z28" s="342">
        <f>+L4-Q13-Q22-U13-U22-Z13-Z22-AE13-AE22</f>
        <v>-3.3881317890172014E-21</v>
      </c>
      <c r="AA28" s="342">
        <f>+M4-R13-R22-V13-V22-AA13-AA22-AF13-AF22</f>
        <v>0</v>
      </c>
    </row>
    <row r="29" spans="2:33">
      <c r="B29" s="92" t="s">
        <v>34</v>
      </c>
      <c r="W29" t="s">
        <v>130</v>
      </c>
      <c r="X29" s="342">
        <f>+J5-O14-O23-S14-S23-X14-X23-AC14-AC23</f>
        <v>0</v>
      </c>
      <c r="Y29" s="342">
        <f ca="1">+K5-P14-P23-T14-T23-Y14-Y23-AD14-AD23</f>
        <v>0</v>
      </c>
      <c r="Z29" s="342">
        <f>+L5-Q14-Q23-U14-U23-Z14-Z23-AE14-AE23</f>
        <v>2.7105054312137611E-20</v>
      </c>
      <c r="AA29" s="342">
        <f>+M5-R14-R23-V14-V23-AA14-AA23-AF14-AF23</f>
        <v>0</v>
      </c>
    </row>
    <row r="30" spans="2:33">
      <c r="B30" s="92" t="s">
        <v>37</v>
      </c>
      <c r="W30" t="s">
        <v>131</v>
      </c>
      <c r="X30" s="342">
        <f>+J6-O15-O24-S15-S24-X15-X24-AC15-AC24</f>
        <v>0</v>
      </c>
      <c r="Y30" s="342">
        <f ca="1">+K6-P15-P24-T15-T24-Y15-Y24-AD15-AD24</f>
        <v>0</v>
      </c>
      <c r="Z30" s="342">
        <f>+L6-Q15-Q24-U15-U24-Z15-Z24-AE15-AE24</f>
        <v>6.7762635780344027E-21</v>
      </c>
      <c r="AA30" s="342">
        <f>+M6-R15-R24-V15-V24-AA15-AA24-AF15-AF24</f>
        <v>0</v>
      </c>
    </row>
    <row r="31" spans="2:33">
      <c r="B31" s="92" t="s">
        <v>122</v>
      </c>
      <c r="W31" t="s">
        <v>132</v>
      </c>
      <c r="X31" s="342">
        <f>+J7-O16-O25-S16-S25-X16-X25-AC16-AC25</f>
        <v>0</v>
      </c>
      <c r="Y31" s="342">
        <f ca="1">+K7-P16-P25-T16-T25-Y16-Y25-AD16-AD25</f>
        <v>-3.0493186101154812E-20</v>
      </c>
      <c r="Z31" s="342">
        <f>+L7-Q16-Q25-U16-U25-Z16-Z25-AE16-AE25</f>
        <v>1.0164395367051604E-20</v>
      </c>
      <c r="AA31" s="342">
        <f>+M7-R16-R25-V16-V25-AA16-AA25-AF16-AF25</f>
        <v>0</v>
      </c>
    </row>
    <row r="32" spans="2:33">
      <c r="B32" s="92" t="s">
        <v>35</v>
      </c>
      <c r="W32" t="s">
        <v>133</v>
      </c>
      <c r="X32" s="342">
        <f>+J8-O17-O26-S17-S26-X17-X26-AC17-AC26</f>
        <v>0</v>
      </c>
      <c r="Y32" s="342">
        <f ca="1">+K8-P17-P26-T17-T26-Y17-Y26-AD17-AD26</f>
        <v>0</v>
      </c>
      <c r="Z32" s="342">
        <f>+L8-Q17-Q26-U17-U26-Z17-Z26-AE17-AE26</f>
        <v>-1.6940658945086007E-21</v>
      </c>
      <c r="AA32" s="342">
        <f>+M8-R17-R26-V17-V26-AA17-AA26-AF17-AF26</f>
        <v>0</v>
      </c>
    </row>
    <row r="33" spans="2:20">
      <c r="B33" s="92" t="s">
        <v>127</v>
      </c>
      <c r="O33" s="225"/>
      <c r="P33" s="225"/>
      <c r="Q33" s="225"/>
      <c r="R33" s="142"/>
      <c r="S33" s="45"/>
      <c r="T33" s="45"/>
    </row>
    <row r="34" spans="2:20">
      <c r="B34" s="92" t="s">
        <v>121</v>
      </c>
      <c r="O34" s="142"/>
      <c r="P34" s="142"/>
      <c r="Q34" s="226"/>
      <c r="R34" s="142"/>
      <c r="S34" s="45"/>
      <c r="T34" s="45"/>
    </row>
    <row r="35" spans="2:20">
      <c r="B35" s="92" t="s">
        <v>42</v>
      </c>
      <c r="O35" s="227"/>
      <c r="P35" s="142"/>
      <c r="Q35" s="226"/>
      <c r="R35" s="142"/>
      <c r="S35" s="45"/>
      <c r="T35" s="45"/>
    </row>
    <row r="36" spans="2:20">
      <c r="B36" s="92" t="s">
        <v>126</v>
      </c>
      <c r="O36" s="228"/>
      <c r="P36" s="229"/>
      <c r="Q36" s="226"/>
      <c r="R36" s="226"/>
      <c r="S36" s="45"/>
      <c r="T36" s="45"/>
    </row>
    <row r="37" spans="2:20">
      <c r="B37" s="92" t="s">
        <v>123</v>
      </c>
      <c r="O37" s="228"/>
      <c r="P37" s="229"/>
      <c r="Q37" s="226"/>
      <c r="R37" s="226"/>
      <c r="S37" s="45"/>
      <c r="T37" s="45"/>
    </row>
    <row r="38" spans="2:20">
      <c r="B38" s="92" t="s">
        <v>124</v>
      </c>
      <c r="O38" s="228"/>
      <c r="P38" s="229"/>
      <c r="Q38" s="226"/>
      <c r="R38" s="226"/>
      <c r="S38" s="45"/>
      <c r="T38" s="45"/>
    </row>
    <row r="39" spans="2:20">
      <c r="B39" s="92" t="s">
        <v>128</v>
      </c>
      <c r="O39" s="228"/>
      <c r="P39" s="229"/>
      <c r="Q39" s="226"/>
      <c r="R39" s="226"/>
      <c r="S39" s="45"/>
      <c r="T39" s="45"/>
    </row>
    <row r="40" spans="2:20">
      <c r="B40" s="92" t="s">
        <v>36</v>
      </c>
      <c r="O40" s="228"/>
      <c r="P40" s="229"/>
      <c r="Q40" s="226"/>
      <c r="R40" s="226"/>
      <c r="S40" s="45"/>
      <c r="T40" s="45"/>
    </row>
    <row r="41" spans="2:20">
      <c r="B41" s="92" t="s">
        <v>125</v>
      </c>
      <c r="O41" s="228"/>
      <c r="P41" s="229"/>
      <c r="Q41" s="226"/>
      <c r="R41" s="226"/>
      <c r="S41" s="45"/>
      <c r="T41" s="45"/>
    </row>
    <row r="42" spans="2:20">
      <c r="B42" s="92" t="s">
        <v>152</v>
      </c>
      <c r="O42" s="230"/>
      <c r="P42" s="229"/>
      <c r="Q42" s="226"/>
      <c r="R42" s="226"/>
      <c r="S42" s="45"/>
      <c r="T42" s="45"/>
    </row>
    <row r="43" spans="2:20">
      <c r="B43" s="92" t="s">
        <v>153</v>
      </c>
      <c r="O43" s="142"/>
      <c r="P43" s="231"/>
      <c r="Q43" s="226"/>
      <c r="R43" s="226"/>
      <c r="S43" s="45"/>
      <c r="T43" s="45"/>
    </row>
    <row r="44" spans="2:20">
      <c r="O44" s="227"/>
      <c r="P44" s="142"/>
      <c r="Q44" s="226"/>
      <c r="R44" s="226"/>
      <c r="S44" s="45"/>
      <c r="T44" s="45"/>
    </row>
    <row r="45" spans="2:20">
      <c r="O45" s="228"/>
      <c r="P45" s="229"/>
      <c r="Q45" s="226"/>
      <c r="R45" s="226"/>
      <c r="S45" s="45"/>
      <c r="T45" s="45"/>
    </row>
    <row r="46" spans="2:20">
      <c r="B46" s="52" t="s">
        <v>9</v>
      </c>
      <c r="C46" s="45"/>
      <c r="D46" s="45"/>
      <c r="E46" s="45"/>
      <c r="F46" s="45"/>
      <c r="G46" s="45"/>
      <c r="O46" s="228"/>
      <c r="P46" s="229"/>
      <c r="Q46" s="226"/>
      <c r="R46" s="226"/>
      <c r="S46" s="45"/>
      <c r="T46" s="45"/>
    </row>
    <row r="47" spans="2:20" ht="30" customHeight="1">
      <c r="B47" s="353" t="s">
        <v>278</v>
      </c>
      <c r="C47" s="353"/>
      <c r="D47" s="353"/>
      <c r="E47" s="353"/>
      <c r="F47" s="353"/>
      <c r="G47" s="353"/>
      <c r="O47" s="228"/>
      <c r="P47" s="229"/>
      <c r="Q47" s="226"/>
      <c r="R47" s="226"/>
      <c r="S47" s="45"/>
      <c r="T47" s="45"/>
    </row>
    <row r="48" spans="2:20">
      <c r="O48" s="228"/>
      <c r="P48" s="229"/>
      <c r="Q48" s="226"/>
      <c r="R48" s="226"/>
      <c r="S48" s="45"/>
      <c r="T48" s="45"/>
    </row>
    <row r="49" spans="15:20">
      <c r="O49" s="228"/>
      <c r="P49" s="229"/>
      <c r="Q49" s="226"/>
      <c r="R49" s="226"/>
      <c r="S49" s="45"/>
      <c r="T49" s="45"/>
    </row>
    <row r="50" spans="15:20">
      <c r="O50" s="228"/>
      <c r="P50" s="229"/>
      <c r="Q50" s="226"/>
      <c r="R50" s="226"/>
      <c r="S50" s="45"/>
      <c r="T50" s="45"/>
    </row>
    <row r="51" spans="15:20">
      <c r="O51" s="230"/>
      <c r="P51" s="229"/>
      <c r="Q51" s="226"/>
      <c r="R51" s="226"/>
    </row>
    <row r="52" spans="15:20">
      <c r="O52" s="142"/>
      <c r="P52" s="231"/>
      <c r="Q52" s="226"/>
      <c r="R52" s="226"/>
    </row>
    <row r="53" spans="15:20">
      <c r="O53" s="142"/>
      <c r="P53" s="142"/>
      <c r="Q53" s="226"/>
      <c r="R53" s="226"/>
    </row>
    <row r="54" spans="15:20">
      <c r="O54" s="142"/>
      <c r="P54" s="142"/>
      <c r="Q54" s="142"/>
      <c r="R54" s="142"/>
    </row>
    <row r="55" spans="15:20">
      <c r="O55" s="142"/>
      <c r="P55" s="142"/>
      <c r="Q55" s="142"/>
      <c r="R55" s="142"/>
    </row>
    <row r="56" spans="15:20">
      <c r="O56" s="142"/>
      <c r="P56" s="142"/>
      <c r="Q56" s="142"/>
      <c r="R56" s="142"/>
    </row>
    <row r="57" spans="15:20">
      <c r="O57" s="142"/>
      <c r="P57" s="142"/>
      <c r="Q57" s="142"/>
      <c r="R57" s="142"/>
    </row>
  </sheetData>
  <mergeCells count="1">
    <mergeCell ref="B47:G47"/>
  </mergeCells>
  <pageMargins left="0.2" right="0.2" top="0.75" bottom="0.25" header="0.3" footer="0.3"/>
  <pageSetup scale="33" orientation="landscape" r:id="rId1"/>
  <headerFooter>
    <oddHeader>&amp;C&amp;F &amp;A&amp;R&amp;"Arial"&amp;10&amp;K000000CONFIDENTIAL</oddHeader>
    <oddFooter>&amp;R&amp;1#&amp;"Calibri"&amp;10&amp;KA80000Internal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EC481-2195-45D8-994C-377275A1914C}">
  <sheetPr codeName="Sheet6">
    <tabColor rgb="FF00B050"/>
  </sheetPr>
  <dimension ref="A2:I33"/>
  <sheetViews>
    <sheetView workbookViewId="0"/>
  </sheetViews>
  <sheetFormatPr defaultRowHeight="15"/>
  <cols>
    <col min="1" max="1" width="23.140625" bestFit="1" customWidth="1"/>
    <col min="2" max="4" width="11.28515625" bestFit="1" customWidth="1"/>
    <col min="5" max="5" width="11" customWidth="1"/>
    <col min="6" max="6" width="11.28515625" bestFit="1" customWidth="1"/>
    <col min="7" max="7" width="9" bestFit="1" customWidth="1"/>
  </cols>
  <sheetData>
    <row r="2" spans="1:8">
      <c r="A2" s="3" t="str">
        <f>+'Tariff Tables'!A1</f>
        <v>Evergy Metro, Inc. - DSIM Rider Update Filed 06/01/2026</v>
      </c>
    </row>
    <row r="3" spans="1:8" ht="15.75" thickBot="1">
      <c r="A3" s="3" t="s">
        <v>107</v>
      </c>
      <c r="B3" s="45"/>
      <c r="C3" s="45"/>
      <c r="D3" s="45"/>
      <c r="E3" s="45"/>
      <c r="F3" s="45"/>
    </row>
    <row r="4" spans="1:8" ht="27.75" thickBot="1">
      <c r="A4" s="85" t="s">
        <v>113</v>
      </c>
      <c r="B4" s="123" t="s">
        <v>112</v>
      </c>
      <c r="C4" s="123" t="s">
        <v>111</v>
      </c>
      <c r="D4" s="123" t="s">
        <v>110</v>
      </c>
      <c r="E4" s="123" t="s">
        <v>109</v>
      </c>
      <c r="F4" s="87" t="s">
        <v>134</v>
      </c>
    </row>
    <row r="5" spans="1:8" ht="15.75" thickBot="1">
      <c r="A5" s="88" t="s">
        <v>22</v>
      </c>
      <c r="B5" s="276">
        <f>+'Tariff Tables'!X13+'Tariff Tables'!X22</f>
        <v>1.1E-4</v>
      </c>
      <c r="C5" s="276">
        <f ca="1">+'Tariff Tables'!Y13+'Tariff Tables'!Y22</f>
        <v>5.2999999999999998E-4</v>
      </c>
      <c r="D5" s="276">
        <f>+'Tariff Tables'!Z13+'Tariff Tables'!Z22</f>
        <v>1.1999999999999999E-4</v>
      </c>
      <c r="E5" s="276">
        <f>+'Tariff Tables'!AA13+'Tariff Tables'!AA22</f>
        <v>-1.0000000000000001E-5</v>
      </c>
      <c r="F5" s="214">
        <f ca="1">SUM(B5:E5)</f>
        <v>7.4999999999999991E-4</v>
      </c>
    </row>
    <row r="6" spans="1:8" ht="15.75" thickBot="1">
      <c r="A6" s="88" t="s">
        <v>91</v>
      </c>
      <c r="B6" s="276">
        <f>+'Tariff Tables'!X14+'Tariff Tables'!X23</f>
        <v>1E-4</v>
      </c>
      <c r="C6" s="276">
        <f ca="1">+'Tariff Tables'!Y14+'Tariff Tables'!Y23</f>
        <v>5.8999999999999992E-4</v>
      </c>
      <c r="D6" s="276">
        <f>+'Tariff Tables'!Z14+'Tariff Tables'!Z23</f>
        <v>1E-4</v>
      </c>
      <c r="E6" s="276">
        <f>+'Tariff Tables'!AA14+'Tariff Tables'!AA23</f>
        <v>0</v>
      </c>
      <c r="F6" s="214">
        <f t="shared" ref="F6:F9" ca="1" si="0">SUM(B6:E6)</f>
        <v>7.9000000000000001E-4</v>
      </c>
      <c r="H6" s="45"/>
    </row>
    <row r="7" spans="1:8" ht="15.75" thickBot="1">
      <c r="A7" s="88" t="s">
        <v>92</v>
      </c>
      <c r="B7" s="276">
        <f>+'Tariff Tables'!X15+'Tariff Tables'!X24</f>
        <v>2.0000000000000001E-4</v>
      </c>
      <c r="C7" s="276">
        <f ca="1">+'Tariff Tables'!Y15+'Tariff Tables'!Y24</f>
        <v>7.2000000000000005E-4</v>
      </c>
      <c r="D7" s="276">
        <f>+'Tariff Tables'!Z15+'Tariff Tables'!Z24</f>
        <v>1.2E-4</v>
      </c>
      <c r="E7" s="276">
        <f>+'Tariff Tables'!AA15+'Tariff Tables'!AA24</f>
        <v>0</v>
      </c>
      <c r="F7" s="214">
        <f t="shared" ca="1" si="0"/>
        <v>1.0400000000000001E-3</v>
      </c>
      <c r="H7" s="45"/>
    </row>
    <row r="8" spans="1:8" ht="15.75" thickBot="1">
      <c r="A8" s="88" t="s">
        <v>93</v>
      </c>
      <c r="B8" s="276">
        <f>+'Tariff Tables'!X16+'Tariff Tables'!X25</f>
        <v>-4.0000000000000003E-5</v>
      </c>
      <c r="C8" s="276">
        <f ca="1">+'Tariff Tables'!Y16+'Tariff Tables'!Y25</f>
        <v>2.7E-4</v>
      </c>
      <c r="D8" s="276">
        <f>+'Tariff Tables'!Z16+'Tariff Tables'!Z25</f>
        <v>7.9999999999999993E-5</v>
      </c>
      <c r="E8" s="276">
        <f>+'Tariff Tables'!AA16+'Tariff Tables'!AA25</f>
        <v>0</v>
      </c>
      <c r="F8" s="214">
        <f t="shared" ca="1" si="0"/>
        <v>3.1E-4</v>
      </c>
      <c r="H8" s="45"/>
    </row>
    <row r="9" spans="1:8" ht="15.75" thickBot="1">
      <c r="A9" s="88" t="s">
        <v>94</v>
      </c>
      <c r="B9" s="276">
        <f>+'Tariff Tables'!X17+'Tariff Tables'!X26</f>
        <v>-1.6000000000000001E-4</v>
      </c>
      <c r="C9" s="276">
        <f ca="1">+'Tariff Tables'!Y17+'Tariff Tables'!Y26</f>
        <v>7.0000000000000007E-5</v>
      </c>
      <c r="D9" s="276">
        <f>+'Tariff Tables'!Z17+'Tariff Tables'!Z26</f>
        <v>8.0000000000000007E-5</v>
      </c>
      <c r="E9" s="276">
        <f>+'Tariff Tables'!AA17+'Tariff Tables'!AA26</f>
        <v>0</v>
      </c>
      <c r="F9" s="214">
        <f t="shared" ca="1" si="0"/>
        <v>-9.9999999999999991E-6</v>
      </c>
      <c r="H9" s="45"/>
    </row>
    <row r="10" spans="1:8">
      <c r="H10" s="45"/>
    </row>
    <row r="11" spans="1:8">
      <c r="H11" s="45"/>
    </row>
    <row r="12" spans="1:8" ht="15.75" thickBot="1">
      <c r="A12" s="3" t="s">
        <v>182</v>
      </c>
      <c r="B12" s="45"/>
      <c r="C12" s="45"/>
      <c r="D12" s="45"/>
      <c r="E12" s="45"/>
      <c r="F12" s="45"/>
      <c r="G12" s="45"/>
      <c r="H12" s="45"/>
    </row>
    <row r="13" spans="1:8" ht="27.75" thickBot="1">
      <c r="A13" s="85" t="s">
        <v>113</v>
      </c>
      <c r="B13" s="123" t="s">
        <v>112</v>
      </c>
      <c r="C13" s="123" t="s">
        <v>111</v>
      </c>
      <c r="D13" s="123" t="s">
        <v>110</v>
      </c>
      <c r="E13" s="123" t="s">
        <v>109</v>
      </c>
      <c r="F13" s="87" t="s">
        <v>134</v>
      </c>
      <c r="G13" s="45"/>
      <c r="H13" s="45"/>
    </row>
    <row r="14" spans="1:8" ht="15.75" thickBot="1">
      <c r="A14" s="88" t="s">
        <v>22</v>
      </c>
      <c r="B14" s="276">
        <f>+'Tariff Tables'!AC22+'Tariff Tables'!AC13</f>
        <v>7.000000000000001E-4</v>
      </c>
      <c r="C14" s="276">
        <f ca="1">+'Tariff Tables'!AD22+'Tariff Tables'!AD13</f>
        <v>-5.0000000000000002E-5</v>
      </c>
      <c r="D14" s="276">
        <f>+'Tariff Tables'!AE22+'Tariff Tables'!AE13</f>
        <v>3.0000000000000001E-5</v>
      </c>
      <c r="E14" s="276">
        <f>+'Tariff Tables'!AF22+'Tariff Tables'!AF13</f>
        <v>0</v>
      </c>
      <c r="F14" s="214">
        <f ca="1">SUM(B14:E14)</f>
        <v>6.8000000000000005E-4</v>
      </c>
      <c r="G14" s="45"/>
      <c r="H14" s="45"/>
    </row>
    <row r="15" spans="1:8" ht="15.75" thickBot="1">
      <c r="A15" s="88" t="s">
        <v>91</v>
      </c>
      <c r="B15" s="276">
        <f>+'Tariff Tables'!AC23+'Tariff Tables'!AC14</f>
        <v>4.4999999999999999E-4</v>
      </c>
      <c r="C15" s="276">
        <f ca="1">+'Tariff Tables'!AD23+'Tariff Tables'!AD14</f>
        <v>5.0000000000000009E-5</v>
      </c>
      <c r="D15" s="276">
        <f>+'Tariff Tables'!AE23+'Tariff Tables'!AE14</f>
        <v>1.2999999999999999E-4</v>
      </c>
      <c r="E15" s="276">
        <f>+'Tariff Tables'!AF23+'Tariff Tables'!AF14</f>
        <v>0</v>
      </c>
      <c r="F15" s="214">
        <f t="shared" ref="F15:F18" ca="1" si="1">SUM(B15:E15)</f>
        <v>6.3000000000000003E-4</v>
      </c>
      <c r="G15" s="45"/>
      <c r="H15" s="45"/>
    </row>
    <row r="16" spans="1:8" ht="15.75" thickBot="1">
      <c r="A16" s="88" t="s">
        <v>92</v>
      </c>
      <c r="B16" s="276">
        <f>+'Tariff Tables'!AC24+'Tariff Tables'!AC15</f>
        <v>-5.6000000000000017E-4</v>
      </c>
      <c r="C16" s="276">
        <f ca="1">+'Tariff Tables'!AD24+'Tariff Tables'!AD15</f>
        <v>0</v>
      </c>
      <c r="D16" s="276">
        <f>+'Tariff Tables'!AE24+'Tariff Tables'!AE15</f>
        <v>6.0000000000000002E-5</v>
      </c>
      <c r="E16" s="276">
        <f>+'Tariff Tables'!AF24+'Tariff Tables'!AF15</f>
        <v>0</v>
      </c>
      <c r="F16" s="214">
        <f t="shared" ca="1" si="1"/>
        <v>-5.0000000000000012E-4</v>
      </c>
      <c r="G16" s="45"/>
      <c r="H16" s="45"/>
    </row>
    <row r="17" spans="1:9" ht="15.75" thickBot="1">
      <c r="A17" s="88" t="s">
        <v>93</v>
      </c>
      <c r="B17" s="276">
        <f>+'Tariff Tables'!AC25+'Tariff Tables'!AC16</f>
        <v>2.0599999999999998E-3</v>
      </c>
      <c r="C17" s="276">
        <f ca="1">+'Tariff Tables'!AD25+'Tariff Tables'!AD16</f>
        <v>-1.0000000000000001E-5</v>
      </c>
      <c r="D17" s="276">
        <f>+'Tariff Tables'!AE25+'Tariff Tables'!AE16</f>
        <v>2.0000000000000002E-5</v>
      </c>
      <c r="E17" s="276">
        <f>+'Tariff Tables'!AF25+'Tariff Tables'!AF16</f>
        <v>0</v>
      </c>
      <c r="F17" s="214">
        <f t="shared" ca="1" si="1"/>
        <v>2.0699999999999998E-3</v>
      </c>
      <c r="G17" s="45"/>
      <c r="H17" s="45"/>
      <c r="I17" s="45"/>
    </row>
    <row r="18" spans="1:9" ht="27.75" customHeight="1" thickBot="1">
      <c r="A18" s="88" t="s">
        <v>94</v>
      </c>
      <c r="B18" s="276">
        <f>+'Tariff Tables'!AC26+'Tariff Tables'!AC17</f>
        <v>2.4599999999999999E-3</v>
      </c>
      <c r="C18" s="276">
        <f ca="1">+'Tariff Tables'!AD26+'Tariff Tables'!AD17</f>
        <v>-1.0000000000000001E-5</v>
      </c>
      <c r="D18" s="276">
        <f>+'Tariff Tables'!AE26+'Tariff Tables'!AE17</f>
        <v>1.0000000000000001E-5</v>
      </c>
      <c r="E18" s="276">
        <f>+'Tariff Tables'!AF26+'Tariff Tables'!AF17</f>
        <v>0</v>
      </c>
      <c r="F18" s="214">
        <f t="shared" ca="1" si="1"/>
        <v>2.4599999999999999E-3</v>
      </c>
      <c r="G18" s="45"/>
      <c r="H18" s="45"/>
      <c r="I18" s="45"/>
    </row>
    <row r="19" spans="1:9">
      <c r="A19" s="45"/>
      <c r="B19" s="45"/>
      <c r="C19" s="45"/>
      <c r="D19" s="45"/>
      <c r="E19" s="45"/>
      <c r="F19" s="45"/>
      <c r="G19" s="45"/>
      <c r="H19" s="45"/>
      <c r="I19" s="45"/>
    </row>
    <row r="20" spans="1:9">
      <c r="A20" s="45"/>
      <c r="B20" s="45"/>
      <c r="C20" s="45"/>
      <c r="D20" s="45"/>
      <c r="E20" s="45"/>
      <c r="F20" s="45"/>
      <c r="G20" s="45"/>
      <c r="H20" s="45"/>
      <c r="I20" s="45"/>
    </row>
    <row r="21" spans="1:9" s="45" customFormat="1" ht="15.75" thickBot="1">
      <c r="A21" s="3" t="s">
        <v>108</v>
      </c>
      <c r="G21"/>
    </row>
    <row r="22" spans="1:9" s="45" customFormat="1" ht="27.75" thickBot="1">
      <c r="A22" s="85" t="s">
        <v>113</v>
      </c>
      <c r="B22" s="123" t="s">
        <v>112</v>
      </c>
      <c r="C22" s="123" t="s">
        <v>111</v>
      </c>
      <c r="D22" s="123" t="s">
        <v>110</v>
      </c>
      <c r="E22" s="123" t="s">
        <v>109</v>
      </c>
      <c r="F22" s="87" t="s">
        <v>134</v>
      </c>
      <c r="G22" s="38"/>
    </row>
    <row r="23" spans="1:9" s="45" customFormat="1" ht="15.75" thickBot="1">
      <c r="A23" s="88" t="s">
        <v>22</v>
      </c>
      <c r="B23" s="277">
        <f t="shared" ref="B23:E27" si="2">SUMIFS(B$3:B$20,$A$3:$A$20,$A23)</f>
        <v>8.1000000000000006E-4</v>
      </c>
      <c r="C23" s="216">
        <f t="shared" ca="1" si="2"/>
        <v>4.7999999999999996E-4</v>
      </c>
      <c r="D23" s="216">
        <f t="shared" si="2"/>
        <v>1.4999999999999999E-4</v>
      </c>
      <c r="E23" s="216">
        <f t="shared" si="2"/>
        <v>-1.0000000000000001E-5</v>
      </c>
      <c r="F23" s="214">
        <f ca="1">SUM(B23:E23)</f>
        <v>1.4299999999999998E-3</v>
      </c>
      <c r="G23" s="343">
        <f ca="1">+F23-'Tariff Tables'!H4</f>
        <v>0</v>
      </c>
    </row>
    <row r="24" spans="1:9" s="45" customFormat="1" ht="15.75" customHeight="1" thickBot="1">
      <c r="A24" s="88" t="s">
        <v>91</v>
      </c>
      <c r="B24" s="215">
        <f t="shared" si="2"/>
        <v>5.5000000000000003E-4</v>
      </c>
      <c r="C24" s="216">
        <f t="shared" ca="1" si="2"/>
        <v>6.3999999999999994E-4</v>
      </c>
      <c r="D24" s="216">
        <f t="shared" si="2"/>
        <v>2.3000000000000001E-4</v>
      </c>
      <c r="E24" s="216">
        <f t="shared" si="2"/>
        <v>0</v>
      </c>
      <c r="F24" s="214">
        <f t="shared" ref="F24:F27" ca="1" si="3">SUM(B24:E24)</f>
        <v>1.42E-3</v>
      </c>
      <c r="G24" s="343">
        <f ca="1">+F24-'Tariff Tables'!H5</f>
        <v>0</v>
      </c>
    </row>
    <row r="25" spans="1:9" s="45" customFormat="1" ht="15.75" customHeight="1" thickBot="1">
      <c r="A25" s="88" t="s">
        <v>92</v>
      </c>
      <c r="B25" s="215">
        <f t="shared" si="2"/>
        <v>-3.6000000000000019E-4</v>
      </c>
      <c r="C25" s="216">
        <f t="shared" ca="1" si="2"/>
        <v>7.2000000000000005E-4</v>
      </c>
      <c r="D25" s="216">
        <f t="shared" si="2"/>
        <v>1.8000000000000001E-4</v>
      </c>
      <c r="E25" s="216">
        <f t="shared" si="2"/>
        <v>0</v>
      </c>
      <c r="F25" s="214">
        <f t="shared" ca="1" si="3"/>
        <v>5.399999999999999E-4</v>
      </c>
      <c r="G25" s="343">
        <f ca="1">+F25-'Tariff Tables'!H6</f>
        <v>0</v>
      </c>
      <c r="I25"/>
    </row>
    <row r="26" spans="1:9" s="45" customFormat="1" ht="15.75" thickBot="1">
      <c r="A26" s="88" t="s">
        <v>93</v>
      </c>
      <c r="B26" s="215">
        <f t="shared" si="2"/>
        <v>2.0199999999999997E-3</v>
      </c>
      <c r="C26" s="216">
        <f t="shared" ca="1" si="2"/>
        <v>2.5999999999999998E-4</v>
      </c>
      <c r="D26" s="216">
        <f t="shared" si="2"/>
        <v>9.9999999999999991E-5</v>
      </c>
      <c r="E26" s="216">
        <f t="shared" si="2"/>
        <v>0</v>
      </c>
      <c r="F26" s="214">
        <f t="shared" ca="1" si="3"/>
        <v>2.3799999999999993E-3</v>
      </c>
      <c r="G26" s="343">
        <f ca="1">+F26-'Tariff Tables'!H7</f>
        <v>0</v>
      </c>
      <c r="I26"/>
    </row>
    <row r="27" spans="1:9" s="45" customFormat="1" ht="15.75" thickBot="1">
      <c r="A27" s="88" t="s">
        <v>94</v>
      </c>
      <c r="B27" s="215">
        <f t="shared" si="2"/>
        <v>2.3E-3</v>
      </c>
      <c r="C27" s="216">
        <f t="shared" ca="1" si="2"/>
        <v>6.0000000000000008E-5</v>
      </c>
      <c r="D27" s="216">
        <f t="shared" si="2"/>
        <v>9.0000000000000006E-5</v>
      </c>
      <c r="E27" s="216">
        <f t="shared" si="2"/>
        <v>0</v>
      </c>
      <c r="F27" s="214">
        <f t="shared" ca="1" si="3"/>
        <v>2.4499999999999999E-3</v>
      </c>
      <c r="G27" s="343">
        <f ca="1">+F27-'Tariff Tables'!H8</f>
        <v>0</v>
      </c>
      <c r="I27"/>
    </row>
    <row r="28" spans="1:9" s="45" customFormat="1">
      <c r="A28"/>
      <c r="B28"/>
      <c r="C28"/>
      <c r="D28"/>
      <c r="E28"/>
      <c r="F28"/>
      <c r="G28"/>
      <c r="I28"/>
    </row>
    <row r="29" spans="1:9" s="45" customFormat="1">
      <c r="A29"/>
      <c r="B29" s="306">
        <f>+B23-'Tariff Tables'!J4</f>
        <v>0</v>
      </c>
      <c r="C29" s="306">
        <f ca="1">+C23-'Tariff Tables'!K4</f>
        <v>0</v>
      </c>
      <c r="D29" s="306">
        <f>+D23-'Tariff Tables'!L4</f>
        <v>0</v>
      </c>
      <c r="E29" s="306">
        <f>+E23-'Tariff Tables'!M4</f>
        <v>0</v>
      </c>
      <c r="F29" s="217"/>
      <c r="G29"/>
      <c r="I29"/>
    </row>
    <row r="30" spans="1:9">
      <c r="B30" s="306">
        <f>+B24-'Tariff Tables'!J5</f>
        <v>0</v>
      </c>
      <c r="C30" s="306">
        <f ca="1">+C24-'Tariff Tables'!K5</f>
        <v>0</v>
      </c>
      <c r="D30" s="306">
        <f>+D24-'Tariff Tables'!L5</f>
        <v>0</v>
      </c>
      <c r="E30" s="306">
        <f>+E24-'Tariff Tables'!M5</f>
        <v>0</v>
      </c>
      <c r="F30" s="217"/>
    </row>
    <row r="31" spans="1:9">
      <c r="B31" s="306">
        <f>+B25-'Tariff Tables'!J6</f>
        <v>0</v>
      </c>
      <c r="C31" s="306">
        <f ca="1">+C25-'Tariff Tables'!K6</f>
        <v>0</v>
      </c>
      <c r="D31" s="306">
        <f>+D25-'Tariff Tables'!L6</f>
        <v>0</v>
      </c>
      <c r="E31" s="306">
        <f>+E25-'Tariff Tables'!M6</f>
        <v>0</v>
      </c>
      <c r="F31" s="217"/>
    </row>
    <row r="32" spans="1:9">
      <c r="B32" s="306">
        <f>+B26-'Tariff Tables'!J7</f>
        <v>0</v>
      </c>
      <c r="C32" s="306">
        <f ca="1">+C26-'Tariff Tables'!K7</f>
        <v>0</v>
      </c>
      <c r="D32" s="306">
        <f>+D26-'Tariff Tables'!L7</f>
        <v>0</v>
      </c>
      <c r="E32" s="306">
        <f>+E26-'Tariff Tables'!M7</f>
        <v>0</v>
      </c>
      <c r="F32" s="217"/>
    </row>
    <row r="33" spans="2:6">
      <c r="B33" s="306">
        <f>+B27-'Tariff Tables'!J8</f>
        <v>0</v>
      </c>
      <c r="C33" s="306">
        <f ca="1">+C27-'Tariff Tables'!K8</f>
        <v>0</v>
      </c>
      <c r="D33" s="306">
        <f>+D27-'Tariff Tables'!L8</f>
        <v>0</v>
      </c>
      <c r="E33" s="306">
        <f>+E27-'Tariff Tables'!M8</f>
        <v>0</v>
      </c>
      <c r="F33" s="217"/>
    </row>
  </sheetData>
  <pageMargins left="0.7" right="0.7" top="0.75" bottom="0.75" header="0.3" footer="0.3"/>
  <pageSetup orientation="portrait" r:id="rId1"/>
  <headerFooter>
    <oddFooter>&amp;R&amp;1#&amp;"Calibri"&amp;10&amp;KA80000Internal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76D9B-45E4-44AF-B9A4-D95EF127045C}">
  <sheetPr codeName="Sheet8">
    <pageSetUpPr fitToPage="1"/>
  </sheetPr>
  <dimension ref="A1:Y49"/>
  <sheetViews>
    <sheetView workbookViewId="0"/>
  </sheetViews>
  <sheetFormatPr defaultColWidth="9.140625" defaultRowHeight="15"/>
  <cols>
    <col min="1" max="1" width="20.85546875" style="45" customWidth="1"/>
    <col min="2" max="2" width="22" style="45" customWidth="1"/>
    <col min="3" max="3" width="17.28515625" style="45" customWidth="1"/>
    <col min="4" max="5" width="14.85546875" style="45" customWidth="1"/>
    <col min="6" max="7" width="16.140625" style="45" customWidth="1"/>
    <col min="8" max="8" width="10.7109375" style="45" bestFit="1" customWidth="1"/>
    <col min="9" max="10" width="9.140625" style="45"/>
    <col min="11" max="11" width="15" style="45" bestFit="1" customWidth="1"/>
    <col min="12" max="16384" width="9.140625" style="45"/>
  </cols>
  <sheetData>
    <row r="1" spans="1:25">
      <c r="A1" s="62" t="str">
        <f>'PTD Cycle 3'!A1</f>
        <v>Evergy Metro, Inc. - DSIM Rider Update Filed 06/01/2026</v>
      </c>
    </row>
    <row r="2" spans="1:25">
      <c r="A2" s="344" t="s">
        <v>227</v>
      </c>
    </row>
    <row r="3" spans="1:25" ht="35.25" customHeight="1">
      <c r="B3" s="354" t="s">
        <v>195</v>
      </c>
      <c r="C3" s="354"/>
    </row>
    <row r="4" spans="1:25" ht="45">
      <c r="B4" s="143" t="s">
        <v>38</v>
      </c>
      <c r="C4" s="212" t="s">
        <v>24</v>
      </c>
      <c r="D4" s="298" t="s">
        <v>248</v>
      </c>
      <c r="E4" s="38"/>
    </row>
    <row r="5" spans="1:25">
      <c r="A5" s="19" t="s">
        <v>22</v>
      </c>
      <c r="B5" s="311">
        <f>'Tariff Tables'!G4</f>
        <v>2808389302</v>
      </c>
      <c r="C5" s="210">
        <f>SUM(D5:F5)</f>
        <v>4209785.1800000006</v>
      </c>
      <c r="D5" s="210">
        <f>SUM('[2]KCPL CONTRACT_DETAIL IMPORT'!$AZ208:$BA208)</f>
        <v>4209785.1800000006</v>
      </c>
      <c r="E5" s="38"/>
      <c r="G5" s="287"/>
      <c r="J5" s="287"/>
    </row>
    <row r="6" spans="1:25">
      <c r="A6" s="19" t="s">
        <v>91</v>
      </c>
      <c r="B6" s="311">
        <f>'Tariff Tables'!G5</f>
        <v>746894153</v>
      </c>
      <c r="C6" s="210">
        <f>SUM(D6:F6)</f>
        <v>468525.68</v>
      </c>
      <c r="D6" s="210">
        <f>SUM('[2]KCPL CONTRACT_DETAIL IMPORT'!$AZ209:$BA209)</f>
        <v>468525.68</v>
      </c>
      <c r="E6" s="38"/>
      <c r="G6" s="287"/>
      <c r="J6" s="287"/>
    </row>
    <row r="7" spans="1:25">
      <c r="A7" s="19" t="s">
        <v>92</v>
      </c>
      <c r="B7" s="311">
        <f>'Tariff Tables'!G6</f>
        <v>1243400161</v>
      </c>
      <c r="C7" s="210">
        <f>SUM(D7:F7)</f>
        <v>1861717.79</v>
      </c>
      <c r="D7" s="210">
        <f>SUM('[2]KCPL CONTRACT_DETAIL IMPORT'!$AZ210:$BA210)</f>
        <v>1861717.79</v>
      </c>
      <c r="E7" s="38"/>
      <c r="G7" s="287"/>
      <c r="J7" s="287"/>
    </row>
    <row r="8" spans="1:25">
      <c r="A8" s="19" t="s">
        <v>93</v>
      </c>
      <c r="B8" s="311">
        <f>'Tariff Tables'!G7</f>
        <v>2000876857</v>
      </c>
      <c r="C8" s="210">
        <f>SUM(D8:F8)</f>
        <v>3574597.56</v>
      </c>
      <c r="D8" s="210">
        <f>SUM('[2]KCPL CONTRACT_DETAIL IMPORT'!$AZ211:$BA211)</f>
        <v>3574597.56</v>
      </c>
      <c r="E8" s="38"/>
      <c r="G8" s="287"/>
      <c r="J8" s="287"/>
    </row>
    <row r="9" spans="1:25">
      <c r="A9" s="19" t="s">
        <v>94</v>
      </c>
      <c r="B9" s="311">
        <f>'Tariff Tables'!G8</f>
        <v>657131150</v>
      </c>
      <c r="C9" s="210">
        <f>SUM(D9:F9)</f>
        <v>1307980.56</v>
      </c>
      <c r="D9" s="210">
        <f>SUM('[2]KCPL CONTRACT_DETAIL IMPORT'!$AZ212:$BA212)</f>
        <v>1307980.56</v>
      </c>
      <c r="E9" s="38"/>
      <c r="G9" s="287"/>
      <c r="J9" s="287"/>
      <c r="P9" s="1"/>
      <c r="Q9" s="1"/>
      <c r="R9" s="1"/>
      <c r="S9" s="1"/>
      <c r="T9" s="1"/>
      <c r="U9" s="1"/>
      <c r="V9" s="1"/>
      <c r="W9" s="1"/>
      <c r="X9" s="1"/>
      <c r="Y9" s="1"/>
    </row>
    <row r="10" spans="1:25">
      <c r="A10" s="29" t="s">
        <v>3</v>
      </c>
      <c r="B10" s="223">
        <f>SUM(B5:B9)</f>
        <v>7456691623</v>
      </c>
      <c r="C10" s="211">
        <f>SUM(C5:C9)</f>
        <v>11422606.770000001</v>
      </c>
      <c r="D10" s="211">
        <f>SUM(D5:D9)</f>
        <v>11422606.770000001</v>
      </c>
      <c r="G10" s="287"/>
      <c r="J10" s="287"/>
      <c r="P10" s="1"/>
      <c r="Q10" s="1"/>
      <c r="R10" s="1"/>
      <c r="S10" s="1"/>
      <c r="T10" s="1"/>
      <c r="U10" s="1"/>
      <c r="V10" s="1"/>
      <c r="W10" s="1"/>
      <c r="X10" s="1"/>
      <c r="Y10" s="1"/>
    </row>
    <row r="12" spans="1:25">
      <c r="A12" s="52" t="s">
        <v>9</v>
      </c>
    </row>
    <row r="13" spans="1:25" ht="30" customHeight="1">
      <c r="A13" s="353" t="str">
        <f>'Tariff Tables'!$B$47</f>
        <v>1. Forecasted kWh by  Residential, Small General Service, Medium General Service, Large General Service and Large Power Service (Reduced for Opt-Out) - Source: Billed kWh Budget 2025+- EMM 20260601.xlsx</v>
      </c>
      <c r="B13" s="353"/>
      <c r="C13" s="353"/>
      <c r="D13" s="353"/>
      <c r="E13" s="353"/>
      <c r="F13" s="353"/>
      <c r="G13" s="289"/>
      <c r="H13" s="290"/>
      <c r="I13" s="355"/>
      <c r="J13" s="355"/>
      <c r="K13" s="355"/>
    </row>
    <row r="14" spans="1:25">
      <c r="A14" s="353" t="s">
        <v>193</v>
      </c>
      <c r="B14" s="353"/>
      <c r="C14" s="353"/>
      <c r="D14" s="353"/>
      <c r="E14" s="353"/>
      <c r="F14" s="353"/>
      <c r="G14" s="289"/>
    </row>
    <row r="15" spans="1:25" ht="16.5" customHeight="1">
      <c r="A15" s="356" t="s">
        <v>271</v>
      </c>
      <c r="B15" s="356"/>
      <c r="C15" s="356"/>
      <c r="D15" s="356"/>
      <c r="E15" s="356"/>
      <c r="F15" s="356"/>
      <c r="G15" s="289"/>
    </row>
    <row r="16" spans="1:25" ht="27" customHeight="1">
      <c r="A16" s="353"/>
      <c r="B16" s="353"/>
      <c r="C16" s="353"/>
      <c r="D16" s="353"/>
      <c r="E16" s="353"/>
      <c r="F16" s="353"/>
      <c r="G16" s="289"/>
    </row>
    <row r="23" spans="3:3">
      <c r="C23" s="2"/>
    </row>
    <row r="45" spans="2:3">
      <c r="B45" s="7"/>
      <c r="C45" s="7"/>
    </row>
    <row r="49" spans="2:3">
      <c r="B49" s="7"/>
      <c r="C49" s="7"/>
    </row>
  </sheetData>
  <mergeCells count="6">
    <mergeCell ref="A16:F16"/>
    <mergeCell ref="B3:C3"/>
    <mergeCell ref="A13:F13"/>
    <mergeCell ref="I13:K13"/>
    <mergeCell ref="A14:F14"/>
    <mergeCell ref="A15:F15"/>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C4E1-90E8-4BE1-9A03-35F6C8CFD73D}">
  <sheetPr codeName="Sheet10">
    <pageSetUpPr fitToPage="1"/>
  </sheetPr>
  <dimension ref="A1:AJ81"/>
  <sheetViews>
    <sheetView zoomScale="85" zoomScaleNormal="85" workbookViewId="0"/>
  </sheetViews>
  <sheetFormatPr defaultColWidth="9.140625" defaultRowHeight="15" outlineLevelCol="1"/>
  <cols>
    <col min="1" max="1" width="54.5703125" style="45" customWidth="1"/>
    <col min="2" max="2" width="14.7109375" style="45" customWidth="1"/>
    <col min="3" max="3" width="15" style="45" customWidth="1"/>
    <col min="4" max="4" width="15" style="45" hidden="1" customWidth="1" outlineLevel="1"/>
    <col min="5" max="5" width="15.28515625" style="45" customWidth="1" collapsed="1"/>
    <col min="6" max="6" width="15.85546875" style="45" customWidth="1"/>
    <col min="7" max="7" width="17.5703125" style="45" customWidth="1"/>
    <col min="8" max="9" width="13.28515625" style="45" customWidth="1"/>
    <col min="10" max="10" width="15.7109375" style="45" customWidth="1"/>
    <col min="11" max="12" width="12.5703125" style="45" bestFit="1" customWidth="1"/>
    <col min="13" max="13" width="14.42578125" style="45" customWidth="1"/>
    <col min="14" max="14" width="15" style="45" bestFit="1" customWidth="1"/>
    <col min="15" max="15" width="16.28515625" style="45" bestFit="1" customWidth="1"/>
    <col min="16" max="16" width="16.28515625" style="45" hidden="1" customWidth="1" outlineLevel="1"/>
    <col min="17" max="17" width="16.140625" style="45" customWidth="1" collapsed="1"/>
    <col min="18" max="18" width="17.28515625" style="45" bestFit="1" customWidth="1"/>
    <col min="19" max="19" width="17.42578125" style="45" customWidth="1"/>
    <col min="20" max="20" width="15.5703125" style="45" customWidth="1"/>
    <col min="21" max="21" width="13" style="45" customWidth="1"/>
    <col min="22" max="22" width="9.140625" style="45"/>
    <col min="23" max="23" width="14.28515625" style="45" bestFit="1" customWidth="1"/>
    <col min="24" max="16384" width="9.140625" style="45"/>
  </cols>
  <sheetData>
    <row r="1" spans="1:36">
      <c r="A1" s="62" t="str">
        <f>'PTD Cycle 3'!A1</f>
        <v>Evergy Metro, Inc. - DSIM Rider Update Filed 06/01/2026</v>
      </c>
      <c r="B1" s="3"/>
      <c r="C1" s="3"/>
      <c r="D1" s="3"/>
    </row>
    <row r="2" spans="1:36">
      <c r="E2" s="3" t="s">
        <v>118</v>
      </c>
    </row>
    <row r="3" spans="1:36" ht="30">
      <c r="E3" s="47" t="s">
        <v>40</v>
      </c>
      <c r="F3" s="47" t="s">
        <v>39</v>
      </c>
      <c r="G3" s="69" t="s">
        <v>0</v>
      </c>
      <c r="H3" s="47" t="s">
        <v>1</v>
      </c>
      <c r="I3" s="69" t="s">
        <v>49</v>
      </c>
      <c r="J3" s="47" t="s">
        <v>8</v>
      </c>
      <c r="K3" s="47" t="s">
        <v>2</v>
      </c>
    </row>
    <row r="4" spans="1:36">
      <c r="A4" s="19" t="s">
        <v>22</v>
      </c>
      <c r="E4" s="21">
        <f>SUM(C29:M29)</f>
        <v>328465.10000000003</v>
      </c>
      <c r="F4" s="130">
        <f>SUM(C22:M22)</f>
        <v>1247127982.5125189</v>
      </c>
      <c r="G4" s="21">
        <f>SUM(C15:L15)</f>
        <v>-8631.8000000000011</v>
      </c>
      <c r="H4" s="21">
        <f>G4-E4</f>
        <v>-337096.9</v>
      </c>
      <c r="I4" s="21">
        <f>+B45</f>
        <v>643081.56999999855</v>
      </c>
      <c r="J4" s="21">
        <f>SUM(C53:L53)</f>
        <v>12884.66</v>
      </c>
      <c r="K4" s="24">
        <f>SUM(H4:J4)</f>
        <v>318869.3299999985</v>
      </c>
      <c r="L4" s="46">
        <f>+K4-M45</f>
        <v>0</v>
      </c>
      <c r="M4" s="46"/>
    </row>
    <row r="5" spans="1:36">
      <c r="A5" s="19" t="s">
        <v>91</v>
      </c>
      <c r="E5" s="21">
        <f>SUM(C30:M30)</f>
        <v>122176.53999999998</v>
      </c>
      <c r="F5" s="130">
        <f>SUM(C23:M23)</f>
        <v>367769601.63789999</v>
      </c>
      <c r="G5" s="21">
        <f>SUM(C16:L16)</f>
        <v>-847.23</v>
      </c>
      <c r="H5" s="21">
        <f>G5-E5</f>
        <v>-123023.76999999997</v>
      </c>
      <c r="I5" s="21">
        <f>+B46</f>
        <v>199610.17783979789</v>
      </c>
      <c r="J5" s="21">
        <f>SUM(C54:L54)</f>
        <v>3595.9699999999993</v>
      </c>
      <c r="K5" s="24">
        <f>SUM(H5:J5)</f>
        <v>80182.377839797919</v>
      </c>
      <c r="L5" s="46">
        <f t="shared" ref="L5:L7" si="0">+K5-M46</f>
        <v>0</v>
      </c>
      <c r="M5" s="46"/>
    </row>
    <row r="6" spans="1:36">
      <c r="A6" s="19" t="s">
        <v>92</v>
      </c>
      <c r="E6" s="21">
        <f>SUM(C31:M31)</f>
        <v>241397.01000000004</v>
      </c>
      <c r="F6" s="130">
        <f>SUM(C24:M24)</f>
        <v>550103233.50029993</v>
      </c>
      <c r="G6" s="21">
        <f>SUM(C17:L17)</f>
        <v>-2202.2399999999998</v>
      </c>
      <c r="H6" s="21">
        <f>G6-E6</f>
        <v>-243599.25000000003</v>
      </c>
      <c r="I6" s="21">
        <f>+B47</f>
        <v>504285.41000000073</v>
      </c>
      <c r="J6" s="21">
        <f>SUM(C55:L55)</f>
        <v>10368.09</v>
      </c>
      <c r="K6" s="24">
        <f>SUM(H6:J6)</f>
        <v>271054.2500000007</v>
      </c>
      <c r="L6" s="46">
        <f t="shared" si="0"/>
        <v>0</v>
      </c>
      <c r="M6" s="46"/>
    </row>
    <row r="7" spans="1:36">
      <c r="A7" s="19" t="s">
        <v>93</v>
      </c>
      <c r="E7" s="21">
        <f>SUM(C32:M32)</f>
        <v>-64962.989999999991</v>
      </c>
      <c r="F7" s="130">
        <f>SUM(C25:M25)</f>
        <v>916346476.17599988</v>
      </c>
      <c r="G7" s="21">
        <f>SUM(C18:L18)</f>
        <v>-2012.95</v>
      </c>
      <c r="H7" s="21">
        <f>G7-E7</f>
        <v>62950.039999999994</v>
      </c>
      <c r="I7" s="21">
        <f>+B48</f>
        <v>-148982.05999999976</v>
      </c>
      <c r="J7" s="21">
        <f>SUM(C56:L56)</f>
        <v>-3213.7100000000005</v>
      </c>
      <c r="K7" s="24">
        <f>SUM(H7:J7)</f>
        <v>-89245.729999999778</v>
      </c>
      <c r="L7" s="46">
        <f t="shared" si="0"/>
        <v>0</v>
      </c>
      <c r="M7" s="46"/>
    </row>
    <row r="8" spans="1:36" ht="15.75" thickBot="1">
      <c r="A8" s="19" t="s">
        <v>94</v>
      </c>
      <c r="E8" s="21">
        <f>SUM(C33:M33)</f>
        <v>-61202.679999999986</v>
      </c>
      <c r="F8" s="130">
        <f>SUM(C26:M26)</f>
        <v>186973982.48640001</v>
      </c>
      <c r="G8" s="21">
        <f>SUM(C19:L19)</f>
        <v>-305.7800000000002</v>
      </c>
      <c r="H8" s="21">
        <f>G8-E8</f>
        <v>60896.899999999987</v>
      </c>
      <c r="I8" s="21">
        <f>+B49</f>
        <v>-164829.90783979668</v>
      </c>
      <c r="J8" s="21">
        <f>SUM(C57:L57)</f>
        <v>-3730.87</v>
      </c>
      <c r="K8" s="24">
        <f>SUM(H8:J8)</f>
        <v>-107663.87783979668</v>
      </c>
      <c r="L8" s="46">
        <f>+K8-M49</f>
        <v>0</v>
      </c>
      <c r="M8" s="46"/>
    </row>
    <row r="9" spans="1:36" ht="16.5" thickTop="1" thickBot="1">
      <c r="E9" s="26">
        <f t="shared" ref="E9:I9" si="1">SUM(E4:E8)</f>
        <v>565872.9800000001</v>
      </c>
      <c r="F9" s="26">
        <f t="shared" si="1"/>
        <v>3268321276.3131185</v>
      </c>
      <c r="G9" s="26">
        <f t="shared" si="1"/>
        <v>-14000.000000000002</v>
      </c>
      <c r="H9" s="26">
        <f t="shared" si="1"/>
        <v>-579872.98</v>
      </c>
      <c r="I9" s="26">
        <f t="shared" si="1"/>
        <v>1033165.1900000006</v>
      </c>
      <c r="J9" s="26">
        <f>SUM(J4:J8)</f>
        <v>19904.14</v>
      </c>
      <c r="K9" s="26">
        <f>SUM(K4:K8)</f>
        <v>473196.35000000068</v>
      </c>
    </row>
    <row r="10" spans="1:36" ht="16.5" thickTop="1" thickBot="1">
      <c r="C10" s="38"/>
      <c r="E10" s="38"/>
      <c r="F10" s="38"/>
      <c r="G10" s="38"/>
      <c r="H10" s="38"/>
      <c r="I10" s="38"/>
      <c r="J10" s="38"/>
      <c r="K10" s="38"/>
      <c r="L10" s="38"/>
      <c r="M10" s="38"/>
    </row>
    <row r="11" spans="1:36" ht="96.75" customHeight="1" thickBot="1">
      <c r="B11" s="111" t="str">
        <f>'PCR Cycle 4'!B$11</f>
        <v>Cumulative Over/Under Carryover From 12/01/2025 Filing</v>
      </c>
      <c r="C11" s="244" t="str">
        <f>'PCR Cycle 4'!C$11</f>
        <v>Reverse November 2025 - January 2026 Forecast From 12/01/2025 Filing</v>
      </c>
      <c r="D11" s="304"/>
      <c r="E11" s="362" t="s">
        <v>28</v>
      </c>
      <c r="F11" s="362"/>
      <c r="G11" s="363"/>
      <c r="H11" s="364" t="s">
        <v>28</v>
      </c>
      <c r="I11" s="365"/>
      <c r="J11" s="366"/>
      <c r="K11" s="357" t="s">
        <v>6</v>
      </c>
      <c r="L11" s="358"/>
      <c r="M11" s="359"/>
      <c r="P11" s="260" t="s">
        <v>177</v>
      </c>
    </row>
    <row r="12" spans="1:36">
      <c r="C12" s="13"/>
      <c r="D12" s="18"/>
      <c r="E12" s="18">
        <f>+'PCR Cycle 4'!E$12</f>
        <v>45991</v>
      </c>
      <c r="F12" s="18">
        <f>+'PCR Cycle 4'!F$12</f>
        <v>46022</v>
      </c>
      <c r="G12" s="18">
        <f>+'PCR Cycle 4'!G$12</f>
        <v>46053</v>
      </c>
      <c r="H12" s="13">
        <f>+'PCR Cycle 4'!H$12</f>
        <v>46081</v>
      </c>
      <c r="I12" s="18">
        <f>+'PCR Cycle 4'!I$12</f>
        <v>46112</v>
      </c>
      <c r="J12" s="14">
        <f>+'PCR Cycle 4'!J$12</f>
        <v>46142</v>
      </c>
      <c r="K12" s="18">
        <f>+'PCR Cycle 4'!K$12</f>
        <v>46173</v>
      </c>
      <c r="L12" s="18">
        <f>+'PCR Cycle 4'!L$12</f>
        <v>46203</v>
      </c>
      <c r="M12" s="93">
        <f>+'PCR Cycle 4'!M$12</f>
        <v>46234</v>
      </c>
      <c r="AA12" s="1"/>
      <c r="AB12" s="1"/>
      <c r="AC12" s="1"/>
      <c r="AD12" s="1"/>
      <c r="AE12" s="1"/>
      <c r="AF12" s="1"/>
      <c r="AG12" s="1"/>
      <c r="AH12" s="1"/>
      <c r="AI12" s="1"/>
      <c r="AJ12" s="1"/>
    </row>
    <row r="13" spans="1:36">
      <c r="C13" s="96"/>
      <c r="D13" s="235"/>
      <c r="E13" s="30"/>
      <c r="F13" s="30"/>
      <c r="G13" s="30"/>
      <c r="H13" s="27"/>
      <c r="I13" s="30"/>
      <c r="J13" s="10"/>
      <c r="K13" s="30"/>
      <c r="L13" s="30"/>
      <c r="M13" s="28"/>
      <c r="P13" s="46"/>
    </row>
    <row r="14" spans="1:36">
      <c r="A14" s="45" t="s">
        <v>119</v>
      </c>
      <c r="C14" s="97"/>
      <c r="D14" s="142"/>
      <c r="E14" s="235"/>
      <c r="F14" s="235"/>
      <c r="G14" s="235"/>
      <c r="H14" s="96"/>
      <c r="I14" s="235"/>
      <c r="J14" s="345"/>
      <c r="K14" s="142"/>
      <c r="L14" s="142"/>
      <c r="M14" s="312"/>
      <c r="P14" s="46"/>
    </row>
    <row r="15" spans="1:36">
      <c r="A15" s="45" t="s">
        <v>22</v>
      </c>
      <c r="C15" s="327">
        <v>0</v>
      </c>
      <c r="D15" s="234"/>
      <c r="E15" s="105">
        <v>0</v>
      </c>
      <c r="F15" s="105">
        <f>'[3]Pivot - SI Project'!$N$32</f>
        <v>-8631.8000000000011</v>
      </c>
      <c r="G15" s="105">
        <v>0</v>
      </c>
      <c r="H15" s="266">
        <v>0</v>
      </c>
      <c r="I15" s="297">
        <v>0</v>
      </c>
      <c r="J15" s="297">
        <v>0</v>
      </c>
      <c r="K15" s="267"/>
      <c r="L15" s="132"/>
      <c r="M15" s="74"/>
      <c r="P15" s="46">
        <f>-SUM(K15:M15)</f>
        <v>0</v>
      </c>
      <c r="S15" s="295"/>
      <c r="T15" s="295"/>
      <c r="U15" s="295"/>
      <c r="V15" s="295"/>
      <c r="W15" s="295"/>
    </row>
    <row r="16" spans="1:36">
      <c r="A16" s="45" t="s">
        <v>91</v>
      </c>
      <c r="C16" s="327">
        <v>0</v>
      </c>
      <c r="D16" s="234"/>
      <c r="E16" s="105">
        <v>0</v>
      </c>
      <c r="F16" s="105">
        <f>'[3]Pivot - SI Project'!$O$32</f>
        <v>-847.23</v>
      </c>
      <c r="G16" s="105">
        <v>0</v>
      </c>
      <c r="H16" s="266">
        <v>0</v>
      </c>
      <c r="I16" s="297">
        <v>0</v>
      </c>
      <c r="J16" s="297">
        <v>0</v>
      </c>
      <c r="K16" s="267"/>
      <c r="L16" s="132"/>
      <c r="M16" s="74"/>
      <c r="P16" s="46">
        <f t="shared" ref="P16:P19" si="2">-SUM(K16:M16)</f>
        <v>0</v>
      </c>
      <c r="Q16" s="232">
        <f>SUM(E16:J16)/SUM($E$16:$J$19)</f>
        <v>0.15782385157035878</v>
      </c>
    </row>
    <row r="17" spans="1:19">
      <c r="A17" s="45" t="s">
        <v>92</v>
      </c>
      <c r="C17" s="327">
        <v>0</v>
      </c>
      <c r="D17" s="234"/>
      <c r="E17" s="105">
        <v>0</v>
      </c>
      <c r="F17" s="105">
        <f>'[3]Pivot - SI Project'!$P$32</f>
        <v>-2202.2399999999998</v>
      </c>
      <c r="G17" s="105">
        <v>0</v>
      </c>
      <c r="H17" s="266">
        <v>0</v>
      </c>
      <c r="I17" s="297">
        <v>0</v>
      </c>
      <c r="J17" s="297">
        <v>0</v>
      </c>
      <c r="K17" s="267"/>
      <c r="L17" s="132"/>
      <c r="M17" s="74"/>
      <c r="P17" s="46">
        <f t="shared" si="2"/>
        <v>0</v>
      </c>
      <c r="Q17" s="232">
        <f t="shared" ref="Q17:Q19" si="3">SUM(E17:J17)/SUM($E$16:$J$19)</f>
        <v>0.41023806862635509</v>
      </c>
      <c r="S17" s="295"/>
    </row>
    <row r="18" spans="1:19">
      <c r="A18" s="45" t="s">
        <v>93</v>
      </c>
      <c r="C18" s="327">
        <v>0</v>
      </c>
      <c r="D18" s="234"/>
      <c r="E18" s="105">
        <v>0</v>
      </c>
      <c r="F18" s="105">
        <f>'[3]Pivot - SI Project'!$Q$32</f>
        <v>-2012.95</v>
      </c>
      <c r="G18" s="105">
        <v>0</v>
      </c>
      <c r="H18" s="266">
        <v>0</v>
      </c>
      <c r="I18" s="297">
        <v>0</v>
      </c>
      <c r="J18" s="297">
        <v>0</v>
      </c>
      <c r="K18" s="267"/>
      <c r="L18" s="132"/>
      <c r="M18" s="74"/>
      <c r="P18" s="46">
        <f t="shared" si="2"/>
        <v>0</v>
      </c>
      <c r="Q18" s="232">
        <f t="shared" si="3"/>
        <v>0.37497671472746913</v>
      </c>
      <c r="S18" s="295"/>
    </row>
    <row r="19" spans="1:19">
      <c r="A19" s="45" t="s">
        <v>94</v>
      </c>
      <c r="C19" s="327">
        <v>0</v>
      </c>
      <c r="D19" s="234"/>
      <c r="E19" s="105">
        <v>0</v>
      </c>
      <c r="F19" s="105">
        <f>'[3]Pivot - SI Project'!$R$32</f>
        <v>-305.7800000000002</v>
      </c>
      <c r="G19" s="105">
        <v>0</v>
      </c>
      <c r="H19" s="266">
        <v>0</v>
      </c>
      <c r="I19" s="297">
        <v>0</v>
      </c>
      <c r="J19" s="297">
        <v>0</v>
      </c>
      <c r="K19" s="267"/>
      <c r="L19" s="132"/>
      <c r="M19" s="74"/>
      <c r="P19" s="46">
        <f t="shared" si="2"/>
        <v>0</v>
      </c>
      <c r="Q19" s="232">
        <f t="shared" si="3"/>
        <v>5.6961365075816874E-2</v>
      </c>
      <c r="S19" s="295"/>
    </row>
    <row r="20" spans="1:19">
      <c r="C20" s="99"/>
      <c r="D20" s="236"/>
      <c r="E20" s="30"/>
      <c r="F20" s="30"/>
      <c r="G20" s="30"/>
      <c r="H20" s="27"/>
      <c r="I20" s="30"/>
      <c r="J20" s="10"/>
      <c r="K20" s="16"/>
      <c r="L20" s="16"/>
      <c r="M20" s="10"/>
      <c r="S20" s="295"/>
    </row>
    <row r="21" spans="1:19">
      <c r="A21" s="38" t="s">
        <v>41</v>
      </c>
      <c r="B21" s="38"/>
      <c r="C21" s="99"/>
      <c r="D21" s="236"/>
      <c r="E21" s="235"/>
      <c r="F21" s="235"/>
      <c r="G21" s="235"/>
      <c r="H21" s="96"/>
      <c r="I21" s="235"/>
      <c r="J21" s="312"/>
      <c r="K21" s="16"/>
      <c r="L21" s="16"/>
      <c r="M21" s="10"/>
      <c r="S21" s="295"/>
    </row>
    <row r="22" spans="1:19">
      <c r="A22" s="45" t="s">
        <v>22</v>
      </c>
      <c r="C22" s="328">
        <v>-686790444.84828138</v>
      </c>
      <c r="D22" s="237"/>
      <c r="E22" s="107">
        <f>'PCR Cycle 4'!E22</f>
        <v>162734059.22889999</v>
      </c>
      <c r="F22" s="107">
        <f>'PCR Cycle 4'!F22</f>
        <v>228627406.22139996</v>
      </c>
      <c r="G22" s="107">
        <f>'PCR Cycle 4'!G22</f>
        <v>245298082.39400011</v>
      </c>
      <c r="H22" s="173">
        <f>'PCR Cycle 4'!H22</f>
        <v>268605456.00260001</v>
      </c>
      <c r="I22" s="176">
        <f>'PCR Cycle 4'!I22</f>
        <v>193574517.22830001</v>
      </c>
      <c r="J22" s="170">
        <f>'PCR Cycle 4'!J22</f>
        <v>168194039.28560004</v>
      </c>
      <c r="K22" s="166">
        <f>'PCR Cycle 4'!K22</f>
        <v>155895393</v>
      </c>
      <c r="L22" s="133">
        <f>'PCR Cycle 4'!L22</f>
        <v>210302559</v>
      </c>
      <c r="M22" s="75">
        <f>'PCR Cycle 4'!M22</f>
        <v>300686915</v>
      </c>
      <c r="P22" s="46">
        <f>-SUM(K22:M22)</f>
        <v>-666884867</v>
      </c>
    </row>
    <row r="23" spans="1:19">
      <c r="A23" s="45" t="s">
        <v>91</v>
      </c>
      <c r="C23" s="328">
        <v>-160366861</v>
      </c>
      <c r="D23" s="237"/>
      <c r="E23" s="107">
        <f>'PCR Cycle 4'!E23</f>
        <v>50829307.346099995</v>
      </c>
      <c r="F23" s="107">
        <f>'PCR Cycle 4'!F23</f>
        <v>60346672.082100026</v>
      </c>
      <c r="G23" s="107">
        <f>'PCR Cycle 4'!G23</f>
        <v>60355321.517299995</v>
      </c>
      <c r="H23" s="173">
        <f>'PCR Cycle 4'!H23</f>
        <v>63975683.882099986</v>
      </c>
      <c r="I23" s="176">
        <f>'PCR Cycle 4'!I23</f>
        <v>54065143.568999991</v>
      </c>
      <c r="J23" s="170">
        <f>'PCR Cycle 4'!J23</f>
        <v>48754256.241300024</v>
      </c>
      <c r="K23" s="166">
        <f>'PCR Cycle 4'!K23</f>
        <v>57017488</v>
      </c>
      <c r="L23" s="133">
        <f>'PCR Cycle 4'!L23</f>
        <v>62862021</v>
      </c>
      <c r="M23" s="75">
        <f>'PCR Cycle 4'!M23</f>
        <v>69930569</v>
      </c>
      <c r="P23" s="46">
        <f t="shared" ref="P23:P26" si="4">-SUM(K23:M23)</f>
        <v>-189810078</v>
      </c>
    </row>
    <row r="24" spans="1:19">
      <c r="A24" s="45" t="s">
        <v>92</v>
      </c>
      <c r="C24" s="328">
        <v>-274614528</v>
      </c>
      <c r="D24" s="237"/>
      <c r="E24" s="107">
        <f>'PCR Cycle 4'!E24</f>
        <v>80268080.061399966</v>
      </c>
      <c r="F24" s="107">
        <f>'PCR Cycle 4'!F24</f>
        <v>91563681.871600002</v>
      </c>
      <c r="G24" s="107">
        <f>'PCR Cycle 4'!G24</f>
        <v>91133523.030600041</v>
      </c>
      <c r="H24" s="173">
        <f>'PCR Cycle 4'!H24</f>
        <v>95206410.949800014</v>
      </c>
      <c r="I24" s="176">
        <f>'PCR Cycle 4'!I24</f>
        <v>79942384.585599989</v>
      </c>
      <c r="J24" s="170">
        <f>'PCR Cycle 4'!J24</f>
        <v>76404738.001299992</v>
      </c>
      <c r="K24" s="166">
        <f>'PCR Cycle 4'!K24</f>
        <v>93181377</v>
      </c>
      <c r="L24" s="133">
        <f>'PCR Cycle 4'!L24</f>
        <v>102732862</v>
      </c>
      <c r="M24" s="75">
        <f>'PCR Cycle 4'!M24</f>
        <v>114284704</v>
      </c>
      <c r="P24" s="46">
        <f t="shared" si="4"/>
        <v>-310198943</v>
      </c>
    </row>
    <row r="25" spans="1:19">
      <c r="A25" s="45" t="s">
        <v>93</v>
      </c>
      <c r="C25" s="328">
        <v>-448367872</v>
      </c>
      <c r="D25" s="237"/>
      <c r="E25" s="107">
        <f>'PCR Cycle 4'!E25</f>
        <v>132723559.21120001</v>
      </c>
      <c r="F25" s="107">
        <f>'PCR Cycle 4'!F25</f>
        <v>153575926.29779994</v>
      </c>
      <c r="G25" s="107">
        <f>'PCR Cycle 4'!G25</f>
        <v>146216045.25309998</v>
      </c>
      <c r="H25" s="173">
        <f>'PCR Cycle 4'!H25</f>
        <v>152401897.12570003</v>
      </c>
      <c r="I25" s="176">
        <f>'PCR Cycle 4'!I25</f>
        <v>141085808.06309998</v>
      </c>
      <c r="J25" s="170">
        <f>'PCR Cycle 4'!J25</f>
        <v>132000198.2251</v>
      </c>
      <c r="K25" s="166">
        <f>'PCR Cycle 4'!K25</f>
        <v>152212062</v>
      </c>
      <c r="L25" s="133">
        <f>'PCR Cycle 4'!L25</f>
        <v>167814442</v>
      </c>
      <c r="M25" s="75">
        <f>'PCR Cycle 4'!M25</f>
        <v>186684410</v>
      </c>
      <c r="P25" s="46">
        <f t="shared" si="4"/>
        <v>-506710914</v>
      </c>
    </row>
    <row r="26" spans="1:19">
      <c r="A26" s="45" t="s">
        <v>94</v>
      </c>
      <c r="C26" s="328">
        <v>-105704222</v>
      </c>
      <c r="D26" s="237"/>
      <c r="E26" s="107">
        <f>'PCR Cycle 4'!E26</f>
        <v>34685650.500599995</v>
      </c>
      <c r="F26" s="107">
        <f>'PCR Cycle 4'!F26</f>
        <v>35500721.634300001</v>
      </c>
      <c r="G26" s="107">
        <f>'PCR Cycle 4'!G26</f>
        <v>22317551.949500002</v>
      </c>
      <c r="H26" s="173">
        <f>'PCR Cycle 4'!H26</f>
        <v>20752875.676399998</v>
      </c>
      <c r="I26" s="176">
        <f>'PCR Cycle 4'!I26</f>
        <v>24144788.203200001</v>
      </c>
      <c r="J26" s="170">
        <f>'PCR Cycle 4'!J26</f>
        <v>38005533.522399999</v>
      </c>
      <c r="K26" s="166">
        <f>'PCR Cycle 4'!K26</f>
        <v>35227331</v>
      </c>
      <c r="L26" s="133">
        <f>'PCR Cycle 4'!L26</f>
        <v>38838282</v>
      </c>
      <c r="M26" s="75">
        <f>'PCR Cycle 4'!M26</f>
        <v>43205470</v>
      </c>
      <c r="P26" s="46">
        <f t="shared" si="4"/>
        <v>-117271083</v>
      </c>
    </row>
    <row r="27" spans="1:19">
      <c r="C27" s="97"/>
      <c r="D27" s="142"/>
      <c r="E27" s="30"/>
      <c r="F27" s="30"/>
      <c r="G27" s="30"/>
      <c r="H27" s="27"/>
      <c r="I27" s="30"/>
      <c r="J27" s="10"/>
      <c r="K27" s="16"/>
      <c r="L27" s="16"/>
      <c r="M27" s="10"/>
    </row>
    <row r="28" spans="1:19">
      <c r="A28" s="45" t="s">
        <v>29</v>
      </c>
      <c r="C28" s="97"/>
      <c r="D28" s="142"/>
      <c r="E28" s="17"/>
      <c r="F28" s="17"/>
      <c r="G28" s="17"/>
      <c r="H28" s="89"/>
      <c r="I28" s="17"/>
      <c r="J28" s="10"/>
      <c r="K28" s="56"/>
      <c r="L28" s="56"/>
      <c r="M28" s="57"/>
      <c r="N28" s="62" t="s">
        <v>44</v>
      </c>
      <c r="O28" s="38"/>
      <c r="P28" s="38"/>
    </row>
    <row r="29" spans="1:19">
      <c r="A29" s="45" t="s">
        <v>22</v>
      </c>
      <c r="C29" s="327">
        <v>-391470.55</v>
      </c>
      <c r="D29" s="234"/>
      <c r="E29" s="105">
        <f>'[4]EMM Nov25'!$G97+'[4]EMM Nov25'!$G105</f>
        <v>92755.319999999992</v>
      </c>
      <c r="F29" s="105">
        <f>'[4]EMM Dec25'!$G97+'[4]EMM Dec25'!$G105</f>
        <v>130325.22</v>
      </c>
      <c r="G29" s="105">
        <f>'[4]EMM Jan26'!$G97+'[4]EMM Jan26'!$G105</f>
        <v>139820.85</v>
      </c>
      <c r="H29" s="174">
        <f>'[4]EMM Feb26'!$G97+'[4]EMM Feb26'!$G105</f>
        <v>120339.48000000001</v>
      </c>
      <c r="I29" s="54">
        <f>'[4]EMM Mar26'!$G97+'[4]EMM Mar26'!$G105</f>
        <v>44755.64</v>
      </c>
      <c r="J29" s="168">
        <f>'[4]EMM Apr26'!$G97+'[4]EMM Apr26'!$G105</f>
        <v>38555.620000000003</v>
      </c>
      <c r="K29" s="116">
        <f>ROUND(K22*$N29,2)</f>
        <v>35855.94</v>
      </c>
      <c r="L29" s="40">
        <f t="shared" ref="L29:M29" si="5">ROUND(L22*$N29,2)</f>
        <v>48369.59</v>
      </c>
      <c r="M29" s="60">
        <f t="shared" si="5"/>
        <v>69157.990000000005</v>
      </c>
      <c r="N29" s="71">
        <v>2.3000000000000001E-4</v>
      </c>
      <c r="O29" s="38"/>
      <c r="P29" s="46">
        <f>-SUM(K29:M29)</f>
        <v>-153383.52000000002</v>
      </c>
    </row>
    <row r="30" spans="1:19">
      <c r="A30" s="45" t="s">
        <v>91</v>
      </c>
      <c r="C30" s="327">
        <v>-115464.13</v>
      </c>
      <c r="D30" s="234"/>
      <c r="E30" s="105">
        <f>'[4]EMM Nov25'!$G98+'[4]EMM Nov25'!$G106</f>
        <v>36611.589999999997</v>
      </c>
      <c r="F30" s="105">
        <f>'[4]EMM Dec25'!$G98+'[4]EMM Dec25'!$G106</f>
        <v>43496.639999999999</v>
      </c>
      <c r="G30" s="105">
        <f>'[4]EMM Jan26'!$G98+'[4]EMM Jan26'!$G106</f>
        <v>43456.27</v>
      </c>
      <c r="H30" s="174">
        <f>'[4]EMM Feb26'!$G98+'[4]EMM Feb26'!$G106</f>
        <v>35700.469999999994</v>
      </c>
      <c r="I30" s="54">
        <f>'[4]EMM Mar26'!$G98+'[4]EMM Mar26'!$G106</f>
        <v>14175.69</v>
      </c>
      <c r="J30" s="168">
        <f>'[4]EMM Apr26'!$G98+'[4]EMM Apr26'!$G106</f>
        <v>12951.29</v>
      </c>
      <c r="K30" s="116">
        <f t="shared" ref="K30:M30" si="6">ROUND(K23*$N30,2)</f>
        <v>15394.72</v>
      </c>
      <c r="L30" s="40">
        <f t="shared" si="6"/>
        <v>16972.75</v>
      </c>
      <c r="M30" s="60">
        <f t="shared" si="6"/>
        <v>18881.25</v>
      </c>
      <c r="N30" s="71">
        <v>2.7E-4</v>
      </c>
      <c r="O30" s="38"/>
      <c r="P30" s="46">
        <f t="shared" ref="P30:P33" si="7">-SUM(K30:M30)</f>
        <v>-51248.72</v>
      </c>
    </row>
    <row r="31" spans="1:19">
      <c r="A31" s="45" t="s">
        <v>92</v>
      </c>
      <c r="C31" s="327">
        <v>-258137.65</v>
      </c>
      <c r="D31" s="234"/>
      <c r="E31" s="105">
        <f>'[4]EMM Nov25'!$G99+'[4]EMM Nov25'!$G107</f>
        <v>75290.100000000006</v>
      </c>
      <c r="F31" s="105">
        <f>'[4]EMM Dec25'!$G99+'[4]EMM Dec25'!$G107</f>
        <v>86068.430000000008</v>
      </c>
      <c r="G31" s="105">
        <f>'[4]EMM Jan26'!$G99+'[4]EMM Jan26'!$G107</f>
        <v>85664.41</v>
      </c>
      <c r="H31" s="174">
        <f>'[4]EMM Feb26'!$G99+'[4]EMM Feb26'!$G107</f>
        <v>71513.16</v>
      </c>
      <c r="I31" s="54">
        <f>'[4]EMM Mar26'!$G99+'[4]EMM Mar26'!$G107</f>
        <v>30224</v>
      </c>
      <c r="J31" s="168">
        <f>'[4]EMM Apr26'!$G99+'[4]EMM Apr26'!$G107</f>
        <v>29796.97</v>
      </c>
      <c r="K31" s="116">
        <f t="shared" ref="K31:M31" si="8">ROUND(K24*$N31,2)</f>
        <v>36340.74</v>
      </c>
      <c r="L31" s="40">
        <f t="shared" si="8"/>
        <v>40065.82</v>
      </c>
      <c r="M31" s="60">
        <f t="shared" si="8"/>
        <v>44571.03</v>
      </c>
      <c r="N31" s="71">
        <v>3.8999999999999999E-4</v>
      </c>
      <c r="O31" s="38"/>
      <c r="P31" s="46">
        <f t="shared" si="7"/>
        <v>-120977.59</v>
      </c>
    </row>
    <row r="32" spans="1:19">
      <c r="A32" s="45" t="s">
        <v>93</v>
      </c>
      <c r="C32" s="327">
        <v>35869.43</v>
      </c>
      <c r="D32" s="234"/>
      <c r="E32" s="105">
        <f>'[4]EMM Nov25'!$G100+'[4]EMM Nov25'!$G108</f>
        <v>-10617.88</v>
      </c>
      <c r="F32" s="105">
        <f>'[4]EMM Dec25'!$G100+'[4]EMM Dec25'!$G108</f>
        <v>-12286.07</v>
      </c>
      <c r="G32" s="105">
        <f>'[4]EMM Jan26'!$G100+'[4]EMM Jan26'!$G108</f>
        <v>-11697.42</v>
      </c>
      <c r="H32" s="174">
        <f>'[4]EMM Feb26'!$G100+'[4]EMM Feb26'!$G108</f>
        <v>-11621.39</v>
      </c>
      <c r="I32" s="54">
        <f>'[4]EMM Mar26'!$G100+'[4]EMM Mar26'!$G108</f>
        <v>-9895.14</v>
      </c>
      <c r="J32" s="168">
        <f>'[4]EMM Apr26'!$G100+'[4]EMM Apr26'!$G108</f>
        <v>-9244.76</v>
      </c>
      <c r="K32" s="116">
        <f t="shared" ref="K32:M32" si="9">ROUND(K25*$N32,2)</f>
        <v>-10654.84</v>
      </c>
      <c r="L32" s="40">
        <f t="shared" si="9"/>
        <v>-11747.01</v>
      </c>
      <c r="M32" s="60">
        <f t="shared" si="9"/>
        <v>-13067.91</v>
      </c>
      <c r="N32" s="71">
        <v>-6.9999999999999994E-5</v>
      </c>
      <c r="O32" s="38"/>
      <c r="P32" s="46">
        <f t="shared" si="7"/>
        <v>35469.759999999995</v>
      </c>
    </row>
    <row r="33" spans="1:18">
      <c r="A33" s="45" t="s">
        <v>94</v>
      </c>
      <c r="C33" s="327">
        <v>68707.740000000005</v>
      </c>
      <c r="D33" s="234"/>
      <c r="E33" s="105">
        <f>'[4]EMM Nov25'!$G101+'[4]EMM Nov25'!$G109</f>
        <v>-22545.67</v>
      </c>
      <c r="F33" s="105">
        <f>'[4]EMM Dec25'!$G101+'[4]EMM Dec25'!$G109</f>
        <v>-23075.47</v>
      </c>
      <c r="G33" s="105">
        <f>'[4]EMM Jan26'!$G101+'[4]EMM Jan26'!$G109</f>
        <v>-14506.41</v>
      </c>
      <c r="H33" s="174">
        <f>'[4]EMM Feb26'!$G101+'[4]EMM Feb26'!$G109</f>
        <v>-11042.87</v>
      </c>
      <c r="I33" s="54">
        <f>'[4]EMM Mar26'!$G101+'[4]EMM Mar26'!$G109</f>
        <v>-7500.2999999999993</v>
      </c>
      <c r="J33" s="168">
        <f>'[4]EMM Apr26'!$G101+'[4]EMM Apr26'!$G109</f>
        <v>-12540.24</v>
      </c>
      <c r="K33" s="116">
        <f t="shared" ref="K33:M33" si="10">ROUND(K26*$N33,2)</f>
        <v>-11625.02</v>
      </c>
      <c r="L33" s="40">
        <f t="shared" si="10"/>
        <v>-12816.63</v>
      </c>
      <c r="M33" s="60">
        <f t="shared" si="10"/>
        <v>-14257.81</v>
      </c>
      <c r="N33" s="71">
        <v>-3.3E-4</v>
      </c>
      <c r="O33" s="38"/>
      <c r="P33" s="46">
        <f t="shared" si="7"/>
        <v>38699.46</v>
      </c>
    </row>
    <row r="34" spans="1:18">
      <c r="C34" s="66"/>
      <c r="D34" s="67"/>
      <c r="E34" s="17"/>
      <c r="F34" s="17"/>
      <c r="G34" s="17"/>
      <c r="H34" s="89"/>
      <c r="I34" s="17"/>
      <c r="J34" s="10"/>
      <c r="K34" s="55"/>
      <c r="L34" s="55"/>
      <c r="M34" s="12"/>
      <c r="N34" s="4"/>
    </row>
    <row r="35" spans="1:18" ht="15.75" thickBot="1">
      <c r="A35" s="45" t="s">
        <v>12</v>
      </c>
      <c r="C35" s="329">
        <v>-13077.939999999999</v>
      </c>
      <c r="D35" s="238"/>
      <c r="E35" s="108">
        <f>6901.96-0.01</f>
        <v>6901.95</v>
      </c>
      <c r="F35" s="108">
        <v>5792.2300000000005</v>
      </c>
      <c r="G35" s="109">
        <f>4743.97+0.01</f>
        <v>4743.9800000000005</v>
      </c>
      <c r="H35" s="25">
        <f>3844.17+0.01</f>
        <v>3844.1800000000003</v>
      </c>
      <c r="I35" s="115">
        <f>3364.32+0.02</f>
        <v>3364.34</v>
      </c>
      <c r="J35" s="169">
        <v>3034.7999999999997</v>
      </c>
      <c r="K35" s="167">
        <f>ROUND((SUM(J45:J49)+SUM(J53:J57)+SUM(K38:K42)/2)*K$51,2)</f>
        <v>2793.26</v>
      </c>
      <c r="L35" s="134">
        <f>ROUND((SUM(K45:K49)+SUM(K53:K57)+SUM(L38:L42)/2)*L$51,2)</f>
        <v>2507.36</v>
      </c>
      <c r="M35" s="79"/>
      <c r="P35" s="46">
        <f t="shared" ref="P35" si="11">-SUM(K35:M35)</f>
        <v>-5300.6200000000008</v>
      </c>
      <c r="R35" s="292"/>
    </row>
    <row r="36" spans="1:18">
      <c r="C36" s="97"/>
      <c r="D36" s="142"/>
      <c r="E36" s="30"/>
      <c r="F36" s="30"/>
      <c r="G36" s="30"/>
      <c r="H36" s="27"/>
      <c r="I36" s="30"/>
      <c r="J36" s="10"/>
      <c r="K36" s="16"/>
      <c r="L36" s="16"/>
      <c r="M36" s="10"/>
    </row>
    <row r="37" spans="1:18">
      <c r="A37" s="45" t="s">
        <v>46</v>
      </c>
      <c r="C37" s="97"/>
      <c r="D37" s="142"/>
      <c r="E37" s="30"/>
      <c r="F37" s="30"/>
      <c r="G37" s="30"/>
      <c r="H37" s="27"/>
      <c r="I37" s="30"/>
      <c r="J37" s="10"/>
      <c r="K37" s="16"/>
      <c r="L37" s="16"/>
      <c r="M37" s="10"/>
    </row>
    <row r="38" spans="1:18">
      <c r="A38" s="45" t="s">
        <v>22</v>
      </c>
      <c r="C38" s="39">
        <f t="shared" ref="C38:M38" si="12">C15-C29</f>
        <v>391470.55</v>
      </c>
      <c r="D38" s="116">
        <f>D15-D29</f>
        <v>0</v>
      </c>
      <c r="E38" s="40">
        <f t="shared" si="12"/>
        <v>-92755.319999999992</v>
      </c>
      <c r="F38" s="40">
        <f t="shared" si="12"/>
        <v>-138957.01999999999</v>
      </c>
      <c r="G38" s="104">
        <f t="shared" si="12"/>
        <v>-139820.85</v>
      </c>
      <c r="H38" s="39">
        <f t="shared" si="12"/>
        <v>-120339.48000000001</v>
      </c>
      <c r="I38" s="40">
        <f t="shared" si="12"/>
        <v>-44755.64</v>
      </c>
      <c r="J38" s="60">
        <f t="shared" si="12"/>
        <v>-38555.620000000003</v>
      </c>
      <c r="K38" s="116">
        <f t="shared" si="12"/>
        <v>-35855.94</v>
      </c>
      <c r="L38" s="40">
        <f t="shared" si="12"/>
        <v>-48369.59</v>
      </c>
      <c r="M38" s="48">
        <f t="shared" si="12"/>
        <v>-69157.990000000005</v>
      </c>
    </row>
    <row r="39" spans="1:18">
      <c r="A39" s="45" t="s">
        <v>91</v>
      </c>
      <c r="C39" s="39">
        <f t="shared" ref="C39:M39" si="13">C16-C30</f>
        <v>115464.13</v>
      </c>
      <c r="D39" s="116">
        <f>D16-D30</f>
        <v>0</v>
      </c>
      <c r="E39" s="40">
        <f t="shared" si="13"/>
        <v>-36611.589999999997</v>
      </c>
      <c r="F39" s="40">
        <f t="shared" si="13"/>
        <v>-44343.87</v>
      </c>
      <c r="G39" s="104">
        <f t="shared" si="13"/>
        <v>-43456.27</v>
      </c>
      <c r="H39" s="39">
        <f t="shared" si="13"/>
        <v>-35700.469999999994</v>
      </c>
      <c r="I39" s="40">
        <f t="shared" si="13"/>
        <v>-14175.69</v>
      </c>
      <c r="J39" s="60">
        <f t="shared" si="13"/>
        <v>-12951.29</v>
      </c>
      <c r="K39" s="116">
        <f t="shared" si="13"/>
        <v>-15394.72</v>
      </c>
      <c r="L39" s="40">
        <f t="shared" si="13"/>
        <v>-16972.75</v>
      </c>
      <c r="M39" s="48">
        <f t="shared" si="13"/>
        <v>-18881.25</v>
      </c>
    </row>
    <row r="40" spans="1:18">
      <c r="A40" s="45" t="s">
        <v>92</v>
      </c>
      <c r="C40" s="39">
        <f t="shared" ref="C40:M40" si="14">C17-C31</f>
        <v>258137.65</v>
      </c>
      <c r="D40" s="116">
        <f t="shared" ref="D40" si="15">D17-D31</f>
        <v>0</v>
      </c>
      <c r="E40" s="40">
        <f t="shared" si="14"/>
        <v>-75290.100000000006</v>
      </c>
      <c r="F40" s="40">
        <f t="shared" si="14"/>
        <v>-88270.670000000013</v>
      </c>
      <c r="G40" s="104">
        <f t="shared" si="14"/>
        <v>-85664.41</v>
      </c>
      <c r="H40" s="39">
        <f t="shared" si="14"/>
        <v>-71513.16</v>
      </c>
      <c r="I40" s="40">
        <f t="shared" si="14"/>
        <v>-30224</v>
      </c>
      <c r="J40" s="60">
        <f t="shared" si="14"/>
        <v>-29796.97</v>
      </c>
      <c r="K40" s="116">
        <f t="shared" si="14"/>
        <v>-36340.74</v>
      </c>
      <c r="L40" s="40">
        <f t="shared" si="14"/>
        <v>-40065.82</v>
      </c>
      <c r="M40" s="48">
        <f t="shared" si="14"/>
        <v>-44571.03</v>
      </c>
    </row>
    <row r="41" spans="1:18">
      <c r="A41" s="45" t="s">
        <v>93</v>
      </c>
      <c r="C41" s="39">
        <f t="shared" ref="C41:M41" si="16">C18-C32</f>
        <v>-35869.43</v>
      </c>
      <c r="D41" s="116">
        <f t="shared" ref="D41" si="17">D18-D32</f>
        <v>0</v>
      </c>
      <c r="E41" s="40">
        <f t="shared" si="16"/>
        <v>10617.88</v>
      </c>
      <c r="F41" s="40">
        <f t="shared" si="16"/>
        <v>10273.119999999999</v>
      </c>
      <c r="G41" s="104">
        <f t="shared" si="16"/>
        <v>11697.42</v>
      </c>
      <c r="H41" s="39">
        <f t="shared" si="16"/>
        <v>11621.39</v>
      </c>
      <c r="I41" s="40">
        <f t="shared" si="16"/>
        <v>9895.14</v>
      </c>
      <c r="J41" s="60">
        <f t="shared" si="16"/>
        <v>9244.76</v>
      </c>
      <c r="K41" s="116">
        <f t="shared" si="16"/>
        <v>10654.84</v>
      </c>
      <c r="L41" s="40">
        <f t="shared" si="16"/>
        <v>11747.01</v>
      </c>
      <c r="M41" s="48">
        <f t="shared" si="16"/>
        <v>13067.91</v>
      </c>
    </row>
    <row r="42" spans="1:18">
      <c r="A42" s="45" t="s">
        <v>94</v>
      </c>
      <c r="C42" s="39">
        <f t="shared" ref="C42:M42" si="18">C19-C33</f>
        <v>-68707.740000000005</v>
      </c>
      <c r="D42" s="116">
        <f t="shared" ref="D42" si="19">D19-D33</f>
        <v>0</v>
      </c>
      <c r="E42" s="40">
        <f t="shared" si="18"/>
        <v>22545.67</v>
      </c>
      <c r="F42" s="40">
        <f t="shared" si="18"/>
        <v>22769.690000000002</v>
      </c>
      <c r="G42" s="104">
        <f t="shared" si="18"/>
        <v>14506.41</v>
      </c>
      <c r="H42" s="39">
        <f t="shared" si="18"/>
        <v>11042.87</v>
      </c>
      <c r="I42" s="40">
        <f t="shared" si="18"/>
        <v>7500.2999999999993</v>
      </c>
      <c r="J42" s="60">
        <f t="shared" si="18"/>
        <v>12540.24</v>
      </c>
      <c r="K42" s="116">
        <f t="shared" si="18"/>
        <v>11625.02</v>
      </c>
      <c r="L42" s="40">
        <f t="shared" si="18"/>
        <v>12816.63</v>
      </c>
      <c r="M42" s="48">
        <f t="shared" si="18"/>
        <v>14257.81</v>
      </c>
    </row>
    <row r="43" spans="1:18">
      <c r="C43" s="97"/>
      <c r="D43" s="142"/>
      <c r="E43" s="30"/>
      <c r="F43" s="30"/>
      <c r="G43" s="30"/>
      <c r="H43" s="27"/>
      <c r="I43" s="30"/>
      <c r="J43" s="10"/>
      <c r="K43" s="16"/>
      <c r="L43" s="16"/>
      <c r="M43" s="10"/>
    </row>
    <row r="44" spans="1:18" ht="15.75" thickBot="1">
      <c r="A44" s="45" t="s">
        <v>47</v>
      </c>
      <c r="B44" s="38"/>
      <c r="C44" s="101"/>
      <c r="D44" s="239"/>
      <c r="E44" s="30"/>
      <c r="F44" s="30"/>
      <c r="G44" s="30"/>
      <c r="H44" s="27"/>
      <c r="I44" s="30"/>
      <c r="J44" s="10"/>
      <c r="K44" s="16"/>
      <c r="L44" s="16"/>
      <c r="M44" s="10"/>
    </row>
    <row r="45" spans="1:18">
      <c r="A45" s="45" t="s">
        <v>22</v>
      </c>
      <c r="B45" s="269">
        <v>643081.56999999855</v>
      </c>
      <c r="C45" s="40">
        <f t="shared" ref="C45:M45" si="20">B45+C38+B53</f>
        <v>1034552.1199999985</v>
      </c>
      <c r="D45" s="40">
        <f t="shared" ref="D45:D49" si="21">C45+D38+C53</f>
        <v>1026464.7399999985</v>
      </c>
      <c r="E45" s="40">
        <f t="shared" ref="E45:E49" si="22">D45+E38+D53</f>
        <v>933709.41999999853</v>
      </c>
      <c r="F45" s="40">
        <f t="shared" si="20"/>
        <v>798993.90999999852</v>
      </c>
      <c r="G45" s="104">
        <f t="shared" si="20"/>
        <v>662774.6199999986</v>
      </c>
      <c r="H45" s="39">
        <f t="shared" si="20"/>
        <v>545426.68999999866</v>
      </c>
      <c r="I45" s="40">
        <f t="shared" si="20"/>
        <v>503140.26999999862</v>
      </c>
      <c r="J45" s="60">
        <f t="shared" si="20"/>
        <v>466771.87999999861</v>
      </c>
      <c r="K45" s="116">
        <f t="shared" si="20"/>
        <v>432893.07999999862</v>
      </c>
      <c r="L45" s="40">
        <f t="shared" si="20"/>
        <v>386357.32999999862</v>
      </c>
      <c r="M45" s="48">
        <f t="shared" si="20"/>
        <v>318869.32999999862</v>
      </c>
    </row>
    <row r="46" spans="1:18">
      <c r="A46" s="45" t="s">
        <v>91</v>
      </c>
      <c r="B46" s="271">
        <v>199610.17783979789</v>
      </c>
      <c r="C46" s="40">
        <f t="shared" ref="C46:M46" si="23">B46+C39+B54</f>
        <v>315074.30783979793</v>
      </c>
      <c r="D46" s="40">
        <f t="shared" si="21"/>
        <v>312651.9678397979</v>
      </c>
      <c r="E46" s="40">
        <f t="shared" si="22"/>
        <v>276040.37783979787</v>
      </c>
      <c r="F46" s="40">
        <f t="shared" si="23"/>
        <v>232970.34783979788</v>
      </c>
      <c r="G46" s="104">
        <f t="shared" si="23"/>
        <v>190572.15783979787</v>
      </c>
      <c r="H46" s="39">
        <f t="shared" si="23"/>
        <v>155738.50783979788</v>
      </c>
      <c r="I46" s="40">
        <f t="shared" si="23"/>
        <v>142270.59783979788</v>
      </c>
      <c r="J46" s="60">
        <f t="shared" si="23"/>
        <v>129940.94783979787</v>
      </c>
      <c r="K46" s="116">
        <f t="shared" si="23"/>
        <v>115101.13783979787</v>
      </c>
      <c r="L46" s="40">
        <f t="shared" si="23"/>
        <v>98627.907839797874</v>
      </c>
      <c r="M46" s="48">
        <f t="shared" si="23"/>
        <v>80182.377839797875</v>
      </c>
    </row>
    <row r="47" spans="1:18">
      <c r="A47" s="45" t="s">
        <v>92</v>
      </c>
      <c r="B47" s="271">
        <v>504285.41000000073</v>
      </c>
      <c r="C47" s="40">
        <f t="shared" ref="C47:M47" si="24">B47+C40+B55</f>
        <v>762423.06000000075</v>
      </c>
      <c r="D47" s="40">
        <f t="shared" si="21"/>
        <v>756502.06000000075</v>
      </c>
      <c r="E47" s="40">
        <f t="shared" si="22"/>
        <v>681211.96000000078</v>
      </c>
      <c r="F47" s="40">
        <f t="shared" si="24"/>
        <v>596052.28000000073</v>
      </c>
      <c r="G47" s="104">
        <f t="shared" si="24"/>
        <v>513042.73000000068</v>
      </c>
      <c r="H47" s="39">
        <f t="shared" si="24"/>
        <v>443799.21000000066</v>
      </c>
      <c r="I47" s="40">
        <f t="shared" si="24"/>
        <v>415530.52000000066</v>
      </c>
      <c r="J47" s="60">
        <f t="shared" si="24"/>
        <v>387525.91000000061</v>
      </c>
      <c r="K47" s="116">
        <f t="shared" si="24"/>
        <v>352822.1400000006</v>
      </c>
      <c r="L47" s="40">
        <f t="shared" si="24"/>
        <v>314265.43000000058</v>
      </c>
      <c r="M47" s="48">
        <f t="shared" si="24"/>
        <v>271054.25000000058</v>
      </c>
    </row>
    <row r="48" spans="1:18">
      <c r="A48" s="45" t="s">
        <v>93</v>
      </c>
      <c r="B48" s="271">
        <v>-148982.05999999976</v>
      </c>
      <c r="C48" s="40">
        <f t="shared" ref="C48:M48" si="25">B48+C41+B56</f>
        <v>-184851.48999999976</v>
      </c>
      <c r="D48" s="40">
        <f t="shared" si="21"/>
        <v>-183341.31999999975</v>
      </c>
      <c r="E48" s="40">
        <f t="shared" si="22"/>
        <v>-172723.43999999974</v>
      </c>
      <c r="F48" s="40">
        <f t="shared" si="25"/>
        <v>-163220.78999999975</v>
      </c>
      <c r="G48" s="104">
        <f t="shared" si="25"/>
        <v>-152221.54999999973</v>
      </c>
      <c r="H48" s="39">
        <f t="shared" si="25"/>
        <v>-141245.55999999974</v>
      </c>
      <c r="I48" s="40">
        <f t="shared" si="25"/>
        <v>-131950.01999999976</v>
      </c>
      <c r="J48" s="60">
        <f t="shared" si="25"/>
        <v>-123275.02999999977</v>
      </c>
      <c r="K48" s="116">
        <f t="shared" si="25"/>
        <v>-113140.44999999976</v>
      </c>
      <c r="L48" s="40">
        <f t="shared" si="25"/>
        <v>-101875.33999999976</v>
      </c>
      <c r="M48" s="48">
        <f t="shared" si="25"/>
        <v>-89245.729999999763</v>
      </c>
    </row>
    <row r="49" spans="1:16" ht="15.75" thickBot="1">
      <c r="A49" s="45" t="s">
        <v>94</v>
      </c>
      <c r="B49" s="270">
        <v>-164829.90783979668</v>
      </c>
      <c r="C49" s="40">
        <f>B49+C42+B57</f>
        <v>-233537.64783979667</v>
      </c>
      <c r="D49" s="40">
        <f t="shared" si="21"/>
        <v>-231695.05783979667</v>
      </c>
      <c r="E49" s="40">
        <f t="shared" si="22"/>
        <v>-209149.38783979666</v>
      </c>
      <c r="F49" s="40">
        <f t="shared" ref="F49:M49" si="26">E49+F42+E57</f>
        <v>-187333.61783979667</v>
      </c>
      <c r="G49" s="104">
        <f t="shared" si="26"/>
        <v>-173651.29783979667</v>
      </c>
      <c r="H49" s="39">
        <f t="shared" si="26"/>
        <v>-163347.05783979667</v>
      </c>
      <c r="I49" s="40">
        <f t="shared" si="26"/>
        <v>-156535.28783979669</v>
      </c>
      <c r="J49" s="60">
        <f t="shared" si="26"/>
        <v>-144662.16783979669</v>
      </c>
      <c r="K49" s="116">
        <f t="shared" si="26"/>
        <v>-133651.10783979669</v>
      </c>
      <c r="L49" s="40">
        <f t="shared" si="26"/>
        <v>-121401.78783979669</v>
      </c>
      <c r="M49" s="48">
        <f t="shared" si="26"/>
        <v>-107663.87783979668</v>
      </c>
    </row>
    <row r="50" spans="1:16">
      <c r="C50" s="97"/>
      <c r="D50" s="142"/>
      <c r="E50" s="30"/>
      <c r="F50" s="30"/>
      <c r="G50" s="30"/>
      <c r="H50" s="27"/>
      <c r="I50" s="30"/>
      <c r="J50" s="10"/>
      <c r="K50" s="16"/>
      <c r="L50" s="16"/>
      <c r="M50" s="10"/>
    </row>
    <row r="51" spans="1:16">
      <c r="A51" s="38" t="s">
        <v>43</v>
      </c>
      <c r="B51" s="38"/>
      <c r="C51" s="101"/>
      <c r="D51" s="239"/>
      <c r="E51" s="81">
        <f>+'[5]Metro ST Rate Nov25'!$E$42</f>
        <v>4.3276900000000004E-3</v>
      </c>
      <c r="F51" s="81">
        <f>+'[5]Metro ST Rate Dec25'!$E$43</f>
        <v>4.1470099999999996E-3</v>
      </c>
      <c r="G51" s="81">
        <f>+'[5]Metro ST Rate Jan26'!$E$43</f>
        <v>4.0829999999999998E-3</v>
      </c>
      <c r="H51" s="82">
        <f>+'[5]Metro ST Rate Feb26'!$E$40</f>
        <v>4.0773399999999996E-3</v>
      </c>
      <c r="I51" s="81">
        <f>+'[5]Metro ST Rate Mar26'!$E$43</f>
        <v>4.1620499999999996E-3</v>
      </c>
      <c r="J51" s="90">
        <f>+'[5]Metro ST Rate Apr26'!$E$42</f>
        <v>4.0677700000000001E-3</v>
      </c>
      <c r="K51" s="81">
        <f>+J51</f>
        <v>4.0677700000000001E-3</v>
      </c>
      <c r="L51" s="81">
        <f>+K51</f>
        <v>4.0677700000000001E-3</v>
      </c>
      <c r="M51" s="90"/>
      <c r="N51" s="38"/>
    </row>
    <row r="52" spans="1:16">
      <c r="A52" s="38" t="s">
        <v>31</v>
      </c>
      <c r="B52" s="38"/>
      <c r="C52" s="97"/>
      <c r="D52" s="142"/>
      <c r="E52" s="30"/>
      <c r="F52" s="30"/>
      <c r="G52" s="30"/>
      <c r="H52" s="27"/>
      <c r="I52" s="30"/>
      <c r="J52" s="10"/>
      <c r="K52" s="16"/>
      <c r="L52" s="16"/>
      <c r="M52" s="10"/>
      <c r="N52" s="70"/>
    </row>
    <row r="53" spans="1:16">
      <c r="A53" s="45" t="s">
        <v>22</v>
      </c>
      <c r="C53" s="330">
        <v>-8087.3799999999992</v>
      </c>
      <c r="D53" s="116"/>
      <c r="E53" s="40">
        <f>ROUND((C45+C53+D53+E38/2)*E$51,2)</f>
        <v>4241.51</v>
      </c>
      <c r="F53" s="40">
        <f t="shared" ref="F53:L57" si="27">ROUND((E45+E53+F38/2)*F$51,2)</f>
        <v>3601.56</v>
      </c>
      <c r="G53" s="104">
        <f t="shared" si="27"/>
        <v>2991.55</v>
      </c>
      <c r="H53" s="39">
        <f t="shared" si="27"/>
        <v>2469.2199999999998</v>
      </c>
      <c r="I53" s="116">
        <f t="shared" si="27"/>
        <v>2187.23</v>
      </c>
      <c r="J53" s="60">
        <f t="shared" si="27"/>
        <v>1977.14</v>
      </c>
      <c r="K53" s="116">
        <f t="shared" si="27"/>
        <v>1833.84</v>
      </c>
      <c r="L53" s="116">
        <f t="shared" si="27"/>
        <v>1669.99</v>
      </c>
      <c r="M53" s="48"/>
      <c r="P53" s="46">
        <f t="shared" ref="P53:P57" si="28">-SUM(K53:M53)</f>
        <v>-3503.83</v>
      </c>
    </row>
    <row r="54" spans="1:16">
      <c r="A54" s="45" t="s">
        <v>91</v>
      </c>
      <c r="C54" s="331">
        <v>-2422.34</v>
      </c>
      <c r="D54" s="240"/>
      <c r="E54" s="40">
        <f>ROUND((C46+C54+D54+E39/2)*E$51,2)</f>
        <v>1273.8399999999999</v>
      </c>
      <c r="F54" s="40">
        <f t="shared" si="27"/>
        <v>1058.08</v>
      </c>
      <c r="G54" s="104">
        <f t="shared" si="27"/>
        <v>866.82</v>
      </c>
      <c r="H54" s="39">
        <f t="shared" si="27"/>
        <v>707.78</v>
      </c>
      <c r="I54" s="116">
        <f t="shared" si="27"/>
        <v>621.64</v>
      </c>
      <c r="J54" s="60">
        <f t="shared" si="27"/>
        <v>554.91</v>
      </c>
      <c r="K54" s="116">
        <f t="shared" si="27"/>
        <v>499.52</v>
      </c>
      <c r="L54" s="116">
        <f t="shared" si="27"/>
        <v>435.72</v>
      </c>
      <c r="M54" s="48"/>
      <c r="P54" s="46">
        <f t="shared" si="28"/>
        <v>-935.24</v>
      </c>
    </row>
    <row r="55" spans="1:16">
      <c r="A55" s="45" t="s">
        <v>92</v>
      </c>
      <c r="C55" s="331">
        <v>-5921</v>
      </c>
      <c r="D55" s="240"/>
      <c r="E55" s="40">
        <f>ROUND((C47+C55+D55+E40/2)*E$51,2)</f>
        <v>3110.99</v>
      </c>
      <c r="F55" s="40">
        <f t="shared" si="27"/>
        <v>2654.86</v>
      </c>
      <c r="G55" s="104">
        <f t="shared" si="27"/>
        <v>2269.64</v>
      </c>
      <c r="H55" s="39">
        <f t="shared" si="27"/>
        <v>1955.31</v>
      </c>
      <c r="I55" s="116">
        <f t="shared" si="27"/>
        <v>1792.36</v>
      </c>
      <c r="J55" s="60">
        <f t="shared" si="27"/>
        <v>1636.97</v>
      </c>
      <c r="K55" s="116">
        <f t="shared" si="27"/>
        <v>1509.11</v>
      </c>
      <c r="L55" s="116">
        <f t="shared" si="27"/>
        <v>1359.85</v>
      </c>
      <c r="M55" s="48"/>
      <c r="P55" s="46">
        <f t="shared" si="28"/>
        <v>-2868.96</v>
      </c>
    </row>
    <row r="56" spans="1:16">
      <c r="A56" s="45" t="s">
        <v>93</v>
      </c>
      <c r="C56" s="331">
        <v>1510.17</v>
      </c>
      <c r="D56" s="240"/>
      <c r="E56" s="40">
        <f>ROUND((C48+C56+D56+E41/2)*E$51,2)</f>
        <v>-770.47</v>
      </c>
      <c r="F56" s="40">
        <f t="shared" si="27"/>
        <v>-698.18</v>
      </c>
      <c r="G56" s="104">
        <f t="shared" si="27"/>
        <v>-645.4</v>
      </c>
      <c r="H56" s="39">
        <f t="shared" si="27"/>
        <v>-599.6</v>
      </c>
      <c r="I56" s="116">
        <f t="shared" si="27"/>
        <v>-569.77</v>
      </c>
      <c r="J56" s="60">
        <f t="shared" si="27"/>
        <v>-520.26</v>
      </c>
      <c r="K56" s="116">
        <f t="shared" si="27"/>
        <v>-481.9</v>
      </c>
      <c r="L56" s="116">
        <f t="shared" si="27"/>
        <v>-438.3</v>
      </c>
      <c r="M56" s="48"/>
      <c r="P56" s="46">
        <f t="shared" si="28"/>
        <v>920.2</v>
      </c>
    </row>
    <row r="57" spans="1:16" ht="15.75" thickBot="1">
      <c r="A57" s="45" t="s">
        <v>94</v>
      </c>
      <c r="C57" s="332">
        <v>1842.5900000000001</v>
      </c>
      <c r="D57" s="240"/>
      <c r="E57" s="40">
        <f>ROUND((C49+C57+D57+E42/2)*E$51,2)</f>
        <v>-953.92</v>
      </c>
      <c r="F57" s="40">
        <f t="shared" si="27"/>
        <v>-824.09</v>
      </c>
      <c r="G57" s="104">
        <f t="shared" si="27"/>
        <v>-738.63</v>
      </c>
      <c r="H57" s="39">
        <f t="shared" si="27"/>
        <v>-688.53</v>
      </c>
      <c r="I57" s="116">
        <f t="shared" si="27"/>
        <v>-667.12</v>
      </c>
      <c r="J57" s="60">
        <f t="shared" si="27"/>
        <v>-613.96</v>
      </c>
      <c r="K57" s="116">
        <f t="shared" si="27"/>
        <v>-567.30999999999995</v>
      </c>
      <c r="L57" s="116">
        <f t="shared" si="27"/>
        <v>-519.9</v>
      </c>
      <c r="M57" s="48"/>
      <c r="N57" s="268"/>
      <c r="O57" s="268"/>
      <c r="P57" s="46">
        <f t="shared" si="28"/>
        <v>1087.21</v>
      </c>
    </row>
    <row r="58" spans="1:16" ht="16.5" thickTop="1" thickBot="1">
      <c r="A58" s="53" t="s">
        <v>20</v>
      </c>
      <c r="B58" s="53"/>
      <c r="C58" s="110">
        <v>0</v>
      </c>
      <c r="D58" s="241"/>
      <c r="E58" s="31">
        <f t="shared" ref="E58:M58" si="29">SUM(E53:E57)+SUM(E45:E49)-E61</f>
        <v>0</v>
      </c>
      <c r="F58" s="31">
        <f t="shared" si="29"/>
        <v>0</v>
      </c>
      <c r="G58" s="49">
        <f t="shared" si="29"/>
        <v>0</v>
      </c>
      <c r="H58" s="117">
        <f t="shared" si="29"/>
        <v>0</v>
      </c>
      <c r="I58" s="31">
        <f t="shared" si="29"/>
        <v>0</v>
      </c>
      <c r="J58" s="61">
        <f t="shared" si="29"/>
        <v>0</v>
      </c>
      <c r="K58" s="155">
        <f t="shared" si="29"/>
        <v>0</v>
      </c>
      <c r="L58" s="31">
        <f t="shared" si="29"/>
        <v>0</v>
      </c>
      <c r="M58" s="94">
        <f t="shared" si="29"/>
        <v>0</v>
      </c>
    </row>
    <row r="59" spans="1:16" ht="16.5" thickTop="1" thickBot="1">
      <c r="A59" s="53" t="s">
        <v>21</v>
      </c>
      <c r="B59" s="53"/>
      <c r="C59" s="103">
        <v>0</v>
      </c>
      <c r="D59" s="242"/>
      <c r="E59" s="31">
        <f t="shared" ref="E59:J59" si="30">SUM(E53:E57)-E35</f>
        <v>0</v>
      </c>
      <c r="F59" s="31">
        <f t="shared" si="30"/>
        <v>0</v>
      </c>
      <c r="G59" s="49">
        <f t="shared" ref="G59:I59" si="31">SUM(G53:G57)-G35</f>
        <v>0</v>
      </c>
      <c r="H59" s="50">
        <f t="shared" si="31"/>
        <v>0</v>
      </c>
      <c r="I59" s="31">
        <f t="shared" si="31"/>
        <v>0</v>
      </c>
      <c r="J59" s="61">
        <f t="shared" si="30"/>
        <v>0</v>
      </c>
      <c r="K59" s="155">
        <f t="shared" ref="K59:M59" si="32">SUM(K53:K57)-K35</f>
        <v>0</v>
      </c>
      <c r="L59" s="31">
        <f t="shared" si="32"/>
        <v>0</v>
      </c>
      <c r="M59" s="94">
        <f t="shared" si="32"/>
        <v>0</v>
      </c>
    </row>
    <row r="60" spans="1:16" ht="16.5" thickTop="1" thickBot="1">
      <c r="C60" s="97"/>
      <c r="D60" s="142"/>
      <c r="E60" s="16"/>
      <c r="F60" s="16"/>
      <c r="G60" s="16"/>
      <c r="H60" s="9"/>
      <c r="I60" s="16"/>
      <c r="J60" s="10"/>
      <c r="K60" s="16"/>
      <c r="L60" s="16"/>
      <c r="M60" s="10"/>
    </row>
    <row r="61" spans="1:16" ht="15.75" thickBot="1">
      <c r="A61" s="45" t="s">
        <v>30</v>
      </c>
      <c r="B61" s="112">
        <f>SUM(B45:B49)</f>
        <v>1033165.1900000006</v>
      </c>
      <c r="C61" s="39">
        <f>(SUM(C15:C19)-SUM(C29:C33))+SUM(C53:C57)+B61</f>
        <v>1680582.3900000006</v>
      </c>
      <c r="D61" s="40">
        <f>(SUM(D15:D19)-SUM(D29:D33))+SUM(D53:D57)+C61</f>
        <v>1680582.3900000006</v>
      </c>
      <c r="E61" s="40">
        <f>(SUM(E15:E19)-SUM(E29:E33))+SUM(D53:E57)+C61</f>
        <v>1515990.8800000006</v>
      </c>
      <c r="F61" s="40">
        <f t="shared" ref="F61:M61" si="33">(SUM(F15:F19)-SUM(F29:F33))+SUM(F53:F57)+E61</f>
        <v>1283254.3600000006</v>
      </c>
      <c r="G61" s="104">
        <f t="shared" si="33"/>
        <v>1045260.6400000006</v>
      </c>
      <c r="H61" s="39">
        <f t="shared" si="33"/>
        <v>844215.97000000055</v>
      </c>
      <c r="I61" s="40">
        <f t="shared" si="33"/>
        <v>775820.42000000051</v>
      </c>
      <c r="J61" s="60">
        <f t="shared" si="33"/>
        <v>719336.34000000055</v>
      </c>
      <c r="K61" s="116">
        <f t="shared" si="33"/>
        <v>656818.06000000052</v>
      </c>
      <c r="L61" s="40">
        <f t="shared" si="33"/>
        <v>578480.90000000049</v>
      </c>
      <c r="M61" s="60">
        <f t="shared" si="33"/>
        <v>473196.35000000044</v>
      </c>
    </row>
    <row r="62" spans="1:16">
      <c r="A62" s="45" t="s">
        <v>10</v>
      </c>
      <c r="C62" s="113"/>
      <c r="D62" s="16"/>
      <c r="E62" s="55"/>
      <c r="F62" s="55"/>
      <c r="G62" s="55"/>
      <c r="H62" s="11"/>
      <c r="I62" s="55"/>
      <c r="J62" s="10"/>
      <c r="K62" s="16"/>
      <c r="L62" s="16"/>
      <c r="M62" s="10"/>
    </row>
    <row r="63" spans="1:16" ht="15.75" thickBot="1">
      <c r="B63" s="16"/>
      <c r="C63" s="42"/>
      <c r="D63" s="43"/>
      <c r="E63" s="43"/>
      <c r="F63" s="43"/>
      <c r="G63" s="43"/>
      <c r="H63" s="42"/>
      <c r="I63" s="43"/>
      <c r="J63" s="44"/>
      <c r="K63" s="43"/>
      <c r="L63" s="43"/>
      <c r="M63" s="44"/>
    </row>
    <row r="64" spans="1:16">
      <c r="D64" s="46"/>
    </row>
    <row r="65" spans="1:13">
      <c r="A65" s="68" t="s">
        <v>9</v>
      </c>
      <c r="B65" s="68"/>
      <c r="C65" s="68"/>
      <c r="D65" s="68"/>
    </row>
    <row r="66" spans="1:13" ht="49.5" customHeight="1">
      <c r="A66" s="360" t="s">
        <v>253</v>
      </c>
      <c r="B66" s="360"/>
      <c r="C66" s="360"/>
      <c r="D66" s="360"/>
      <c r="E66" s="360"/>
      <c r="F66" s="360"/>
      <c r="G66" s="360"/>
      <c r="H66" s="360"/>
      <c r="I66" s="360"/>
      <c r="J66" s="360"/>
      <c r="K66" s="213"/>
      <c r="L66" s="213"/>
      <c r="M66" s="213"/>
    </row>
    <row r="67" spans="1:13" ht="59.25" customHeight="1">
      <c r="A67" s="360" t="s">
        <v>279</v>
      </c>
      <c r="B67" s="360"/>
      <c r="C67" s="360"/>
      <c r="D67" s="360"/>
      <c r="E67" s="360"/>
      <c r="F67" s="360"/>
      <c r="G67" s="360"/>
      <c r="H67" s="360"/>
      <c r="I67" s="360"/>
      <c r="J67" s="360"/>
      <c r="K67" s="213"/>
      <c r="L67" s="213"/>
      <c r="M67" s="213"/>
    </row>
    <row r="68" spans="1:13" ht="63.75" customHeight="1">
      <c r="A68" s="360" t="s">
        <v>239</v>
      </c>
      <c r="B68" s="360"/>
      <c r="C68" s="360"/>
      <c r="D68" s="360"/>
      <c r="E68" s="360"/>
      <c r="F68" s="360"/>
      <c r="G68" s="360"/>
      <c r="H68" s="360"/>
      <c r="I68" s="360"/>
      <c r="J68" s="360"/>
      <c r="K68" s="213"/>
      <c r="L68" s="213"/>
      <c r="M68" s="213"/>
    </row>
    <row r="69" spans="1:13">
      <c r="A69" s="360" t="s">
        <v>190</v>
      </c>
      <c r="B69" s="360"/>
      <c r="C69" s="360"/>
      <c r="D69" s="360"/>
      <c r="E69" s="360"/>
      <c r="F69" s="360"/>
      <c r="G69" s="360"/>
      <c r="H69" s="360"/>
      <c r="I69" s="360"/>
      <c r="J69" s="360"/>
    </row>
    <row r="70" spans="1:13">
      <c r="A70" s="62" t="s">
        <v>237</v>
      </c>
      <c r="B70" s="62"/>
      <c r="C70" s="62"/>
      <c r="D70" s="62"/>
      <c r="E70" s="38"/>
      <c r="F70" s="38"/>
      <c r="G70" s="38"/>
      <c r="H70" s="38"/>
      <c r="I70" s="38"/>
      <c r="J70" s="286"/>
    </row>
    <row r="71" spans="1:13">
      <c r="A71" s="62" t="s">
        <v>45</v>
      </c>
      <c r="B71" s="62"/>
      <c r="C71" s="62"/>
      <c r="D71" s="62"/>
      <c r="E71" s="38"/>
      <c r="F71" s="38"/>
      <c r="G71" s="38"/>
      <c r="H71" s="38"/>
      <c r="I71" s="38"/>
      <c r="J71" s="286"/>
    </row>
    <row r="72" spans="1:13">
      <c r="A72" s="346"/>
      <c r="B72" s="38"/>
      <c r="C72" s="38"/>
      <c r="D72" s="38"/>
      <c r="E72" s="38"/>
      <c r="F72" s="38"/>
      <c r="G72" s="38"/>
      <c r="H72" s="38"/>
      <c r="I72" s="38"/>
      <c r="J72" s="38"/>
    </row>
    <row r="73" spans="1:13" ht="33.75" customHeight="1">
      <c r="A73" s="361"/>
      <c r="B73" s="361"/>
      <c r="C73" s="361"/>
      <c r="D73" s="361"/>
      <c r="E73" s="361"/>
      <c r="F73" s="361"/>
      <c r="G73" s="361"/>
    </row>
    <row r="75" spans="1:13" ht="31.5" customHeight="1">
      <c r="A75" s="361"/>
      <c r="B75" s="361"/>
      <c r="C75" s="361"/>
      <c r="D75" s="361"/>
      <c r="E75" s="361"/>
      <c r="F75" s="361"/>
      <c r="G75" s="361"/>
    </row>
    <row r="81" spans="14:14">
      <c r="N81" s="7"/>
    </row>
  </sheetData>
  <mergeCells count="9">
    <mergeCell ref="K11:M11"/>
    <mergeCell ref="A66:J66"/>
    <mergeCell ref="A67:J67"/>
    <mergeCell ref="A75:G75"/>
    <mergeCell ref="A73:G73"/>
    <mergeCell ref="A68:J68"/>
    <mergeCell ref="E11:G11"/>
    <mergeCell ref="H11:J11"/>
    <mergeCell ref="A69:J69"/>
  </mergeCells>
  <pageMargins left="0.2" right="0.2" top="0.75" bottom="0.25" header="0.3" footer="0.3"/>
  <pageSetup scale="42" orientation="landscape" r:id="rId1"/>
  <headerFooter>
    <oddHeader>&amp;C&amp;F &amp;A&amp;R&amp;"Arial"&amp;10&amp;K000000CONFIDENTIAL</oddHeader>
    <oddFooter>&amp;R&amp;1#&amp;"Calibri"&amp;10&amp;KA80000Internal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04F8D-5DDA-4043-8094-E35F198FC98E}">
  <sheetPr codeName="Sheet11">
    <pageSetUpPr fitToPage="1"/>
  </sheetPr>
  <dimension ref="A1:AJ81"/>
  <sheetViews>
    <sheetView zoomScale="85" zoomScaleNormal="85" workbookViewId="0"/>
  </sheetViews>
  <sheetFormatPr defaultColWidth="9.140625" defaultRowHeight="15" outlineLevelCol="1"/>
  <cols>
    <col min="1" max="1" width="54.5703125" style="45" customWidth="1"/>
    <col min="2" max="2" width="14.7109375" style="45" customWidth="1"/>
    <col min="3" max="3" width="15" style="45" customWidth="1"/>
    <col min="4" max="4" width="15" style="45" hidden="1" customWidth="1" outlineLevel="1"/>
    <col min="5" max="5" width="15.28515625" style="45" customWidth="1" collapsed="1"/>
    <col min="6" max="6" width="15.85546875" style="45" customWidth="1"/>
    <col min="7" max="7" width="17.5703125" style="45" customWidth="1"/>
    <col min="8" max="9" width="13.28515625" style="45" customWidth="1"/>
    <col min="10" max="10" width="15.7109375" style="45" customWidth="1"/>
    <col min="11" max="12" width="12.5703125" style="45" bestFit="1" customWidth="1"/>
    <col min="13" max="13" width="14.42578125" style="45" customWidth="1"/>
    <col min="14" max="14" width="15" style="45" bestFit="1" customWidth="1"/>
    <col min="15" max="15" width="16.28515625" style="45" bestFit="1" customWidth="1"/>
    <col min="16" max="16" width="16.28515625" style="45" hidden="1" customWidth="1" outlineLevel="1"/>
    <col min="17" max="17" width="16.140625" style="45" customWidth="1" collapsed="1"/>
    <col min="18" max="18" width="17.28515625" style="45" bestFit="1" customWidth="1"/>
    <col min="19" max="19" width="17.42578125" style="45" customWidth="1"/>
    <col min="20" max="20" width="15.5703125" style="45" customWidth="1"/>
    <col min="21" max="21" width="13" style="45" customWidth="1"/>
    <col min="22" max="22" width="9.140625" style="45"/>
    <col min="23" max="23" width="14.28515625" style="45" bestFit="1" customWidth="1"/>
    <col min="24" max="16384" width="9.140625" style="45"/>
  </cols>
  <sheetData>
    <row r="1" spans="1:36">
      <c r="A1" s="62" t="str">
        <f>'PTD Cycle 3'!A1</f>
        <v>Evergy Metro, Inc. - DSIM Rider Update Filed 06/01/2026</v>
      </c>
      <c r="B1" s="3"/>
      <c r="C1" s="3"/>
      <c r="D1" s="3"/>
    </row>
    <row r="2" spans="1:36">
      <c r="E2" s="3" t="s">
        <v>189</v>
      </c>
    </row>
    <row r="3" spans="1:36" ht="30">
      <c r="E3" s="47" t="s">
        <v>40</v>
      </c>
      <c r="F3" s="47" t="s">
        <v>39</v>
      </c>
      <c r="G3" s="69" t="s">
        <v>0</v>
      </c>
      <c r="H3" s="47" t="s">
        <v>1</v>
      </c>
      <c r="I3" s="69" t="s">
        <v>49</v>
      </c>
      <c r="J3" s="47" t="s">
        <v>8</v>
      </c>
      <c r="K3" s="47" t="s">
        <v>2</v>
      </c>
    </row>
    <row r="4" spans="1:36">
      <c r="A4" s="19" t="s">
        <v>22</v>
      </c>
      <c r="E4" s="21">
        <f>SUM(C29:M29)</f>
        <v>1951102.1699999997</v>
      </c>
      <c r="F4" s="130">
        <f>SUM(C22:M22)</f>
        <v>1247127982.5125189</v>
      </c>
      <c r="G4" s="21">
        <f>SUM(C15:L15)</f>
        <v>1912510.65</v>
      </c>
      <c r="H4" s="21">
        <f>G4-E4</f>
        <v>-38591.519999999786</v>
      </c>
      <c r="I4" s="21">
        <f>+B45</f>
        <v>-2168332.2299999995</v>
      </c>
      <c r="J4" s="21">
        <f>SUM(C53:L53)</f>
        <v>-55186.069999999992</v>
      </c>
      <c r="K4" s="24">
        <f>SUM(H4:J4)</f>
        <v>-2262109.8199999989</v>
      </c>
      <c r="L4" s="46">
        <f>+K4-M45</f>
        <v>0</v>
      </c>
    </row>
    <row r="5" spans="1:36">
      <c r="A5" s="19" t="s">
        <v>91</v>
      </c>
      <c r="E5" s="21">
        <f>SUM(C30:M30)</f>
        <v>1330874.96</v>
      </c>
      <c r="F5" s="130">
        <f>SUM(C23:M23)</f>
        <v>367769601.63789999</v>
      </c>
      <c r="G5" s="21">
        <f>SUM(C16:L16)</f>
        <v>88532.98000000004</v>
      </c>
      <c r="H5" s="21">
        <f>G5-E5</f>
        <v>-1242341.98</v>
      </c>
      <c r="I5" s="21">
        <f>+B46</f>
        <v>1094628.6000000001</v>
      </c>
      <c r="J5" s="21">
        <f>SUM(C54:L54)</f>
        <v>12069.81</v>
      </c>
      <c r="K5" s="24">
        <f>SUM(H5:J5)</f>
        <v>-135643.56999999989</v>
      </c>
      <c r="L5" s="46">
        <f t="shared" ref="L5:L7" si="0">+K5-M46</f>
        <v>0</v>
      </c>
    </row>
    <row r="6" spans="1:36">
      <c r="A6" s="19" t="s">
        <v>92</v>
      </c>
      <c r="E6" s="21">
        <f>SUM(C31:M31)</f>
        <v>2322052.2399999998</v>
      </c>
      <c r="F6" s="130">
        <f>SUM(C24:M24)</f>
        <v>550103233.50029993</v>
      </c>
      <c r="G6" s="21">
        <f>SUM(C17:L17)</f>
        <v>-272970.16000000027</v>
      </c>
      <c r="H6" s="21">
        <f>G6-E6</f>
        <v>-2595022.4</v>
      </c>
      <c r="I6" s="21">
        <f>+B47</f>
        <v>58875.019999999939</v>
      </c>
      <c r="J6" s="21">
        <f>SUM(C55:L55)</f>
        <v>-28621.199999999997</v>
      </c>
      <c r="K6" s="24">
        <f>SUM(H6:J6)</f>
        <v>-2564768.58</v>
      </c>
      <c r="L6" s="46">
        <f t="shared" si="0"/>
        <v>0</v>
      </c>
    </row>
    <row r="7" spans="1:36">
      <c r="A7" s="19" t="s">
        <v>93</v>
      </c>
      <c r="E7" s="21">
        <f>SUM(C32:M32)</f>
        <v>694964.86</v>
      </c>
      <c r="F7" s="130">
        <f>SUM(C25:M25)</f>
        <v>916346476.17599988</v>
      </c>
      <c r="G7" s="21">
        <f>SUM(C18:L18)</f>
        <v>2161824.9799999995</v>
      </c>
      <c r="H7" s="21">
        <f>G7-E7</f>
        <v>1466860.1199999996</v>
      </c>
      <c r="I7" s="21">
        <f>+B48</f>
        <v>-921924.09000000008</v>
      </c>
      <c r="J7" s="21">
        <f>SUM(C56:L56)</f>
        <v>-4554.2999999999993</v>
      </c>
      <c r="K7" s="24">
        <f>SUM(H7:J7)</f>
        <v>540381.72999999952</v>
      </c>
      <c r="L7" s="46">
        <f t="shared" si="0"/>
        <v>0</v>
      </c>
    </row>
    <row r="8" spans="1:36" ht="15.75" thickBot="1">
      <c r="A8" s="19" t="s">
        <v>94</v>
      </c>
      <c r="E8" s="21">
        <f>SUM(C33:M33)</f>
        <v>13267.239999999991</v>
      </c>
      <c r="F8" s="130">
        <f>SUM(C26:M26)</f>
        <v>186973982.48640001</v>
      </c>
      <c r="G8" s="21">
        <f>SUM(C19:L19)</f>
        <v>758028.3</v>
      </c>
      <c r="H8" s="21">
        <f>G8-E8</f>
        <v>744761.06</v>
      </c>
      <c r="I8" s="21">
        <f>+B49</f>
        <v>-432842.82</v>
      </c>
      <c r="J8" s="21">
        <f>SUM(C57:L57)</f>
        <v>-1836.7100000000005</v>
      </c>
      <c r="K8" s="24">
        <f>SUM(H8:J8)</f>
        <v>310081.53000000003</v>
      </c>
      <c r="L8" s="46">
        <f>+K8-M49</f>
        <v>0</v>
      </c>
    </row>
    <row r="9" spans="1:36" ht="16.5" thickTop="1" thickBot="1">
      <c r="E9" s="26">
        <f t="shared" ref="E9:I9" si="1">SUM(E4:E8)</f>
        <v>6312261.4699999997</v>
      </c>
      <c r="F9" s="26">
        <f t="shared" si="1"/>
        <v>3268321276.3131185</v>
      </c>
      <c r="G9" s="26">
        <f t="shared" si="1"/>
        <v>4647926.7499999991</v>
      </c>
      <c r="H9" s="26">
        <f t="shared" si="1"/>
        <v>-1664334.7199999997</v>
      </c>
      <c r="I9" s="26">
        <f t="shared" si="1"/>
        <v>-2369595.5199999996</v>
      </c>
      <c r="J9" s="26">
        <f>SUM(J4:J8)</f>
        <v>-78128.47</v>
      </c>
      <c r="K9" s="26">
        <f>SUM(K4:K8)</f>
        <v>-4112058.709999999</v>
      </c>
    </row>
    <row r="10" spans="1:36" ht="16.5" thickTop="1" thickBot="1">
      <c r="C10" s="38"/>
    </row>
    <row r="11" spans="1:36" ht="96.75" customHeight="1" thickBot="1">
      <c r="B11" s="347" t="s">
        <v>228</v>
      </c>
      <c r="C11" s="244" t="s">
        <v>273</v>
      </c>
      <c r="D11" s="244"/>
      <c r="E11" s="362" t="s">
        <v>28</v>
      </c>
      <c r="F11" s="362"/>
      <c r="G11" s="363"/>
      <c r="H11" s="364" t="s">
        <v>28</v>
      </c>
      <c r="I11" s="365"/>
      <c r="J11" s="366"/>
      <c r="K11" s="357" t="s">
        <v>6</v>
      </c>
      <c r="L11" s="358"/>
      <c r="M11" s="359"/>
      <c r="P11" s="260" t="s">
        <v>177</v>
      </c>
    </row>
    <row r="12" spans="1:36">
      <c r="C12" s="13"/>
      <c r="D12" s="18"/>
      <c r="E12" s="348">
        <v>45991</v>
      </c>
      <c r="F12" s="321">
        <f t="shared" ref="F12:M12" si="2">EOMONTH(E12,1)</f>
        <v>46022</v>
      </c>
      <c r="G12" s="321">
        <f t="shared" si="2"/>
        <v>46053</v>
      </c>
      <c r="H12" s="322">
        <f t="shared" si="2"/>
        <v>46081</v>
      </c>
      <c r="I12" s="321">
        <f t="shared" si="2"/>
        <v>46112</v>
      </c>
      <c r="J12" s="323">
        <f t="shared" si="2"/>
        <v>46142</v>
      </c>
      <c r="K12" s="321">
        <f t="shared" si="2"/>
        <v>46173</v>
      </c>
      <c r="L12" s="321">
        <f t="shared" si="2"/>
        <v>46203</v>
      </c>
      <c r="M12" s="14">
        <f t="shared" si="2"/>
        <v>46234</v>
      </c>
      <c r="AA12" s="1"/>
      <c r="AB12" s="1"/>
      <c r="AC12" s="1"/>
      <c r="AD12" s="1"/>
      <c r="AE12" s="1"/>
      <c r="AF12" s="1"/>
      <c r="AG12" s="1"/>
      <c r="AH12" s="1"/>
      <c r="AI12" s="1"/>
      <c r="AJ12" s="1"/>
    </row>
    <row r="13" spans="1:36">
      <c r="C13" s="96"/>
      <c r="D13" s="235"/>
      <c r="E13" s="235"/>
      <c r="F13" s="235"/>
      <c r="G13" s="235"/>
      <c r="H13" s="96"/>
      <c r="I13" s="235"/>
      <c r="J13" s="312"/>
      <c r="K13" s="235"/>
      <c r="L13" s="235"/>
      <c r="M13" s="28"/>
      <c r="P13" s="46"/>
    </row>
    <row r="14" spans="1:36">
      <c r="A14" s="45" t="s">
        <v>119</v>
      </c>
      <c r="C14" s="97"/>
      <c r="D14" s="318"/>
      <c r="E14" s="235"/>
      <c r="F14" s="235"/>
      <c r="G14" s="235"/>
      <c r="H14" s="96"/>
      <c r="I14" s="235"/>
      <c r="J14" s="345"/>
      <c r="K14" s="142"/>
      <c r="L14" s="142"/>
      <c r="M14" s="312"/>
      <c r="P14" s="46"/>
    </row>
    <row r="15" spans="1:36">
      <c r="A15" s="45" t="s">
        <v>22</v>
      </c>
      <c r="C15" s="95">
        <v>-1434872.41</v>
      </c>
      <c r="D15" s="234"/>
      <c r="E15" s="105">
        <f>'[6]Pivot - SI Project Metro'!$N$58</f>
        <v>342567.05</v>
      </c>
      <c r="F15" s="105">
        <f>+'[7]Pivot - SI Project Metro'!$N$58</f>
        <v>690682.32</v>
      </c>
      <c r="G15" s="105">
        <f>'[8]Pivot - SI Project Metro'!$N$58+'[9]Pivot - SI Project Metro'!$N$58</f>
        <v>484952.75</v>
      </c>
      <c r="H15" s="266">
        <f>+'[10]Pivot - SI Project Metro'!$N$58+'[11]Pivot - SI Project Metro'!$N$58</f>
        <v>-130763.42000000001</v>
      </c>
      <c r="I15" s="297">
        <f>+'[12]Pivot - SI Project Metro'!$N$58+'[13]Pivot - SI Project Metro'!$N$58</f>
        <v>443858.82</v>
      </c>
      <c r="J15" s="297">
        <f>+'[14]Pivot - SI Project Metro'!$N$58+'[15]Pivot - SI Project Metro'!$N$58</f>
        <v>551667.57999999996</v>
      </c>
      <c r="K15" s="267">
        <f>ROUND('[2]KCPL CONTRACT_DETAIL IMPORT'!W208,2)</f>
        <v>486143.32</v>
      </c>
      <c r="L15" s="132">
        <f>ROUND('[2]KCPL CONTRACT_DETAIL IMPORT'!X208,2)</f>
        <v>478274.64</v>
      </c>
      <c r="M15" s="74"/>
      <c r="P15" s="46">
        <f>-SUM(K15:M15)</f>
        <v>-964417.96</v>
      </c>
      <c r="R15" s="295"/>
      <c r="S15" s="287"/>
      <c r="T15" s="287"/>
      <c r="U15" s="295"/>
      <c r="V15" s="295"/>
    </row>
    <row r="16" spans="1:36">
      <c r="A16" s="45" t="s">
        <v>91</v>
      </c>
      <c r="C16" s="327">
        <v>-497286.74</v>
      </c>
      <c r="D16" s="234"/>
      <c r="E16" s="105">
        <f>'[6]Pivot - SI Project Metro'!$O$58</f>
        <v>228591.91</v>
      </c>
      <c r="F16" s="105">
        <f>+'[7]Pivot - SI Project Metro'!$O$58</f>
        <v>99470.93</v>
      </c>
      <c r="G16" s="105">
        <f>'[8]Pivot - SI Project Metro'!$O$58+'[9]Pivot - SI Project Metro'!$O$58</f>
        <v>-133952.06</v>
      </c>
      <c r="H16" s="266">
        <f>+'[10]Pivot - SI Project Metro'!$O$58+'[11]Pivot - SI Project Metro'!$O$58</f>
        <v>-65830.12</v>
      </c>
      <c r="I16" s="297">
        <f>+'[12]Pivot - SI Project Metro'!$O$58+'[13]Pivot - SI Project Metro'!$O$58</f>
        <v>-907.56999999999994</v>
      </c>
      <c r="J16" s="297">
        <f>+'[14]Pivot - SI Project Metro'!$O$58+'[15]Pivot - SI Project Metro'!$O$58</f>
        <v>300802.75</v>
      </c>
      <c r="K16" s="267">
        <f>ROUND('[2]KCPL CONTRACT_DETAIL IMPORT'!W209,2)</f>
        <v>79658.91</v>
      </c>
      <c r="L16" s="132">
        <f>ROUND('[2]KCPL CONTRACT_DETAIL IMPORT'!X209,2)</f>
        <v>77984.97</v>
      </c>
      <c r="M16" s="74"/>
      <c r="P16" s="46">
        <f t="shared" ref="P16:P19" si="3">-SUM(K16:M16)</f>
        <v>-157643.88</v>
      </c>
      <c r="Q16" s="232">
        <f>SUM(E16:J16)/SUM($E$16:$J$19)</f>
        <v>0.1802241720390243</v>
      </c>
      <c r="S16" s="287"/>
      <c r="T16" s="287"/>
    </row>
    <row r="17" spans="1:20">
      <c r="A17" s="45" t="s">
        <v>92</v>
      </c>
      <c r="C17" s="327">
        <v>-665932.81000000006</v>
      </c>
      <c r="D17" s="234"/>
      <c r="E17" s="105">
        <f>'[6]Pivot - SI Project Metro'!$P$58</f>
        <v>279442.39</v>
      </c>
      <c r="F17" s="105">
        <f>+'[7]Pivot - SI Project Metro'!$P$58</f>
        <v>305416.17</v>
      </c>
      <c r="G17" s="105">
        <f>'[8]Pivot - SI Project Metro'!$P$58+'[9]Pivot - SI Project Metro'!$P$58</f>
        <v>261364.52</v>
      </c>
      <c r="H17" s="266">
        <f>+'[10]Pivot - SI Project Metro'!$P$58+'[11]Pivot - SI Project Metro'!$P$58</f>
        <v>-1110361.6000000001</v>
      </c>
      <c r="I17" s="297">
        <f>+'[12]Pivot - SI Project Metro'!$P$58+'[13]Pivot - SI Project Metro'!$P$58</f>
        <v>38422.71</v>
      </c>
      <c r="J17" s="297">
        <f>+'[14]Pivot - SI Project Metro'!$P$58+'[15]Pivot - SI Project Metro'!$P$58</f>
        <v>95074.34</v>
      </c>
      <c r="K17" s="267">
        <f>ROUND('[2]KCPL CONTRACT_DETAIL IMPORT'!W210,2)</f>
        <v>150094.89000000001</v>
      </c>
      <c r="L17" s="132">
        <f>ROUND('[2]KCPL CONTRACT_DETAIL IMPORT'!X210,2)</f>
        <v>373509.23</v>
      </c>
      <c r="M17" s="74"/>
      <c r="P17" s="46">
        <f t="shared" si="3"/>
        <v>-523604.12</v>
      </c>
      <c r="Q17" s="232">
        <f t="shared" ref="Q17:Q19" si="4">SUM(E17:J17)/SUM($E$16:$J$19)</f>
        <v>-5.498850837709815E-2</v>
      </c>
      <c r="S17" s="287"/>
      <c r="T17" s="287"/>
    </row>
    <row r="18" spans="1:20">
      <c r="A18" s="45" t="s">
        <v>93</v>
      </c>
      <c r="C18" s="327">
        <v>-415803.78</v>
      </c>
      <c r="D18" s="234"/>
      <c r="E18" s="105">
        <f>'[6]Pivot - SI Project Metro'!$Q$58</f>
        <v>227328.76</v>
      </c>
      <c r="F18" s="105">
        <f>+'[7]Pivot - SI Project Metro'!$Q$58</f>
        <v>159072.91</v>
      </c>
      <c r="G18" s="105">
        <f>'[8]Pivot - SI Project Metro'!$Q$58+'[9]Pivot - SI Project Metro'!$Q$58</f>
        <v>40223.839999999997</v>
      </c>
      <c r="H18" s="266">
        <f>+'[10]Pivot - SI Project Metro'!$Q$58+'[11]Pivot - SI Project Metro'!$Q$58</f>
        <v>947558.53999999992</v>
      </c>
      <c r="I18" s="297">
        <f>+'[12]Pivot - SI Project Metro'!$Q$58+'[13]Pivot - SI Project Metro'!$Q$58</f>
        <v>71829.72</v>
      </c>
      <c r="J18" s="297">
        <f>+'[14]Pivot - SI Project Metro'!$Q$58+'[15]Pivot - SI Project Metro'!$Q$58</f>
        <v>148342.47999999998</v>
      </c>
      <c r="K18" s="267">
        <f>ROUND('[2]KCPL CONTRACT_DETAIL IMPORT'!W211,2)</f>
        <v>252451.29</v>
      </c>
      <c r="L18" s="132">
        <f>ROUND('[2]KCPL CONTRACT_DETAIL IMPORT'!X211,2)</f>
        <v>730821.22</v>
      </c>
      <c r="M18" s="74"/>
      <c r="P18" s="46">
        <f t="shared" si="3"/>
        <v>-983272.51</v>
      </c>
      <c r="Q18" s="232">
        <f t="shared" si="4"/>
        <v>0.67108301834940898</v>
      </c>
      <c r="S18" s="287"/>
      <c r="T18" s="287"/>
    </row>
    <row r="19" spans="1:20">
      <c r="A19" s="45" t="s">
        <v>94</v>
      </c>
      <c r="C19" s="327">
        <v>-70191.88</v>
      </c>
      <c r="D19" s="234"/>
      <c r="E19" s="105">
        <f>'[6]Pivot - SI Project Metro'!$R$58</f>
        <v>57196.88</v>
      </c>
      <c r="F19" s="105">
        <f>+'[7]Pivot - SI Project Metro'!$R$58</f>
        <v>24636.79</v>
      </c>
      <c r="G19" s="105">
        <f>'[8]Pivot - SI Project Metro'!$R$58+'[9]Pivot - SI Project Metro'!$R$58</f>
        <v>5927.64</v>
      </c>
      <c r="H19" s="266">
        <f>+'[10]Pivot - SI Project Metro'!$R$58+'[11]Pivot - SI Project Metro'!$R$58</f>
        <v>353728.23</v>
      </c>
      <c r="I19" s="297">
        <f>+'[12]Pivot - SI Project Metro'!$R$58+'[13]Pivot - SI Project Metro'!$R$58</f>
        <v>10607.49</v>
      </c>
      <c r="J19" s="297">
        <f>+'[14]Pivot - SI Project Metro'!$R$58+'[15]Pivot - SI Project Metro'!$R$58</f>
        <v>31808.2</v>
      </c>
      <c r="K19" s="267">
        <f>ROUND('[2]KCPL CONTRACT_DETAIL IMPORT'!W212,2)</f>
        <v>67322.52</v>
      </c>
      <c r="L19" s="132">
        <f>ROUND('[2]KCPL CONTRACT_DETAIL IMPORT'!X212,2)</f>
        <v>276992.43</v>
      </c>
      <c r="M19" s="74"/>
      <c r="P19" s="46">
        <f t="shared" si="3"/>
        <v>-344314.95</v>
      </c>
      <c r="Q19" s="232">
        <f t="shared" si="4"/>
        <v>0.20368131798866471</v>
      </c>
      <c r="S19" s="287"/>
      <c r="T19" s="287"/>
    </row>
    <row r="20" spans="1:20">
      <c r="C20" s="97"/>
      <c r="D20" s="142"/>
      <c r="E20" s="280"/>
      <c r="F20" s="280"/>
      <c r="G20" s="235"/>
      <c r="H20" s="96"/>
      <c r="I20" s="235"/>
      <c r="J20" s="235"/>
      <c r="K20" s="27"/>
      <c r="L20" s="16"/>
      <c r="M20" s="10"/>
    </row>
    <row r="21" spans="1:20">
      <c r="A21" s="38" t="s">
        <v>41</v>
      </c>
      <c r="B21" s="38"/>
      <c r="C21" s="99"/>
      <c r="D21" s="236"/>
      <c r="E21" s="235"/>
      <c r="F21" s="235"/>
      <c r="G21" s="235"/>
      <c r="H21" s="96"/>
      <c r="I21" s="235"/>
      <c r="J21" s="312"/>
      <c r="K21" s="142"/>
      <c r="L21" s="142"/>
      <c r="M21" s="312"/>
    </row>
    <row r="22" spans="1:20">
      <c r="A22" s="45" t="s">
        <v>22</v>
      </c>
      <c r="C22" s="328">
        <v>-686790444.84828138</v>
      </c>
      <c r="D22" s="237"/>
      <c r="E22" s="107">
        <f>'[4]EMM Nov25'!$G205</f>
        <v>162734059.22889999</v>
      </c>
      <c r="F22" s="107">
        <f>'[4]EMM Dec25'!$G205</f>
        <v>228627406.22139996</v>
      </c>
      <c r="G22" s="107">
        <f>'[4]EMM Jan26'!$G205</f>
        <v>245298082.39400011</v>
      </c>
      <c r="H22" s="313">
        <f>'[4]EMM Feb26'!$G205</f>
        <v>268605456.00260001</v>
      </c>
      <c r="I22" s="314">
        <f>'[4]EMM Mar26'!$G205</f>
        <v>193574517.22830001</v>
      </c>
      <c r="J22" s="170">
        <f>'[4]EMM Apr26'!$G205</f>
        <v>168194039.28560004</v>
      </c>
      <c r="K22" s="166">
        <f>'[1]KCPL Billed kWh Sales'!R29</f>
        <v>155895393</v>
      </c>
      <c r="L22" s="133">
        <f>'[1]KCPL Billed kWh Sales'!S29</f>
        <v>210302559</v>
      </c>
      <c r="M22" s="75">
        <f>'[1]KCPL Billed kWh Sales'!T29</f>
        <v>300686915</v>
      </c>
      <c r="P22" s="46">
        <f>-SUM(K22:M22)</f>
        <v>-666884867</v>
      </c>
    </row>
    <row r="23" spans="1:20">
      <c r="A23" s="45" t="s">
        <v>91</v>
      </c>
      <c r="C23" s="328">
        <v>-160366861</v>
      </c>
      <c r="D23" s="237"/>
      <c r="E23" s="107">
        <f>'[4]EMM Nov25'!$G206</f>
        <v>50829307.346099995</v>
      </c>
      <c r="F23" s="107">
        <f>'[4]EMM Dec25'!$G206</f>
        <v>60346672.082100026</v>
      </c>
      <c r="G23" s="107">
        <f>'[4]EMM Jan26'!$G206</f>
        <v>60355321.517299995</v>
      </c>
      <c r="H23" s="313">
        <f>'[4]EMM Feb26'!$G206</f>
        <v>63975683.882099986</v>
      </c>
      <c r="I23" s="314">
        <f>'[4]EMM Mar26'!$G206</f>
        <v>54065143.568999991</v>
      </c>
      <c r="J23" s="170">
        <f>'[4]EMM Apr26'!$G206</f>
        <v>48754256.241300024</v>
      </c>
      <c r="K23" s="166">
        <f>'[1]KCPL Billed kWh Sales'!R30</f>
        <v>57017488</v>
      </c>
      <c r="L23" s="133">
        <f>'[1]KCPL Billed kWh Sales'!S30</f>
        <v>62862021</v>
      </c>
      <c r="M23" s="75">
        <f>'[1]KCPL Billed kWh Sales'!T30</f>
        <v>69930569</v>
      </c>
      <c r="P23" s="46">
        <f t="shared" ref="P23:P26" si="5">-SUM(K23:M23)</f>
        <v>-189810078</v>
      </c>
    </row>
    <row r="24" spans="1:20">
      <c r="A24" s="45" t="s">
        <v>92</v>
      </c>
      <c r="C24" s="328">
        <v>-274614528</v>
      </c>
      <c r="D24" s="237"/>
      <c r="E24" s="107">
        <f>'[4]EMM Nov25'!$G207</f>
        <v>80268080.061399966</v>
      </c>
      <c r="F24" s="107">
        <f>'[4]EMM Dec25'!$G207</f>
        <v>91563681.871600002</v>
      </c>
      <c r="G24" s="107">
        <f>'[4]EMM Jan26'!$G207</f>
        <v>91133523.030600041</v>
      </c>
      <c r="H24" s="313">
        <f>'[4]EMM Feb26'!$G207</f>
        <v>95206410.949800014</v>
      </c>
      <c r="I24" s="314">
        <f>'[4]EMM Mar26'!$G207</f>
        <v>79942384.585599989</v>
      </c>
      <c r="J24" s="170">
        <f>'[4]EMM Apr26'!$G207</f>
        <v>76404738.001299992</v>
      </c>
      <c r="K24" s="166">
        <f>'[1]KCPL Billed kWh Sales'!R31</f>
        <v>93181377</v>
      </c>
      <c r="L24" s="133">
        <f>'[1]KCPL Billed kWh Sales'!S31</f>
        <v>102732862</v>
      </c>
      <c r="M24" s="75">
        <f>'[1]KCPL Billed kWh Sales'!T31</f>
        <v>114284704</v>
      </c>
      <c r="P24" s="46">
        <f t="shared" si="5"/>
        <v>-310198943</v>
      </c>
    </row>
    <row r="25" spans="1:20">
      <c r="A25" s="45" t="s">
        <v>93</v>
      </c>
      <c r="C25" s="328">
        <v>-448367872</v>
      </c>
      <c r="D25" s="237"/>
      <c r="E25" s="107">
        <f>'[4]EMM Nov25'!$G208</f>
        <v>132723559.21120001</v>
      </c>
      <c r="F25" s="107">
        <f>'[4]EMM Dec25'!$G208</f>
        <v>153575926.29779994</v>
      </c>
      <c r="G25" s="107">
        <f>'[4]EMM Jan26'!$G208</f>
        <v>146216045.25309998</v>
      </c>
      <c r="H25" s="313">
        <f>'[4]EMM Feb26'!$G208</f>
        <v>152401897.12570003</v>
      </c>
      <c r="I25" s="314">
        <f>'[4]EMM Mar26'!$G208</f>
        <v>141085808.06309998</v>
      </c>
      <c r="J25" s="170">
        <f>'[4]EMM Apr26'!$G208</f>
        <v>132000198.2251</v>
      </c>
      <c r="K25" s="166">
        <f>'[1]KCPL Billed kWh Sales'!R32</f>
        <v>152212062</v>
      </c>
      <c r="L25" s="133">
        <f>'[1]KCPL Billed kWh Sales'!S32</f>
        <v>167814442</v>
      </c>
      <c r="M25" s="75">
        <f>'[1]KCPL Billed kWh Sales'!T32</f>
        <v>186684410</v>
      </c>
      <c r="P25" s="46">
        <f t="shared" si="5"/>
        <v>-506710914</v>
      </c>
    </row>
    <row r="26" spans="1:20">
      <c r="A26" s="45" t="s">
        <v>94</v>
      </c>
      <c r="C26" s="328">
        <v>-105704222</v>
      </c>
      <c r="D26" s="237"/>
      <c r="E26" s="107">
        <f>'[4]EMM Nov25'!$G209</f>
        <v>34685650.500599995</v>
      </c>
      <c r="F26" s="107">
        <f>'[4]EMM Dec25'!$G209</f>
        <v>35500721.634300001</v>
      </c>
      <c r="G26" s="107">
        <f>'[4]EMM Jan26'!$G209</f>
        <v>22317551.949500002</v>
      </c>
      <c r="H26" s="313">
        <f>'[4]EMM Feb26'!$G209</f>
        <v>20752875.676399998</v>
      </c>
      <c r="I26" s="314">
        <f>'[4]EMM Mar26'!$G209</f>
        <v>24144788.203200001</v>
      </c>
      <c r="J26" s="170">
        <f>'[4]EMM Apr26'!$G209</f>
        <v>38005533.522399999</v>
      </c>
      <c r="K26" s="166">
        <f>'[1]KCPL Billed kWh Sales'!R33</f>
        <v>35227331</v>
      </c>
      <c r="L26" s="133">
        <f>'[1]KCPL Billed kWh Sales'!S33</f>
        <v>38838282</v>
      </c>
      <c r="M26" s="75">
        <f>'[1]KCPL Billed kWh Sales'!T33</f>
        <v>43205470</v>
      </c>
      <c r="P26" s="46">
        <f t="shared" si="5"/>
        <v>-117271083</v>
      </c>
    </row>
    <row r="27" spans="1:20">
      <c r="C27" s="97"/>
      <c r="D27" s="142"/>
      <c r="E27" s="30"/>
      <c r="F27" s="30"/>
      <c r="G27" s="30"/>
      <c r="H27" s="27"/>
      <c r="I27" s="30"/>
      <c r="J27" s="10"/>
      <c r="K27" s="16"/>
      <c r="L27" s="16"/>
      <c r="M27" s="10"/>
    </row>
    <row r="28" spans="1:20">
      <c r="A28" s="45" t="s">
        <v>29</v>
      </c>
      <c r="C28" s="97"/>
      <c r="D28" s="142"/>
      <c r="E28" s="236"/>
      <c r="F28" s="236"/>
      <c r="G28" s="236"/>
      <c r="H28" s="99"/>
      <c r="I28" s="236"/>
      <c r="J28" s="349"/>
      <c r="K28" s="56"/>
      <c r="L28" s="56"/>
      <c r="M28" s="57"/>
      <c r="N28" s="62" t="s">
        <v>44</v>
      </c>
      <c r="O28" s="38"/>
      <c r="P28" s="38"/>
    </row>
    <row r="29" spans="1:20">
      <c r="A29" s="45" t="s">
        <v>22</v>
      </c>
      <c r="C29" s="327">
        <v>-1366712.99</v>
      </c>
      <c r="D29" s="234"/>
      <c r="E29" s="105">
        <f>'[4]EMM Nov25'!$G145+'[4]EMM Nov25'!$G153</f>
        <v>323850.62</v>
      </c>
      <c r="F29" s="105">
        <f>'[4]EMM Dec25'!$G145+'[4]EMM Dec25'!$G153</f>
        <v>454970.57999999996</v>
      </c>
      <c r="G29" s="105">
        <f>'[4]EMM Jan26'!$G145+'[4]EMM Jan26'!$G153</f>
        <v>498594.83</v>
      </c>
      <c r="H29" s="174">
        <f>'[4]EMM Feb26'!$G145+'[4]EMM Feb26'!$G153</f>
        <v>486639.58999999997</v>
      </c>
      <c r="I29" s="54">
        <f>'[4]EMM Mar26'!$G145+'[4]EMM Mar26'!$G153</f>
        <v>292728.81</v>
      </c>
      <c r="J29" s="168">
        <f>'[4]EMM Apr26'!$G145+'[4]EMM Apr26'!$G153</f>
        <v>254034.59</v>
      </c>
      <c r="K29" s="116">
        <f>ROUND(K22*$N29,2)</f>
        <v>235402.04</v>
      </c>
      <c r="L29" s="40">
        <f t="shared" ref="L29:M29" si="6">ROUND(L22*$N29,2)</f>
        <v>317556.86</v>
      </c>
      <c r="M29" s="60">
        <f t="shared" si="6"/>
        <v>454037.24</v>
      </c>
      <c r="N29" s="71">
        <v>1.5100000000000001E-3</v>
      </c>
      <c r="O29" s="38"/>
      <c r="P29" s="46">
        <f>-SUM(K29:M29)</f>
        <v>-1006996.14</v>
      </c>
    </row>
    <row r="30" spans="1:20">
      <c r="A30" s="45" t="s">
        <v>91</v>
      </c>
      <c r="C30" s="327">
        <v>-208476.91999999998</v>
      </c>
      <c r="D30" s="234"/>
      <c r="E30" s="105">
        <f>'[4]EMM Nov25'!$G146+'[4]EMM Nov25'!$G154</f>
        <v>66067.28</v>
      </c>
      <c r="F30" s="105">
        <f>'[4]EMM Dec25'!$G146+'[4]EMM Dec25'!$G154</f>
        <v>78337.210000000006</v>
      </c>
      <c r="G30" s="105">
        <f>'[4]EMM Jan26'!$G146+'[4]EMM Jan26'!$G154</f>
        <v>78444.670000000013</v>
      </c>
      <c r="H30" s="174">
        <f>'[4]EMM Feb26'!$G146+'[4]EMM Feb26'!$G154</f>
        <v>145117.04</v>
      </c>
      <c r="I30" s="54">
        <f>'[4]EMM Mar26'!$G146+'[4]EMM Mar26'!$G154</f>
        <v>218276.7</v>
      </c>
      <c r="J30" s="168">
        <f>'[4]EMM Apr26'!$G146+'[4]EMM Apr26'!$G154</f>
        <v>195766.77</v>
      </c>
      <c r="K30" s="116">
        <f t="shared" ref="K30:M30" si="7">ROUND(K23*$N30,2)</f>
        <v>227499.78</v>
      </c>
      <c r="L30" s="40">
        <f t="shared" si="7"/>
        <v>250819.46</v>
      </c>
      <c r="M30" s="60">
        <f t="shared" si="7"/>
        <v>279022.96999999997</v>
      </c>
      <c r="N30" s="71">
        <v>3.9900000000000005E-3</v>
      </c>
      <c r="O30" s="38"/>
      <c r="P30" s="46">
        <f t="shared" ref="P30:P33" si="8">-SUM(K30:M30)</f>
        <v>-757342.21</v>
      </c>
    </row>
    <row r="31" spans="1:20">
      <c r="A31" s="45" t="s">
        <v>92</v>
      </c>
      <c r="C31" s="327">
        <v>-856797.33000000007</v>
      </c>
      <c r="D31" s="234"/>
      <c r="E31" s="105">
        <f>'[4]EMM Nov25'!$G147+'[4]EMM Nov25'!$G155</f>
        <v>249899.23</v>
      </c>
      <c r="F31" s="105">
        <f>'[4]EMM Dec25'!$G147+'[4]EMM Dec25'!$G155</f>
        <v>285680.62</v>
      </c>
      <c r="G31" s="105">
        <f>'[4]EMM Jan26'!$G147+'[4]EMM Jan26'!$G155</f>
        <v>284338.76</v>
      </c>
      <c r="H31" s="174">
        <f>'[4]EMM Feb26'!$G147+'[4]EMM Feb26'!$G155</f>
        <v>336681.61000000004</v>
      </c>
      <c r="I31" s="54">
        <f>'[4]EMM Mar26'!$G147+'[4]EMM Mar26'!$G155</f>
        <v>348253.51</v>
      </c>
      <c r="J31" s="168">
        <f>'[4]EMM Apr26'!$G147+'[4]EMM Apr26'!$G155</f>
        <v>330834.42</v>
      </c>
      <c r="K31" s="116">
        <f t="shared" ref="K31:M31" si="9">ROUND(K24*$N31,2)</f>
        <v>403475.36</v>
      </c>
      <c r="L31" s="40">
        <f t="shared" si="9"/>
        <v>444833.29</v>
      </c>
      <c r="M31" s="60">
        <f t="shared" si="9"/>
        <v>494852.77</v>
      </c>
      <c r="N31" s="71">
        <v>4.3299999999999996E-3</v>
      </c>
      <c r="O31" s="38"/>
      <c r="P31" s="46">
        <f t="shared" si="8"/>
        <v>-1343161.42</v>
      </c>
    </row>
    <row r="32" spans="1:20">
      <c r="A32" s="45" t="s">
        <v>93</v>
      </c>
      <c r="C32" s="327">
        <v>-690486.53</v>
      </c>
      <c r="D32" s="234"/>
      <c r="E32" s="105">
        <f>'[4]EMM Nov25'!$G148+'[4]EMM Nov25'!$G156</f>
        <v>204394.31</v>
      </c>
      <c r="F32" s="105">
        <f>'[4]EMM Dec25'!$G148+'[4]EMM Dec25'!$G156</f>
        <v>236506.88000000003</v>
      </c>
      <c r="G32" s="105">
        <f>'[4]EMM Jan26'!$G148+'[4]EMM Jan26'!$G156</f>
        <v>225172.94</v>
      </c>
      <c r="H32" s="174">
        <f>'[4]EMM Feb26'!$G148+'[4]EMM Feb26'!$G156</f>
        <v>185641.41</v>
      </c>
      <c r="I32" s="54">
        <f>'[4]EMM Mar26'!$G148+'[4]EMM Mar26'!$G156</f>
        <v>99004.479999999996</v>
      </c>
      <c r="J32" s="168">
        <f>'[4]EMM Apr26'!$G148+'[4]EMM Apr26'!$G156</f>
        <v>90167.950000000012</v>
      </c>
      <c r="K32" s="116">
        <f t="shared" ref="K32:M32" si="10">ROUND(K25*$N32,2)</f>
        <v>103504.2</v>
      </c>
      <c r="L32" s="40">
        <f t="shared" si="10"/>
        <v>114113.82</v>
      </c>
      <c r="M32" s="60">
        <f t="shared" si="10"/>
        <v>126945.4</v>
      </c>
      <c r="N32" s="71">
        <v>6.7999999999999994E-4</v>
      </c>
      <c r="O32" s="38"/>
      <c r="P32" s="46">
        <f t="shared" si="8"/>
        <v>-344563.42000000004</v>
      </c>
    </row>
    <row r="33" spans="1:16">
      <c r="A33" s="45" t="s">
        <v>94</v>
      </c>
      <c r="C33" s="327">
        <v>-239948.58000000002</v>
      </c>
      <c r="D33" s="234"/>
      <c r="E33" s="105">
        <f>'[4]EMM Nov25'!$G149+'[4]EMM Nov25'!$G157</f>
        <v>78736.39</v>
      </c>
      <c r="F33" s="105">
        <f>'[4]EMM Dec25'!$G149+'[4]EMM Dec25'!$G157</f>
        <v>80586.599999999991</v>
      </c>
      <c r="G33" s="105">
        <f>'[4]EMM Jan26'!$G149+'[4]EMM Jan26'!$G157</f>
        <v>50660.800000000003</v>
      </c>
      <c r="H33" s="174">
        <f>'[4]EMM Feb26'!$G149+'[4]EMM Feb26'!$G157</f>
        <v>30299.25</v>
      </c>
      <c r="I33" s="54">
        <f>'[4]EMM Mar26'!$G149+'[4]EMM Mar26'!$G157</f>
        <v>2074.3600000000006</v>
      </c>
      <c r="J33" s="168">
        <f>'[4]EMM Apr26'!$G149+'[4]EMM Apr26'!$G157</f>
        <v>2649.4499999999971</v>
      </c>
      <c r="K33" s="116">
        <f t="shared" ref="K33:M33" si="11">ROUND(K26*$N33,2)</f>
        <v>2465.91</v>
      </c>
      <c r="L33" s="40">
        <f t="shared" si="11"/>
        <v>2718.68</v>
      </c>
      <c r="M33" s="60">
        <f t="shared" si="11"/>
        <v>3024.38</v>
      </c>
      <c r="N33" s="71">
        <v>7.0000000000000075E-5</v>
      </c>
      <c r="O33" s="38"/>
      <c r="P33" s="46">
        <f t="shared" si="8"/>
        <v>-8208.9700000000012</v>
      </c>
    </row>
    <row r="34" spans="1:16">
      <c r="C34" s="66"/>
      <c r="D34" s="67"/>
      <c r="E34" s="17"/>
      <c r="F34" s="17"/>
      <c r="G34" s="17"/>
      <c r="H34" s="89"/>
      <c r="I34" s="17"/>
      <c r="J34" s="10"/>
      <c r="K34" s="55"/>
      <c r="L34" s="55"/>
      <c r="M34" s="12"/>
      <c r="N34" s="4"/>
    </row>
    <row r="35" spans="1:16" ht="15.75" thickBot="1">
      <c r="A35" s="45" t="s">
        <v>12</v>
      </c>
      <c r="C35" s="329">
        <v>14901.48</v>
      </c>
      <c r="D35" s="238"/>
      <c r="E35" s="108">
        <v>-8526.7099999999991</v>
      </c>
      <c r="F35" s="108">
        <f>-7469.21-0.01</f>
        <v>-7469.22</v>
      </c>
      <c r="G35" s="109">
        <v>-8069.3499999999985</v>
      </c>
      <c r="H35" s="25">
        <f>-11493.06-0.01</f>
        <v>-11493.07</v>
      </c>
      <c r="I35" s="115">
        <f>-15081.39+0.01</f>
        <v>-15081.38</v>
      </c>
      <c r="J35" s="169">
        <v>-15090.49</v>
      </c>
      <c r="K35" s="167">
        <f>ROUND((SUM(J45:J49)+SUM(J53:J57)+SUM(K38:K42)/2)*K$51,2)+0.01</f>
        <v>-14505.98</v>
      </c>
      <c r="L35" s="134">
        <f>ROUND((SUM(K45:K49)+SUM(K53:K57)+SUM(L38:L42)/2)*L$51,2)+0.01</f>
        <v>-12793.75</v>
      </c>
      <c r="M35" s="79"/>
      <c r="P35" s="46">
        <f t="shared" ref="P35" si="12">-SUM(K35:M35)</f>
        <v>27299.73</v>
      </c>
    </row>
    <row r="36" spans="1:16">
      <c r="C36" s="97"/>
      <c r="D36" s="142"/>
      <c r="E36" s="30"/>
      <c r="F36" s="30"/>
      <c r="G36" s="30"/>
      <c r="H36" s="27"/>
      <c r="I36" s="30"/>
      <c r="J36" s="10"/>
      <c r="K36" s="16"/>
      <c r="L36" s="16"/>
      <c r="M36" s="10"/>
    </row>
    <row r="37" spans="1:16">
      <c r="A37" s="45" t="s">
        <v>46</v>
      </c>
      <c r="C37" s="97"/>
      <c r="D37" s="142"/>
      <c r="E37" s="30"/>
      <c r="F37" s="30"/>
      <c r="G37" s="30"/>
      <c r="H37" s="27"/>
      <c r="I37" s="30"/>
      <c r="J37" s="10"/>
      <c r="K37" s="16"/>
      <c r="L37" s="16"/>
      <c r="M37" s="10"/>
    </row>
    <row r="38" spans="1:16">
      <c r="A38" s="45" t="s">
        <v>22</v>
      </c>
      <c r="C38" s="39">
        <f t="shared" ref="C38:M42" si="13">C15-C29</f>
        <v>-68159.419999999925</v>
      </c>
      <c r="D38" s="116">
        <f t="shared" si="13"/>
        <v>0</v>
      </c>
      <c r="E38" s="40">
        <f t="shared" si="13"/>
        <v>18716.429999999993</v>
      </c>
      <c r="F38" s="40">
        <f t="shared" si="13"/>
        <v>235711.74</v>
      </c>
      <c r="G38" s="104">
        <f t="shared" si="13"/>
        <v>-13642.080000000016</v>
      </c>
      <c r="H38" s="39">
        <f t="shared" si="13"/>
        <v>-617403.01</v>
      </c>
      <c r="I38" s="40">
        <f t="shared" si="13"/>
        <v>151130.01</v>
      </c>
      <c r="J38" s="60">
        <f t="shared" si="13"/>
        <v>297632.99</v>
      </c>
      <c r="K38" s="116">
        <f t="shared" si="13"/>
        <v>250741.28</v>
      </c>
      <c r="L38" s="40">
        <f t="shared" si="13"/>
        <v>160717.78000000003</v>
      </c>
      <c r="M38" s="48">
        <f t="shared" si="13"/>
        <v>-454037.24</v>
      </c>
    </row>
    <row r="39" spans="1:16">
      <c r="A39" s="45" t="s">
        <v>91</v>
      </c>
      <c r="C39" s="39">
        <f t="shared" si="13"/>
        <v>-288809.82</v>
      </c>
      <c r="D39" s="116">
        <f t="shared" si="13"/>
        <v>0</v>
      </c>
      <c r="E39" s="40">
        <f t="shared" si="13"/>
        <v>162524.63</v>
      </c>
      <c r="F39" s="40">
        <f t="shared" si="13"/>
        <v>21133.719999999987</v>
      </c>
      <c r="G39" s="104">
        <f t="shared" si="13"/>
        <v>-212396.73</v>
      </c>
      <c r="H39" s="39">
        <f t="shared" si="13"/>
        <v>-210947.16</v>
      </c>
      <c r="I39" s="40">
        <f t="shared" si="13"/>
        <v>-219184.27000000002</v>
      </c>
      <c r="J39" s="60">
        <f t="shared" si="13"/>
        <v>105035.98000000001</v>
      </c>
      <c r="K39" s="116">
        <f t="shared" si="13"/>
        <v>-147840.87</v>
      </c>
      <c r="L39" s="40">
        <f t="shared" si="13"/>
        <v>-172834.49</v>
      </c>
      <c r="M39" s="48">
        <f t="shared" si="13"/>
        <v>-279022.96999999997</v>
      </c>
    </row>
    <row r="40" spans="1:16">
      <c r="A40" s="45" t="s">
        <v>92</v>
      </c>
      <c r="C40" s="39">
        <f t="shared" si="13"/>
        <v>190864.52000000002</v>
      </c>
      <c r="D40" s="116">
        <f t="shared" si="13"/>
        <v>0</v>
      </c>
      <c r="E40" s="40">
        <f t="shared" si="13"/>
        <v>29543.160000000003</v>
      </c>
      <c r="F40" s="40">
        <f t="shared" si="13"/>
        <v>19735.549999999988</v>
      </c>
      <c r="G40" s="104">
        <f t="shared" si="13"/>
        <v>-22974.24000000002</v>
      </c>
      <c r="H40" s="39">
        <f t="shared" si="13"/>
        <v>-1447043.2100000002</v>
      </c>
      <c r="I40" s="40">
        <f t="shared" si="13"/>
        <v>-309830.8</v>
      </c>
      <c r="J40" s="60">
        <f t="shared" si="13"/>
        <v>-235760.08</v>
      </c>
      <c r="K40" s="116">
        <f t="shared" si="13"/>
        <v>-253380.46999999997</v>
      </c>
      <c r="L40" s="40">
        <f t="shared" si="13"/>
        <v>-71324.06</v>
      </c>
      <c r="M40" s="48">
        <f t="shared" si="13"/>
        <v>-494852.77</v>
      </c>
    </row>
    <row r="41" spans="1:16">
      <c r="A41" s="45" t="s">
        <v>93</v>
      </c>
      <c r="C41" s="39">
        <f t="shared" si="13"/>
        <v>274682.75</v>
      </c>
      <c r="D41" s="116">
        <f t="shared" si="13"/>
        <v>0</v>
      </c>
      <c r="E41" s="40">
        <f t="shared" si="13"/>
        <v>22934.450000000012</v>
      </c>
      <c r="F41" s="40">
        <f t="shared" si="13"/>
        <v>-77433.97000000003</v>
      </c>
      <c r="G41" s="104">
        <f t="shared" si="13"/>
        <v>-184949.1</v>
      </c>
      <c r="H41" s="39">
        <f t="shared" si="13"/>
        <v>761917.12999999989</v>
      </c>
      <c r="I41" s="40">
        <f t="shared" si="13"/>
        <v>-27174.759999999995</v>
      </c>
      <c r="J41" s="60">
        <f t="shared" si="13"/>
        <v>58174.52999999997</v>
      </c>
      <c r="K41" s="116">
        <f t="shared" si="13"/>
        <v>148947.09000000003</v>
      </c>
      <c r="L41" s="40">
        <f t="shared" si="13"/>
        <v>616707.39999999991</v>
      </c>
      <c r="M41" s="48">
        <f t="shared" si="13"/>
        <v>-126945.4</v>
      </c>
    </row>
    <row r="42" spans="1:16">
      <c r="A42" s="45" t="s">
        <v>94</v>
      </c>
      <c r="C42" s="39">
        <f t="shared" si="13"/>
        <v>169756.7</v>
      </c>
      <c r="D42" s="116">
        <f t="shared" si="13"/>
        <v>0</v>
      </c>
      <c r="E42" s="40">
        <f t="shared" si="13"/>
        <v>-21539.510000000002</v>
      </c>
      <c r="F42" s="40">
        <f t="shared" si="13"/>
        <v>-55949.80999999999</v>
      </c>
      <c r="G42" s="104">
        <f t="shared" si="13"/>
        <v>-44733.16</v>
      </c>
      <c r="H42" s="39">
        <f t="shared" si="13"/>
        <v>323428.98</v>
      </c>
      <c r="I42" s="40">
        <f t="shared" si="13"/>
        <v>8533.1299999999992</v>
      </c>
      <c r="J42" s="60">
        <f t="shared" si="13"/>
        <v>29158.750000000004</v>
      </c>
      <c r="K42" s="116">
        <f t="shared" si="13"/>
        <v>64856.61</v>
      </c>
      <c r="L42" s="40">
        <f t="shared" si="13"/>
        <v>274273.75</v>
      </c>
      <c r="M42" s="48">
        <f t="shared" si="13"/>
        <v>-3024.38</v>
      </c>
    </row>
    <row r="43" spans="1:16">
      <c r="C43" s="97"/>
      <c r="D43" s="142"/>
      <c r="E43" s="30"/>
      <c r="F43" s="30"/>
      <c r="G43" s="30"/>
      <c r="H43" s="27"/>
      <c r="I43" s="30"/>
      <c r="J43" s="10"/>
      <c r="K43" s="16"/>
      <c r="L43" s="16"/>
      <c r="M43" s="10"/>
    </row>
    <row r="44" spans="1:16" ht="15.75" thickBot="1">
      <c r="A44" s="45" t="s">
        <v>47</v>
      </c>
      <c r="B44" s="38"/>
      <c r="C44" s="101"/>
      <c r="D44" s="239"/>
      <c r="E44" s="30"/>
      <c r="F44" s="30"/>
      <c r="G44" s="30"/>
      <c r="H44" s="27"/>
      <c r="I44" s="30"/>
      <c r="J44" s="10"/>
      <c r="K44" s="16"/>
      <c r="L44" s="16"/>
      <c r="M44" s="10"/>
    </row>
    <row r="45" spans="1:16">
      <c r="A45" s="45" t="s">
        <v>22</v>
      </c>
      <c r="B45" s="269">
        <v>-2168332.2299999995</v>
      </c>
      <c r="C45" s="40">
        <f t="shared" ref="C45:M49" si="14">B45+C38+B53</f>
        <v>-2236491.6499999994</v>
      </c>
      <c r="D45" s="40">
        <f t="shared" si="14"/>
        <v>-2219600.4599999995</v>
      </c>
      <c r="E45" s="40">
        <f t="shared" si="14"/>
        <v>-2200884.0299999993</v>
      </c>
      <c r="F45" s="40">
        <f t="shared" si="14"/>
        <v>-1974737.5299999993</v>
      </c>
      <c r="G45" s="104">
        <f t="shared" si="14"/>
        <v>-1997057.6199999994</v>
      </c>
      <c r="H45" s="39">
        <f t="shared" si="14"/>
        <v>-2622586.7699999996</v>
      </c>
      <c r="I45" s="40">
        <f t="shared" si="14"/>
        <v>-2480891.2599999998</v>
      </c>
      <c r="J45" s="60">
        <f t="shared" si="14"/>
        <v>-2193898.3699999996</v>
      </c>
      <c r="K45" s="116">
        <f t="shared" si="14"/>
        <v>-1952686.7199999995</v>
      </c>
      <c r="L45" s="40">
        <f t="shared" si="14"/>
        <v>-1800421.9999999995</v>
      </c>
      <c r="M45" s="48">
        <f t="shared" si="14"/>
        <v>-2262109.8199999994</v>
      </c>
    </row>
    <row r="46" spans="1:16">
      <c r="A46" s="45" t="s">
        <v>91</v>
      </c>
      <c r="B46" s="271">
        <v>1094628.6000000001</v>
      </c>
      <c r="C46" s="40">
        <f t="shared" si="14"/>
        <v>805818.78</v>
      </c>
      <c r="D46" s="40">
        <f t="shared" si="14"/>
        <v>797597.62</v>
      </c>
      <c r="E46" s="40">
        <f t="shared" si="14"/>
        <v>960122.25</v>
      </c>
      <c r="F46" s="40">
        <f t="shared" si="14"/>
        <v>985059.4</v>
      </c>
      <c r="G46" s="104">
        <f t="shared" si="14"/>
        <v>776703.9</v>
      </c>
      <c r="H46" s="39">
        <f t="shared" si="14"/>
        <v>569361.63</v>
      </c>
      <c r="I46" s="40">
        <f t="shared" si="14"/>
        <v>352928.89</v>
      </c>
      <c r="J46" s="60">
        <f t="shared" si="14"/>
        <v>459889.91</v>
      </c>
      <c r="K46" s="116">
        <f t="shared" si="14"/>
        <v>313706.13999999996</v>
      </c>
      <c r="L46" s="40">
        <f t="shared" si="14"/>
        <v>142448.42999999996</v>
      </c>
      <c r="M46" s="48">
        <f t="shared" si="14"/>
        <v>-135643.57</v>
      </c>
    </row>
    <row r="47" spans="1:16">
      <c r="A47" s="45" t="s">
        <v>92</v>
      </c>
      <c r="B47" s="271">
        <v>58875.019999999939</v>
      </c>
      <c r="C47" s="40">
        <f t="shared" si="14"/>
        <v>249739.53999999995</v>
      </c>
      <c r="D47" s="40">
        <f t="shared" si="14"/>
        <v>247279.62999999995</v>
      </c>
      <c r="E47" s="40">
        <f t="shared" si="14"/>
        <v>276822.78999999992</v>
      </c>
      <c r="F47" s="40">
        <f t="shared" si="14"/>
        <v>297692.41999999993</v>
      </c>
      <c r="G47" s="104">
        <f t="shared" si="14"/>
        <v>275911.78999999992</v>
      </c>
      <c r="H47" s="39">
        <f t="shared" si="14"/>
        <v>-1169957.9700000004</v>
      </c>
      <c r="I47" s="40">
        <f t="shared" si="14"/>
        <v>-1481609.0400000005</v>
      </c>
      <c r="J47" s="60">
        <f t="shared" si="14"/>
        <v>-1722890.8900000006</v>
      </c>
      <c r="K47" s="116">
        <f t="shared" si="14"/>
        <v>-1982800.1700000006</v>
      </c>
      <c r="L47" s="40">
        <f t="shared" si="14"/>
        <v>-2061674.4600000007</v>
      </c>
      <c r="M47" s="48">
        <f t="shared" si="14"/>
        <v>-2564768.5800000005</v>
      </c>
    </row>
    <row r="48" spans="1:16">
      <c r="A48" s="45" t="s">
        <v>93</v>
      </c>
      <c r="B48" s="271">
        <v>-921924.09000000008</v>
      </c>
      <c r="C48" s="40">
        <f t="shared" si="14"/>
        <v>-647241.34000000008</v>
      </c>
      <c r="D48" s="40">
        <f t="shared" si="14"/>
        <v>-641254.65000000014</v>
      </c>
      <c r="E48" s="40">
        <f t="shared" si="14"/>
        <v>-618320.20000000019</v>
      </c>
      <c r="F48" s="40">
        <f t="shared" si="14"/>
        <v>-698479.69000000018</v>
      </c>
      <c r="G48" s="104">
        <f t="shared" si="14"/>
        <v>-886164.83000000019</v>
      </c>
      <c r="H48" s="39">
        <f t="shared" si="14"/>
        <v>-127488.3400000003</v>
      </c>
      <c r="I48" s="40">
        <f t="shared" si="14"/>
        <v>-156736.21000000028</v>
      </c>
      <c r="J48" s="60">
        <f t="shared" si="14"/>
        <v>-99157.470000000307</v>
      </c>
      <c r="K48" s="116">
        <f t="shared" si="14"/>
        <v>49267.949999999721</v>
      </c>
      <c r="L48" s="40">
        <f t="shared" si="14"/>
        <v>665872.8199999996</v>
      </c>
      <c r="M48" s="48">
        <f t="shared" si="14"/>
        <v>540381.72999999963</v>
      </c>
    </row>
    <row r="49" spans="1:16" ht="15.75" thickBot="1">
      <c r="A49" s="45" t="s">
        <v>94</v>
      </c>
      <c r="B49" s="270">
        <v>-432842.82</v>
      </c>
      <c r="C49" s="40">
        <f>B49+C42+B57</f>
        <v>-263086.12</v>
      </c>
      <c r="D49" s="40">
        <f t="shared" si="14"/>
        <v>-260381.44999999998</v>
      </c>
      <c r="E49" s="40">
        <f t="shared" si="14"/>
        <v>-281920.95999999996</v>
      </c>
      <c r="F49" s="40">
        <f t="shared" si="14"/>
        <v>-339044.23</v>
      </c>
      <c r="G49" s="104">
        <f t="shared" si="14"/>
        <v>-385067.4</v>
      </c>
      <c r="H49" s="39">
        <f t="shared" si="14"/>
        <v>-63119.330000000045</v>
      </c>
      <c r="I49" s="40">
        <f t="shared" si="14"/>
        <v>-55502.920000000049</v>
      </c>
      <c r="J49" s="60">
        <f t="shared" si="14"/>
        <v>-26592.930000000044</v>
      </c>
      <c r="K49" s="116">
        <f t="shared" si="14"/>
        <v>38096.199999999953</v>
      </c>
      <c r="L49" s="40">
        <f t="shared" si="14"/>
        <v>312393.00999999995</v>
      </c>
      <c r="M49" s="48">
        <f t="shared" si="14"/>
        <v>310081.52999999997</v>
      </c>
    </row>
    <row r="50" spans="1:16">
      <c r="C50" s="97"/>
      <c r="D50" s="142"/>
      <c r="E50" s="30"/>
      <c r="F50" s="30"/>
      <c r="G50" s="30"/>
      <c r="H50" s="27"/>
      <c r="I50" s="30"/>
      <c r="J50" s="10"/>
      <c r="K50" s="16"/>
      <c r="L50" s="16"/>
      <c r="M50" s="10"/>
    </row>
    <row r="51" spans="1:16">
      <c r="A51" s="38" t="s">
        <v>43</v>
      </c>
      <c r="B51" s="38"/>
      <c r="C51" s="101"/>
      <c r="D51" s="239"/>
      <c r="E51" s="81">
        <f>'PCR Cycle 3'!E$51</f>
        <v>4.3276900000000004E-3</v>
      </c>
      <c r="F51" s="81">
        <f>'PCR Cycle 3'!F$51</f>
        <v>4.1470099999999996E-3</v>
      </c>
      <c r="G51" s="81">
        <f>'PCR Cycle 3'!G$51</f>
        <v>4.0829999999999998E-3</v>
      </c>
      <c r="H51" s="82">
        <f>'PCR Cycle 3'!H$51</f>
        <v>4.0773399999999996E-3</v>
      </c>
      <c r="I51" s="81">
        <f>'PCR Cycle 3'!I$51</f>
        <v>4.1620499999999996E-3</v>
      </c>
      <c r="J51" s="90">
        <f>'PCR Cycle 3'!J$51</f>
        <v>4.0677700000000001E-3</v>
      </c>
      <c r="K51" s="81">
        <f>'PCR Cycle 3'!K$51</f>
        <v>4.0677700000000001E-3</v>
      </c>
      <c r="L51" s="81">
        <f>'PCR Cycle 3'!L$51</f>
        <v>4.0677700000000001E-3</v>
      </c>
      <c r="M51" s="90"/>
    </row>
    <row r="52" spans="1:16">
      <c r="A52" s="38" t="s">
        <v>31</v>
      </c>
      <c r="B52" s="38"/>
      <c r="C52" s="97"/>
      <c r="D52" s="142"/>
      <c r="E52" s="30"/>
      <c r="F52" s="30"/>
      <c r="G52" s="30"/>
      <c r="H52" s="27"/>
      <c r="I52" s="30"/>
      <c r="J52" s="10"/>
      <c r="K52" s="16"/>
      <c r="L52" s="16"/>
      <c r="M52" s="10"/>
      <c r="N52" s="70"/>
    </row>
    <row r="53" spans="1:16">
      <c r="A53" s="45" t="s">
        <v>22</v>
      </c>
      <c r="C53" s="330">
        <v>16891.190000000002</v>
      </c>
      <c r="D53" s="116"/>
      <c r="E53" s="40">
        <f>ROUND((C45+C53+D53+E38/2)*E$51,2)</f>
        <v>-9565.24</v>
      </c>
      <c r="F53" s="40">
        <f t="shared" ref="F53:L57" si="15">ROUND((E45+E53+F38/2)*F$51,2)</f>
        <v>-8678.01</v>
      </c>
      <c r="G53" s="104">
        <f t="shared" si="15"/>
        <v>-8126.14</v>
      </c>
      <c r="H53" s="39">
        <f t="shared" si="15"/>
        <v>-9434.5</v>
      </c>
      <c r="I53" s="116">
        <f t="shared" si="15"/>
        <v>-10640.1</v>
      </c>
      <c r="J53" s="60">
        <f t="shared" si="15"/>
        <v>-9529.6299999999992</v>
      </c>
      <c r="K53" s="116">
        <f t="shared" si="15"/>
        <v>-8453.06</v>
      </c>
      <c r="L53" s="116">
        <f t="shared" si="15"/>
        <v>-7650.58</v>
      </c>
      <c r="M53" s="48"/>
      <c r="P53" s="46">
        <f t="shared" ref="P53:P57" si="16">-SUM(K53:M53)</f>
        <v>16103.64</v>
      </c>
    </row>
    <row r="54" spans="1:16">
      <c r="A54" s="45" t="s">
        <v>91</v>
      </c>
      <c r="C54" s="331">
        <v>-8221.16</v>
      </c>
      <c r="D54" s="240"/>
      <c r="E54" s="40">
        <f>ROUND((C46+C54+D54+E39/2)*E$51,2)</f>
        <v>3803.43</v>
      </c>
      <c r="F54" s="40">
        <f t="shared" si="15"/>
        <v>4041.23</v>
      </c>
      <c r="G54" s="104">
        <f t="shared" si="15"/>
        <v>3604.89</v>
      </c>
      <c r="H54" s="39">
        <f t="shared" si="15"/>
        <v>2751.53</v>
      </c>
      <c r="I54" s="116">
        <f t="shared" si="15"/>
        <v>1925.04</v>
      </c>
      <c r="J54" s="60">
        <f t="shared" si="15"/>
        <v>1657.1</v>
      </c>
      <c r="K54" s="116">
        <f t="shared" si="15"/>
        <v>1576.78</v>
      </c>
      <c r="L54" s="116">
        <f t="shared" si="15"/>
        <v>930.97</v>
      </c>
      <c r="M54" s="48"/>
      <c r="P54" s="46">
        <f t="shared" si="16"/>
        <v>-2507.75</v>
      </c>
    </row>
    <row r="55" spans="1:16">
      <c r="A55" s="45" t="s">
        <v>92</v>
      </c>
      <c r="C55" s="331">
        <v>-2459.91</v>
      </c>
      <c r="D55" s="240"/>
      <c r="E55" s="40">
        <f>ROUND((C47+C55+D55+E40/2)*E$51,2)</f>
        <v>1134.08</v>
      </c>
      <c r="F55" s="40">
        <f t="shared" si="15"/>
        <v>1193.6099999999999</v>
      </c>
      <c r="G55" s="104">
        <f t="shared" si="15"/>
        <v>1173.45</v>
      </c>
      <c r="H55" s="39">
        <f t="shared" si="15"/>
        <v>-1820.27</v>
      </c>
      <c r="I55" s="116">
        <f t="shared" si="15"/>
        <v>-5521.77</v>
      </c>
      <c r="J55" s="60">
        <f t="shared" si="15"/>
        <v>-6528.81</v>
      </c>
      <c r="K55" s="116">
        <f t="shared" si="15"/>
        <v>-7550.23</v>
      </c>
      <c r="L55" s="116">
        <f t="shared" si="15"/>
        <v>-8241.35</v>
      </c>
      <c r="M55" s="48"/>
      <c r="P55" s="46">
        <f t="shared" si="16"/>
        <v>15791.58</v>
      </c>
    </row>
    <row r="56" spans="1:16">
      <c r="A56" s="45" t="s">
        <v>93</v>
      </c>
      <c r="C56" s="331">
        <v>5986.6900000000005</v>
      </c>
      <c r="D56" s="240"/>
      <c r="E56" s="40">
        <f>ROUND((C48+C56+D56+E41/2)*E$51,2)</f>
        <v>-2725.52</v>
      </c>
      <c r="F56" s="40">
        <f t="shared" si="15"/>
        <v>-2736.04</v>
      </c>
      <c r="G56" s="104">
        <f t="shared" si="15"/>
        <v>-3240.64</v>
      </c>
      <c r="H56" s="39">
        <f t="shared" si="15"/>
        <v>-2073.11</v>
      </c>
      <c r="I56" s="116">
        <f t="shared" si="15"/>
        <v>-595.79</v>
      </c>
      <c r="J56" s="60">
        <f t="shared" si="15"/>
        <v>-521.66999999999996</v>
      </c>
      <c r="K56" s="116">
        <f t="shared" si="15"/>
        <v>-102.53</v>
      </c>
      <c r="L56" s="116">
        <f t="shared" si="15"/>
        <v>1454.31</v>
      </c>
      <c r="M56" s="48"/>
      <c r="P56" s="46">
        <f t="shared" si="16"/>
        <v>-1351.78</v>
      </c>
    </row>
    <row r="57" spans="1:16" ht="15.75" thickBot="1">
      <c r="A57" s="45" t="s">
        <v>94</v>
      </c>
      <c r="C57" s="332">
        <v>2704.67</v>
      </c>
      <c r="D57" s="240"/>
      <c r="E57" s="40">
        <f>ROUND((C49+C57+D57+E42/2)*E$51,2)</f>
        <v>-1173.46</v>
      </c>
      <c r="F57" s="40">
        <f t="shared" si="15"/>
        <v>-1290.01</v>
      </c>
      <c r="G57" s="104">
        <f t="shared" si="15"/>
        <v>-1480.91</v>
      </c>
      <c r="H57" s="39">
        <f t="shared" si="15"/>
        <v>-916.72</v>
      </c>
      <c r="I57" s="116">
        <f t="shared" si="15"/>
        <v>-248.76</v>
      </c>
      <c r="J57" s="60">
        <f t="shared" si="15"/>
        <v>-167.48</v>
      </c>
      <c r="K57" s="116">
        <f t="shared" si="15"/>
        <v>23.06</v>
      </c>
      <c r="L57" s="116">
        <f t="shared" si="15"/>
        <v>712.9</v>
      </c>
      <c r="M57" s="48"/>
      <c r="N57" s="268"/>
      <c r="O57" s="268"/>
      <c r="P57" s="46">
        <f t="shared" si="16"/>
        <v>-735.95999999999992</v>
      </c>
    </row>
    <row r="58" spans="1:16" ht="16.5" thickTop="1" thickBot="1">
      <c r="A58" s="53" t="s">
        <v>20</v>
      </c>
      <c r="B58" s="53"/>
      <c r="C58" s="110">
        <v>0</v>
      </c>
      <c r="D58" s="241"/>
      <c r="E58" s="31">
        <f t="shared" ref="E58:M58" si="17">SUM(E53:E57)+SUM(E45:E49)-E61</f>
        <v>0</v>
      </c>
      <c r="F58" s="31">
        <f t="shared" si="17"/>
        <v>0</v>
      </c>
      <c r="G58" s="49">
        <f t="shared" si="17"/>
        <v>0</v>
      </c>
      <c r="H58" s="117">
        <f t="shared" si="17"/>
        <v>0</v>
      </c>
      <c r="I58" s="31">
        <f t="shared" si="17"/>
        <v>0</v>
      </c>
      <c r="J58" s="61">
        <f t="shared" si="17"/>
        <v>0</v>
      </c>
      <c r="K58" s="155">
        <f t="shared" si="17"/>
        <v>0</v>
      </c>
      <c r="L58" s="31">
        <f t="shared" si="17"/>
        <v>0</v>
      </c>
      <c r="M58" s="94">
        <f t="shared" si="17"/>
        <v>0</v>
      </c>
    </row>
    <row r="59" spans="1:16" ht="16.5" thickTop="1" thickBot="1">
      <c r="A59" s="53" t="s">
        <v>21</v>
      </c>
      <c r="B59" s="53"/>
      <c r="C59" s="103">
        <v>0</v>
      </c>
      <c r="D59" s="242"/>
      <c r="E59" s="31">
        <f t="shared" ref="E59:J59" si="18">SUM(E53:E57)-E35</f>
        <v>0</v>
      </c>
      <c r="F59" s="31">
        <f t="shared" si="18"/>
        <v>0</v>
      </c>
      <c r="G59" s="49">
        <f t="shared" ref="G59:I59" si="19">SUM(G53:G57)-G35</f>
        <v>0</v>
      </c>
      <c r="H59" s="50">
        <f t="shared" si="19"/>
        <v>0</v>
      </c>
      <c r="I59" s="31">
        <f t="shared" si="19"/>
        <v>0</v>
      </c>
      <c r="J59" s="61">
        <f t="shared" si="18"/>
        <v>0</v>
      </c>
      <c r="K59" s="155">
        <f t="shared" ref="K59:M59" si="20">SUM(K53:K57)-K35</f>
        <v>0</v>
      </c>
      <c r="L59" s="31">
        <f t="shared" si="20"/>
        <v>0</v>
      </c>
      <c r="M59" s="94">
        <f t="shared" si="20"/>
        <v>0</v>
      </c>
    </row>
    <row r="60" spans="1:16" ht="16.5" thickTop="1" thickBot="1">
      <c r="C60" s="97"/>
      <c r="D60" s="142"/>
      <c r="E60" s="16"/>
      <c r="F60" s="16"/>
      <c r="G60" s="16"/>
      <c r="H60" s="9"/>
      <c r="I60" s="16"/>
      <c r="J60" s="10"/>
      <c r="K60" s="16"/>
      <c r="L60" s="16"/>
      <c r="M60" s="10"/>
    </row>
    <row r="61" spans="1:16" ht="15.75" thickBot="1">
      <c r="A61" s="45" t="s">
        <v>30</v>
      </c>
      <c r="B61" s="112">
        <f>SUM(B45:B49)</f>
        <v>-2369595.5199999996</v>
      </c>
      <c r="C61" s="39">
        <f>(SUM(C15:C19)-SUM(C29:C33))+SUM(C53:C57)+B61</f>
        <v>-2076359.3099999991</v>
      </c>
      <c r="D61" s="40">
        <f>(SUM(D15:D19)-SUM(D29:D33))+SUM(D53:D57)+C61</f>
        <v>-2076359.3099999991</v>
      </c>
      <c r="E61" s="40">
        <f>(SUM(E15:E19)-SUM(E29:E33))+SUM(D53:E57)+C61</f>
        <v>-1872706.8599999994</v>
      </c>
      <c r="F61" s="40">
        <f t="shared" ref="F61:M61" si="21">(SUM(F15:F19)-SUM(F29:F33))+SUM(F53:F57)+E61</f>
        <v>-1736978.8499999996</v>
      </c>
      <c r="G61" s="104">
        <f t="shared" si="21"/>
        <v>-2223743.5099999998</v>
      </c>
      <c r="H61" s="39">
        <f t="shared" si="21"/>
        <v>-3425283.8499999996</v>
      </c>
      <c r="I61" s="40">
        <f t="shared" si="21"/>
        <v>-3836891.9199999995</v>
      </c>
      <c r="J61" s="60">
        <f t="shared" si="21"/>
        <v>-3597740.2399999993</v>
      </c>
      <c r="K61" s="116">
        <f t="shared" si="21"/>
        <v>-3548922.5799999991</v>
      </c>
      <c r="L61" s="40">
        <f t="shared" si="21"/>
        <v>-2754175.9499999993</v>
      </c>
      <c r="M61" s="60">
        <f t="shared" si="21"/>
        <v>-4112058.709999999</v>
      </c>
    </row>
    <row r="62" spans="1:16">
      <c r="A62" s="45" t="s">
        <v>10</v>
      </c>
      <c r="C62" s="113"/>
      <c r="D62" s="16"/>
      <c r="E62" s="55"/>
      <c r="F62" s="55"/>
      <c r="G62" s="55"/>
      <c r="H62" s="11"/>
      <c r="I62" s="55"/>
      <c r="J62" s="10"/>
      <c r="K62" s="16"/>
      <c r="L62" s="16"/>
      <c r="M62" s="10"/>
    </row>
    <row r="63" spans="1:16" ht="15.75" thickBot="1">
      <c r="B63" s="16"/>
      <c r="C63" s="42"/>
      <c r="D63" s="43"/>
      <c r="E63" s="43"/>
      <c r="F63" s="43"/>
      <c r="G63" s="43"/>
      <c r="H63" s="42"/>
      <c r="I63" s="43"/>
      <c r="J63" s="44"/>
      <c r="K63" s="43"/>
      <c r="L63" s="43"/>
      <c r="M63" s="44"/>
    </row>
    <row r="64" spans="1:16">
      <c r="D64" s="46"/>
    </row>
    <row r="65" spans="1:13">
      <c r="A65" s="68" t="s">
        <v>9</v>
      </c>
      <c r="B65" s="68"/>
      <c r="C65" s="68"/>
      <c r="D65" s="68"/>
    </row>
    <row r="66" spans="1:13" ht="89.25" customHeight="1">
      <c r="A66" s="360" t="s">
        <v>272</v>
      </c>
      <c r="B66" s="360"/>
      <c r="C66" s="360"/>
      <c r="D66" s="360"/>
      <c r="E66" s="360"/>
      <c r="F66" s="360"/>
      <c r="G66" s="360"/>
      <c r="H66" s="360"/>
      <c r="I66" s="360"/>
      <c r="J66" s="360"/>
      <c r="K66" s="278"/>
      <c r="L66" s="278"/>
      <c r="M66" s="278"/>
    </row>
    <row r="67" spans="1:13" ht="60.75" customHeight="1">
      <c r="A67" s="360" t="s">
        <v>279</v>
      </c>
      <c r="B67" s="360"/>
      <c r="C67" s="360"/>
      <c r="D67" s="360"/>
      <c r="E67" s="360"/>
      <c r="F67" s="360"/>
      <c r="G67" s="360"/>
      <c r="H67" s="360"/>
      <c r="I67" s="360"/>
      <c r="J67" s="360"/>
      <c r="K67" s="278"/>
      <c r="L67" s="278"/>
      <c r="M67" s="278"/>
    </row>
    <row r="68" spans="1:13" ht="57" customHeight="1">
      <c r="A68" s="360" t="s">
        <v>239</v>
      </c>
      <c r="B68" s="360"/>
      <c r="C68" s="360"/>
      <c r="D68" s="360"/>
      <c r="E68" s="360"/>
      <c r="F68" s="360"/>
      <c r="G68" s="360"/>
      <c r="H68" s="360"/>
      <c r="I68" s="360"/>
      <c r="J68" s="360"/>
      <c r="K68" s="278"/>
      <c r="L68" s="278"/>
      <c r="M68" s="278"/>
    </row>
    <row r="69" spans="1:13">
      <c r="A69" s="360" t="s">
        <v>190</v>
      </c>
      <c r="B69" s="360"/>
      <c r="C69" s="360"/>
      <c r="D69" s="360"/>
      <c r="E69" s="360"/>
      <c r="F69" s="360"/>
      <c r="G69" s="360"/>
      <c r="H69" s="360"/>
      <c r="I69" s="360"/>
      <c r="J69" s="360"/>
    </row>
    <row r="70" spans="1:13">
      <c r="A70" s="62" t="s">
        <v>237</v>
      </c>
      <c r="B70" s="62"/>
      <c r="C70" s="288"/>
      <c r="D70" s="62"/>
      <c r="E70" s="38"/>
      <c r="F70" s="38"/>
      <c r="G70" s="38"/>
      <c r="H70" s="38"/>
      <c r="I70" s="38"/>
      <c r="J70" s="286"/>
    </row>
    <row r="71" spans="1:13">
      <c r="A71" s="62" t="s">
        <v>45</v>
      </c>
      <c r="B71" s="62"/>
      <c r="C71" s="62"/>
      <c r="D71" s="62"/>
      <c r="E71" s="38"/>
      <c r="F71" s="38"/>
      <c r="G71" s="38"/>
      <c r="H71" s="38"/>
      <c r="I71" s="38"/>
      <c r="J71" s="286"/>
    </row>
    <row r="72" spans="1:13">
      <c r="A72" s="3"/>
    </row>
    <row r="73" spans="1:13" ht="33.75" customHeight="1">
      <c r="A73" s="361"/>
      <c r="B73" s="361"/>
      <c r="C73" s="361"/>
      <c r="D73" s="361"/>
      <c r="E73" s="361"/>
      <c r="F73" s="361"/>
      <c r="G73" s="361"/>
    </row>
    <row r="75" spans="1:13" ht="31.5" customHeight="1">
      <c r="A75" s="361"/>
      <c r="B75" s="361"/>
      <c r="C75" s="361"/>
      <c r="D75" s="361"/>
      <c r="E75" s="361"/>
      <c r="F75" s="361"/>
      <c r="G75" s="361"/>
    </row>
    <row r="81" spans="14:14">
      <c r="N81" s="7"/>
    </row>
  </sheetData>
  <mergeCells count="9">
    <mergeCell ref="A73:G73"/>
    <mergeCell ref="A75:G75"/>
    <mergeCell ref="E11:G11"/>
    <mergeCell ref="H11:J11"/>
    <mergeCell ref="K11:M11"/>
    <mergeCell ref="A66:J66"/>
    <mergeCell ref="A67:J67"/>
    <mergeCell ref="A68:J68"/>
    <mergeCell ref="A69:J69"/>
  </mergeCells>
  <pageMargins left="0.2" right="0.2" top="0.75" bottom="0.25" header="0.3" footer="0.3"/>
  <pageSetup scale="42" orientation="landscape" r:id="rId1"/>
  <headerFooter>
    <oddHeader>&amp;C&amp;F &amp;A&amp;R&amp;"Arial"&amp;10&amp;K000000CONFIDENTIAL</oddHeader>
    <oddFooter>&amp;R&amp;1#&amp;"Calibri"&amp;10&amp;KA80000Internal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DA52-1042-45D8-A4CB-A6813B156E39}">
  <sheetPr codeName="Sheet13">
    <pageSetUpPr fitToPage="1"/>
  </sheetPr>
  <dimension ref="A1:W39"/>
  <sheetViews>
    <sheetView workbookViewId="0"/>
  </sheetViews>
  <sheetFormatPr defaultColWidth="9.140625" defaultRowHeight="15"/>
  <cols>
    <col min="1" max="1" width="24.7109375" style="45" customWidth="1"/>
    <col min="2" max="2" width="16.140625" style="45" customWidth="1"/>
    <col min="3" max="3" width="15.140625" style="45" customWidth="1"/>
    <col min="4" max="4" width="12.5703125" style="45" bestFit="1" customWidth="1"/>
    <col min="5" max="5" width="13.28515625" style="45" customWidth="1"/>
    <col min="6" max="6" width="11.5703125" style="45" customWidth="1"/>
    <col min="7" max="7" width="9.140625" style="45"/>
    <col min="8" max="8" width="11.5703125" style="45" bestFit="1" customWidth="1"/>
    <col min="9" max="16384" width="9.140625" style="45"/>
  </cols>
  <sheetData>
    <row r="1" spans="1:23">
      <c r="A1" s="62" t="s">
        <v>229</v>
      </c>
      <c r="B1" s="38"/>
      <c r="C1" s="38"/>
      <c r="D1" s="38"/>
      <c r="E1" s="38"/>
      <c r="F1" s="38"/>
    </row>
    <row r="2" spans="1:23">
      <c r="A2" s="344" t="s">
        <v>230</v>
      </c>
      <c r="B2" s="38"/>
      <c r="C2" s="38"/>
      <c r="D2" s="38"/>
      <c r="E2" s="38"/>
      <c r="F2" s="38"/>
    </row>
    <row r="3" spans="1:23">
      <c r="A3" s="344"/>
      <c r="B3" s="38"/>
      <c r="C3" s="38"/>
      <c r="D3" s="38"/>
      <c r="E3" s="38"/>
      <c r="F3" s="38"/>
    </row>
    <row r="4" spans="1:23" ht="40.5" customHeight="1">
      <c r="A4" s="38"/>
      <c r="B4" s="367" t="s">
        <v>96</v>
      </c>
      <c r="C4" s="367"/>
      <c r="D4" s="38"/>
      <c r="E4" s="38"/>
      <c r="F4" s="38"/>
    </row>
    <row r="5" spans="1:23" ht="90">
      <c r="A5" s="38"/>
      <c r="B5" s="143" t="s">
        <v>56</v>
      </c>
      <c r="C5" s="350" t="s">
        <v>26</v>
      </c>
      <c r="D5" s="298" t="s">
        <v>250</v>
      </c>
      <c r="E5" s="298" t="s">
        <v>251</v>
      </c>
      <c r="F5" s="298" t="s">
        <v>252</v>
      </c>
    </row>
    <row r="6" spans="1:23">
      <c r="A6" s="19" t="s">
        <v>22</v>
      </c>
      <c r="B6" s="22">
        <f>ROUND(SUM('[16]Summary Monthly TD Calc'!$AT18:$AY18),4)</f>
        <v>20532990.152100001</v>
      </c>
      <c r="C6" s="84">
        <f ca="1">SUM(OFFSET(C6,0,1):OFFSET(G6,0,-1))</f>
        <v>1446606.79</v>
      </c>
      <c r="D6" s="210">
        <f>ROUND(+SUM('[16]Monthly TD Calc-PY5'!$CE711:$CJ711),2)</f>
        <v>261590.27</v>
      </c>
      <c r="E6" s="210">
        <f>ROUND(+SUM('[16]Monthly TD Calc-PY4'!$CE575:$CJ575),2)</f>
        <v>421665.08</v>
      </c>
      <c r="F6" s="210">
        <f>ROUND(SUM('[16]Monthly TD Calc-PY1-3'!$CE563:$CJ563),2)</f>
        <v>763351.44</v>
      </c>
      <c r="H6" s="119"/>
    </row>
    <row r="7" spans="1:23">
      <c r="A7" s="19" t="s">
        <v>91</v>
      </c>
      <c r="B7" s="22">
        <f>ROUND(SUM('[16]Summary Monthly TD Calc'!$AT19:$AY19),4)</f>
        <v>6489314.0765000004</v>
      </c>
      <c r="C7" s="84">
        <f ca="1">SUM(OFFSET(C7,0,1):OFFSET(G7,0,-1))</f>
        <v>445358.02999999997</v>
      </c>
      <c r="D7" s="210">
        <f>ROUND(+SUM('[16]Monthly TD Calc-PY5'!$CE712:$CJ712),2)</f>
        <v>274453.93</v>
      </c>
      <c r="E7" s="210">
        <f>ROUND(+SUM('[16]Monthly TD Calc-PY4'!$CE576:$CJ576),2)</f>
        <v>45229.91</v>
      </c>
      <c r="F7" s="210">
        <f>ROUND(SUM('[16]Monthly TD Calc-PY1-3'!$CE564:$CJ564),2)</f>
        <v>125674.19</v>
      </c>
      <c r="H7" s="119"/>
    </row>
    <row r="8" spans="1:23">
      <c r="A8" s="19" t="s">
        <v>92</v>
      </c>
      <c r="B8" s="22">
        <f>ROUND(SUM('[16]Summary Monthly TD Calc'!$AT20:$AY20),4)</f>
        <v>15522985.050799999</v>
      </c>
      <c r="C8" s="84">
        <f ca="1">SUM(OFFSET(C8,0,1):OFFSET(G8,0,-1))</f>
        <v>774649.11</v>
      </c>
      <c r="D8" s="210">
        <f>ROUND(+SUM('[16]Monthly TD Calc-PY5'!$CE713:$CJ713),2)</f>
        <v>279432.87</v>
      </c>
      <c r="E8" s="210">
        <f>ROUND(+SUM('[16]Monthly TD Calc-PY4'!$CE577:$CJ577),2)</f>
        <v>252955.63</v>
      </c>
      <c r="F8" s="210">
        <f>ROUND(SUM('[16]Monthly TD Calc-PY1-3'!$CE565:$CJ565),2)</f>
        <v>242260.61</v>
      </c>
      <c r="H8" s="119"/>
    </row>
    <row r="9" spans="1:23">
      <c r="A9" s="19" t="s">
        <v>93</v>
      </c>
      <c r="B9" s="22">
        <f>ROUND(SUM('[16]Summary Monthly TD Calc'!$AT21:$AY21),4)</f>
        <v>15589859.818</v>
      </c>
      <c r="C9" s="84">
        <f ca="1">SUM(OFFSET(C9,0,1):OFFSET(G9,0,-1))</f>
        <v>500287.63</v>
      </c>
      <c r="D9" s="210">
        <f>ROUND(+SUM('[16]Monthly TD Calc-PY5'!$CE714:$CJ714),2)</f>
        <v>89792.21</v>
      </c>
      <c r="E9" s="210">
        <f>ROUND(+SUM('[16]Monthly TD Calc-PY4'!$CE578:$CJ578),2)</f>
        <v>190650.83</v>
      </c>
      <c r="F9" s="210">
        <f>ROUND(SUM('[16]Monthly TD Calc-PY1-3'!$CE566:$CJ566),2)</f>
        <v>219844.59</v>
      </c>
      <c r="H9" s="119"/>
    </row>
    <row r="10" spans="1:23">
      <c r="A10" s="19" t="s">
        <v>94</v>
      </c>
      <c r="B10" s="22">
        <f>ROUND(SUM('[16]Summary Monthly TD Calc'!$AT22:$AY22),4)</f>
        <v>2113253.0096</v>
      </c>
      <c r="C10" s="84">
        <f ca="1">SUM(OFFSET(C10,0,1):OFFSET(G10,0,-1))</f>
        <v>33154.639999999999</v>
      </c>
      <c r="D10" s="210">
        <f>ROUND(+SUM('[16]Monthly TD Calc-PY5'!$CE715:$CJ715),2)</f>
        <v>8392.09</v>
      </c>
      <c r="E10" s="210">
        <f>ROUND(+SUM('[16]Monthly TD Calc-PY4'!$CE579:$CJ579),2)</f>
        <v>13071.39</v>
      </c>
      <c r="F10" s="210">
        <f>ROUND(SUM('[16]Monthly TD Calc-PY1-3'!$CE567:$CJ567),2)</f>
        <v>11691.16</v>
      </c>
      <c r="H10" s="119"/>
    </row>
    <row r="11" spans="1:23">
      <c r="A11" s="29" t="s">
        <v>3</v>
      </c>
      <c r="B11" s="23">
        <f>SUM(B6:B10)</f>
        <v>60248402.107000008</v>
      </c>
      <c r="C11" s="257">
        <f ca="1">SUM(C6:C10)</f>
        <v>3200056.2</v>
      </c>
      <c r="D11" s="257">
        <f t="shared" ref="D11" si="0">SUM(D6:D10)</f>
        <v>913661.36999999988</v>
      </c>
      <c r="E11" s="257">
        <f>SUM(E6:E10)</f>
        <v>923572.84</v>
      </c>
      <c r="F11" s="257">
        <f t="shared" ref="F11" si="1">SUM(F6:F10)</f>
        <v>1362821.9899999998</v>
      </c>
    </row>
    <row r="13" spans="1:23">
      <c r="A13" s="68" t="s">
        <v>27</v>
      </c>
      <c r="B13" s="19"/>
      <c r="C13" s="20"/>
      <c r="N13" s="1"/>
      <c r="O13" s="1"/>
      <c r="P13" s="1"/>
      <c r="Q13" s="1"/>
      <c r="R13" s="1"/>
      <c r="S13" s="1"/>
      <c r="T13" s="1"/>
      <c r="U13" s="1"/>
      <c r="V13" s="1"/>
      <c r="W13" s="1"/>
    </row>
    <row r="14" spans="1:23" s="38" customFormat="1" ht="45" customHeight="1">
      <c r="A14" s="353" t="s">
        <v>206</v>
      </c>
      <c r="B14" s="353"/>
      <c r="C14" s="353"/>
      <c r="D14" s="353"/>
      <c r="E14" s="353"/>
      <c r="F14" s="256"/>
      <c r="G14" s="256"/>
      <c r="H14" s="256"/>
      <c r="I14" s="256"/>
      <c r="J14" s="256"/>
      <c r="K14" s="256"/>
      <c r="L14" s="256"/>
      <c r="M14" s="256"/>
    </row>
    <row r="15" spans="1:23" s="38" customFormat="1">
      <c r="A15" s="355" t="s">
        <v>192</v>
      </c>
      <c r="B15" s="355"/>
      <c r="C15" s="355"/>
      <c r="D15" s="355"/>
      <c r="E15" s="355"/>
      <c r="F15" s="355"/>
      <c r="G15" s="355"/>
      <c r="H15" s="355"/>
      <c r="I15" s="355"/>
      <c r="J15" s="355"/>
      <c r="K15" s="355"/>
      <c r="L15" s="355"/>
      <c r="M15" s="355"/>
    </row>
    <row r="16" spans="1:23" ht="29.25" customHeight="1">
      <c r="A16" s="368" t="s">
        <v>207</v>
      </c>
      <c r="B16" s="368"/>
      <c r="C16" s="368"/>
      <c r="D16" s="368"/>
      <c r="E16" s="368"/>
      <c r="F16" s="256"/>
      <c r="G16" s="256"/>
      <c r="H16" s="256"/>
      <c r="I16" s="256"/>
      <c r="J16" s="256"/>
      <c r="K16" s="256"/>
      <c r="L16" s="256"/>
      <c r="M16" s="256"/>
    </row>
    <row r="17" spans="1:13" ht="27.75" customHeight="1">
      <c r="A17" s="353" t="s">
        <v>208</v>
      </c>
      <c r="B17" s="353"/>
      <c r="C17" s="353"/>
      <c r="D17" s="353"/>
      <c r="E17" s="353"/>
      <c r="F17" s="256"/>
      <c r="G17" s="256"/>
      <c r="H17" s="256"/>
      <c r="I17" s="256"/>
      <c r="J17" s="256"/>
      <c r="K17" s="256"/>
      <c r="L17" s="256"/>
      <c r="M17" s="256"/>
    </row>
    <row r="18" spans="1:13" ht="31.5" customHeight="1">
      <c r="A18" s="353" t="s">
        <v>209</v>
      </c>
      <c r="B18" s="353"/>
      <c r="C18" s="353"/>
      <c r="D18" s="353"/>
      <c r="E18" s="353"/>
      <c r="F18" s="38"/>
      <c r="G18" s="256"/>
      <c r="H18" s="38"/>
      <c r="I18" s="38"/>
      <c r="J18" s="38"/>
      <c r="K18" s="38"/>
      <c r="L18" s="38"/>
      <c r="M18" s="38"/>
    </row>
    <row r="19" spans="1:13">
      <c r="A19" s="38"/>
      <c r="B19" s="38"/>
      <c r="C19" s="38"/>
      <c r="D19" s="38"/>
      <c r="E19" s="38"/>
      <c r="F19" s="38"/>
      <c r="G19" s="38"/>
      <c r="H19" s="38"/>
      <c r="I19" s="38"/>
      <c r="J19" s="38"/>
      <c r="K19" s="38"/>
      <c r="L19" s="38"/>
      <c r="M19" s="38"/>
    </row>
    <row r="35" spans="2:3">
      <c r="B35" s="7"/>
      <c r="C35" s="7"/>
    </row>
    <row r="39" spans="2:3">
      <c r="B39" s="7"/>
      <c r="C39" s="7"/>
    </row>
  </sheetData>
  <mergeCells count="6">
    <mergeCell ref="A18:E18"/>
    <mergeCell ref="B4:C4"/>
    <mergeCell ref="A15:M15"/>
    <mergeCell ref="A14:E14"/>
    <mergeCell ref="A16:E16"/>
    <mergeCell ref="A17:E17"/>
  </mergeCells>
  <pageMargins left="0.2" right="0.2" top="0.75" bottom="0.25" header="0.3" footer="0.3"/>
  <pageSetup scale="88" orientation="landscape" r:id="rId1"/>
  <headerFooter>
    <oddHeader>&amp;C&amp;F &amp;A&amp;R&amp;"Arial"&amp;10&amp;K000000CONFIDENTIAL</oddHeader>
    <oddFooter>&amp;R&amp;1#&amp;"Calibri"&amp;10&amp;KA80000Internal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C97A9-86F0-4DC5-B0B7-D5AE2D28BC10}">
  <sheetPr codeName="Sheet14">
    <pageSetUpPr fitToPage="1"/>
  </sheetPr>
  <dimension ref="A1:W37"/>
  <sheetViews>
    <sheetView workbookViewId="0"/>
  </sheetViews>
  <sheetFormatPr defaultColWidth="9.140625" defaultRowHeight="15"/>
  <cols>
    <col min="1" max="1" width="24.7109375" style="45" customWidth="1"/>
    <col min="2" max="2" width="16.140625" style="45" customWidth="1"/>
    <col min="3" max="3" width="15.140625" style="45" customWidth="1"/>
    <col min="4" max="4" width="12.5703125" style="45" bestFit="1" customWidth="1"/>
    <col min="5" max="5" width="13.28515625" style="45" customWidth="1"/>
    <col min="6" max="6" width="11.5703125" style="45" customWidth="1"/>
    <col min="7" max="16384" width="9.140625" style="45"/>
  </cols>
  <sheetData>
    <row r="1" spans="1:23">
      <c r="A1" s="62" t="str">
        <f>'PTD Cycle 3'!A1</f>
        <v>Evergy Metro, Inc. - DSIM Rider Update Filed 06/01/2026</v>
      </c>
    </row>
    <row r="2" spans="1:23">
      <c r="A2" s="8" t="str">
        <f>+'PPC Cycle 4'!A2</f>
        <v>Projections for Cycle 4 July 2026 - June 2027 DSIM</v>
      </c>
    </row>
    <row r="3" spans="1:23">
      <c r="A3" s="8"/>
    </row>
    <row r="4" spans="1:23" ht="40.5" customHeight="1">
      <c r="B4" s="354" t="s">
        <v>194</v>
      </c>
      <c r="C4" s="354"/>
    </row>
    <row r="5" spans="1:23" ht="45">
      <c r="B5" s="143" t="s">
        <v>56</v>
      </c>
      <c r="C5" s="47" t="s">
        <v>26</v>
      </c>
      <c r="D5" s="298" t="str">
        <f>+'PPC Cycle 4'!D4</f>
        <v>3. Cycle 4 - July 2026 - June 2027</v>
      </c>
      <c r="E5" s="38"/>
    </row>
    <row r="6" spans="1:23">
      <c r="A6" s="19" t="s">
        <v>22</v>
      </c>
      <c r="B6" s="22">
        <f>ROUND(SUM('[17]Summary Monthly TD Calc'!$T18:$AE18),4)</f>
        <v>319431.5344</v>
      </c>
      <c r="C6" s="84">
        <f ca="1">SUM(OFFSET(C6,0,1):OFFSET(E6,0,-1))</f>
        <v>34400.400000000001</v>
      </c>
      <c r="D6" s="210">
        <f>ROUND(SUM('[17]Summary Monthly TD Calc'!$T3:$AE3),4)</f>
        <v>34400.400000000001</v>
      </c>
      <c r="E6" s="38"/>
    </row>
    <row r="7" spans="1:23">
      <c r="A7" s="19" t="s">
        <v>91</v>
      </c>
      <c r="B7" s="22">
        <f>ROUND(SUM('[17]Summary Monthly TD Calc'!$T19:$AE19),4)</f>
        <v>1362306.9731999999</v>
      </c>
      <c r="C7" s="84">
        <f ca="1">SUM(OFFSET(C7,0,1):OFFSET(E7,0,-1))</f>
        <v>116339.38</v>
      </c>
      <c r="D7" s="210">
        <f>ROUND(SUM('[17]Summary Monthly TD Calc'!$T4:$AE4),4)</f>
        <v>116339.38</v>
      </c>
      <c r="E7" s="38"/>
    </row>
    <row r="8" spans="1:23">
      <c r="A8" s="19" t="s">
        <v>92</v>
      </c>
      <c r="B8" s="22">
        <f>ROUND(SUM('[17]Summary Monthly TD Calc'!$T20:$AE20),4)</f>
        <v>1014883.2462000001</v>
      </c>
      <c r="C8" s="84">
        <f ca="1">SUM(OFFSET(C8,0,1):OFFSET(E8,0,-1))</f>
        <v>47268.47</v>
      </c>
      <c r="D8" s="210">
        <f>ROUND(SUM('[17]Summary Monthly TD Calc'!$T5:$AE5),4)</f>
        <v>47268.47</v>
      </c>
      <c r="E8" s="38"/>
    </row>
    <row r="9" spans="1:23">
      <c r="A9" s="19" t="s">
        <v>93</v>
      </c>
      <c r="B9" s="22">
        <f>ROUND(SUM('[17]Summary Monthly TD Calc'!$T21:$AE21),4)</f>
        <v>878758.4669</v>
      </c>
      <c r="C9" s="84">
        <f ca="1">SUM(OFFSET(C9,0,1):OFFSET(E9,0,-1))</f>
        <v>22906.81</v>
      </c>
      <c r="D9" s="210">
        <f>ROUND(SUM('[17]Summary Monthly TD Calc'!$T6:$AE6),4)</f>
        <v>22906.81</v>
      </c>
      <c r="E9" s="38"/>
    </row>
    <row r="10" spans="1:23">
      <c r="A10" s="19" t="s">
        <v>94</v>
      </c>
      <c r="B10" s="22">
        <f>ROUND(SUM('[17]Summary Monthly TD Calc'!$T22:$AE22),4)</f>
        <v>0</v>
      </c>
      <c r="C10" s="84">
        <f ca="1">SUM(OFFSET(C10,0,1):OFFSET(E10,0,-1))</f>
        <v>0</v>
      </c>
      <c r="D10" s="210">
        <f>ROUND(SUM('[17]Summary Monthly TD Calc'!$T7:$AE7),4)</f>
        <v>0</v>
      </c>
      <c r="E10" s="38"/>
    </row>
    <row r="11" spans="1:23">
      <c r="A11" s="29" t="s">
        <v>3</v>
      </c>
      <c r="B11" s="23">
        <f>SUM(B6:B10)</f>
        <v>3575380.2206999999</v>
      </c>
      <c r="C11" s="257">
        <f ca="1">SUM(C6:C10)</f>
        <v>220915.06</v>
      </c>
      <c r="D11" s="257">
        <f t="shared" ref="D11" si="0">SUM(D6:D10)</f>
        <v>220915.06</v>
      </c>
      <c r="E11" s="38"/>
    </row>
    <row r="13" spans="1:23">
      <c r="A13" s="68" t="s">
        <v>27</v>
      </c>
      <c r="B13" s="19"/>
      <c r="C13" s="20"/>
      <c r="N13" s="1"/>
      <c r="O13" s="1"/>
      <c r="P13" s="1"/>
      <c r="Q13" s="1"/>
      <c r="R13" s="1"/>
      <c r="S13" s="1"/>
      <c r="T13" s="1"/>
      <c r="U13" s="1"/>
      <c r="V13" s="1"/>
      <c r="W13" s="1"/>
    </row>
    <row r="14" spans="1:23" s="38" customFormat="1" ht="45" customHeight="1">
      <c r="A14" s="353" t="s">
        <v>246</v>
      </c>
      <c r="B14" s="353"/>
      <c r="C14" s="353"/>
      <c r="D14" s="353"/>
      <c r="E14" s="353"/>
      <c r="F14" s="256"/>
      <c r="G14" s="256"/>
      <c r="H14" s="256"/>
      <c r="I14" s="256"/>
      <c r="J14" s="256"/>
      <c r="K14" s="256"/>
      <c r="L14" s="256"/>
      <c r="M14" s="256"/>
    </row>
    <row r="15" spans="1:23" s="38" customFormat="1">
      <c r="A15" s="355" t="s">
        <v>205</v>
      </c>
      <c r="B15" s="355"/>
      <c r="C15" s="355"/>
      <c r="D15" s="355"/>
      <c r="E15" s="355"/>
      <c r="F15" s="355"/>
      <c r="G15" s="355"/>
      <c r="H15" s="355"/>
      <c r="I15" s="355"/>
      <c r="J15" s="355"/>
      <c r="K15" s="355"/>
      <c r="L15" s="355"/>
      <c r="M15" s="355"/>
    </row>
    <row r="16" spans="1:23" ht="29.25" customHeight="1">
      <c r="A16" s="368" t="s">
        <v>247</v>
      </c>
      <c r="B16" s="368"/>
      <c r="C16" s="368"/>
      <c r="D16" s="368"/>
      <c r="E16" s="368"/>
      <c r="F16" s="256"/>
      <c r="G16" s="256"/>
      <c r="H16" s="256"/>
      <c r="I16" s="256"/>
      <c r="J16" s="256"/>
      <c r="K16" s="256"/>
      <c r="L16" s="256"/>
      <c r="M16" s="256"/>
    </row>
    <row r="17" spans="1:13">
      <c r="A17" s="38"/>
      <c r="B17" s="38"/>
      <c r="C17" s="38"/>
      <c r="D17" s="38"/>
      <c r="E17" s="38"/>
      <c r="F17" s="38"/>
      <c r="G17" s="38"/>
      <c r="H17" s="38"/>
      <c r="I17" s="38"/>
      <c r="J17" s="38"/>
      <c r="K17" s="38"/>
      <c r="L17" s="38"/>
      <c r="M17" s="38"/>
    </row>
    <row r="18" spans="1:13">
      <c r="A18" s="38"/>
      <c r="B18" s="38"/>
      <c r="C18" s="38"/>
      <c r="D18" s="38"/>
      <c r="E18" s="38"/>
      <c r="F18" s="38"/>
      <c r="G18" s="38"/>
      <c r="H18" s="38"/>
      <c r="I18" s="38"/>
      <c r="J18" s="38"/>
      <c r="K18" s="38"/>
      <c r="L18" s="38"/>
      <c r="M18" s="38"/>
    </row>
    <row r="33" spans="2:3">
      <c r="B33" s="7"/>
      <c r="C33" s="7"/>
    </row>
    <row r="37" spans="2:3">
      <c r="B37" s="7"/>
      <c r="C37" s="7"/>
    </row>
  </sheetData>
  <mergeCells count="4">
    <mergeCell ref="B4:C4"/>
    <mergeCell ref="A14:E14"/>
    <mergeCell ref="A15:M15"/>
    <mergeCell ref="A16:E16"/>
  </mergeCells>
  <pageMargins left="0.2" right="0.2" top="0.75" bottom="0.25" header="0.3" footer="0.3"/>
  <pageSetup scale="88" orientation="landscape" r:id="rId1"/>
  <headerFooter>
    <oddHeader>&amp;C&amp;F &amp;A&amp;R&amp;"Arial"&amp;10&amp;K000000CONFIDENTIAL</oddHeader>
    <oddFooter>&amp;R&amp;1#&amp;"Calibri"&amp;10&amp;KA80000Internal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C6FD-573A-4176-92FB-AA44C927F50B}">
  <sheetPr codeName="Sheet16">
    <pageSetUpPr fitToPage="1"/>
  </sheetPr>
  <dimension ref="A1:AI74"/>
  <sheetViews>
    <sheetView zoomScale="85" zoomScaleNormal="85" workbookViewId="0"/>
  </sheetViews>
  <sheetFormatPr defaultColWidth="9.140625" defaultRowHeight="15" outlineLevelCol="1"/>
  <cols>
    <col min="1" max="1" width="37" style="45" customWidth="1"/>
    <col min="2" max="2" width="12.140625" style="45" customWidth="1"/>
    <col min="3" max="3" width="12.42578125" style="45" customWidth="1"/>
    <col min="4" max="4" width="12.42578125" style="45" hidden="1" customWidth="1" outlineLevel="1"/>
    <col min="5" max="5" width="15.42578125" style="45" customWidth="1" collapsed="1"/>
    <col min="6" max="6" width="15.85546875" style="45" customWidth="1"/>
    <col min="7" max="7" width="12.28515625" style="45" customWidth="1"/>
    <col min="8" max="9" width="13.28515625" style="45" customWidth="1"/>
    <col min="10" max="10" width="12.28515625" style="45" bestFit="1" customWidth="1"/>
    <col min="11" max="11" width="11.5703125" style="45" bestFit="1" customWidth="1"/>
    <col min="12" max="12" width="12.85546875" style="45" customWidth="1"/>
    <col min="13" max="13" width="12.28515625" style="45" bestFit="1" customWidth="1"/>
    <col min="14" max="14" width="15" style="45" bestFit="1" customWidth="1"/>
    <col min="15" max="15" width="16" style="45" bestFit="1" customWidth="1"/>
    <col min="16" max="16" width="15.28515625" style="45" hidden="1" customWidth="1" outlineLevel="1"/>
    <col min="17" max="17" width="17.42578125" style="45" bestFit="1" customWidth="1" collapsed="1"/>
    <col min="18" max="18" width="16.28515625" style="45" bestFit="1" customWidth="1"/>
    <col min="19" max="19" width="15.28515625" style="45" bestFit="1" customWidth="1"/>
    <col min="20" max="20" width="12.42578125" style="45" customWidth="1"/>
    <col min="21" max="22" width="14.28515625" style="45" bestFit="1" customWidth="1"/>
    <col min="23" max="16384" width="9.140625" style="45"/>
  </cols>
  <sheetData>
    <row r="1" spans="1:35">
      <c r="A1" s="62" t="str">
        <f>'PTD Cycle 3'!A1</f>
        <v>Evergy Metro, Inc. - DSIM Rider Update Filed 06/01/2026</v>
      </c>
      <c r="B1" s="3"/>
      <c r="C1" s="3"/>
      <c r="D1" s="3"/>
    </row>
    <row r="2" spans="1:35">
      <c r="E2" s="3" t="s">
        <v>120</v>
      </c>
    </row>
    <row r="3" spans="1:35" ht="45">
      <c r="E3" s="47" t="s">
        <v>40</v>
      </c>
      <c r="F3" s="69" t="s">
        <v>61</v>
      </c>
      <c r="G3" s="69" t="s">
        <v>48</v>
      </c>
      <c r="H3" s="47" t="s">
        <v>1</v>
      </c>
      <c r="I3" s="69" t="s">
        <v>49</v>
      </c>
      <c r="J3" s="47" t="s">
        <v>8</v>
      </c>
      <c r="K3" s="47" t="s">
        <v>7</v>
      </c>
      <c r="S3" s="47"/>
    </row>
    <row r="4" spans="1:35">
      <c r="A4" s="19" t="s">
        <v>22</v>
      </c>
      <c r="B4" s="19"/>
      <c r="C4" s="19"/>
      <c r="D4" s="19"/>
      <c r="E4" s="21">
        <f>SUM(C16:M16)</f>
        <v>1195474.6508535123</v>
      </c>
      <c r="F4" s="130">
        <f>N23</f>
        <v>18697176.3785</v>
      </c>
      <c r="G4" s="21">
        <f>SUM(C30:L30)</f>
        <v>1026910.55</v>
      </c>
      <c r="H4" s="21">
        <f>G4-E4</f>
        <v>-168564.1008535123</v>
      </c>
      <c r="I4" s="21">
        <f>+B46</f>
        <v>199084.35853351251</v>
      </c>
      <c r="J4" s="21">
        <f>SUM(C54:L54)</f>
        <v>7416.14</v>
      </c>
      <c r="K4" s="24">
        <f>SUM(H4:J4)</f>
        <v>37936.397680000213</v>
      </c>
      <c r="L4" s="46">
        <f>+K4-M46</f>
        <v>0</v>
      </c>
      <c r="N4" s="46"/>
    </row>
    <row r="5" spans="1:35">
      <c r="A5" s="19" t="s">
        <v>91</v>
      </c>
      <c r="B5" s="19"/>
      <c r="C5" s="19"/>
      <c r="D5" s="19"/>
      <c r="E5" s="21">
        <f t="shared" ref="E5:E7" si="0">SUM(C17:M17)</f>
        <v>453533.36820000003</v>
      </c>
      <c r="F5" s="130">
        <f t="shared" ref="F5:F7" si="1">N24</f>
        <v>6364941.0831000004</v>
      </c>
      <c r="G5" s="21">
        <f t="shared" ref="G5:G7" si="2">SUM(C31:L31)</f>
        <v>397326.78</v>
      </c>
      <c r="H5" s="21">
        <f t="shared" ref="H5:H7" si="3">G5-E5</f>
        <v>-56206.588199999998</v>
      </c>
      <c r="I5" s="21">
        <f t="shared" ref="I5:I7" si="4">+B47</f>
        <v>47908.724599999965</v>
      </c>
      <c r="J5" s="21">
        <f t="shared" ref="J5:J7" si="5">SUM(C55:L55)</f>
        <v>1716.9299999999998</v>
      </c>
      <c r="K5" s="24">
        <f t="shared" ref="K5:K7" si="6">SUM(H5:J5)</f>
        <v>-6580.933600000033</v>
      </c>
      <c r="L5" s="46">
        <f>+K5-M47</f>
        <v>-3.8198777474462986E-11</v>
      </c>
      <c r="N5" s="46"/>
    </row>
    <row r="6" spans="1:35">
      <c r="A6" s="19" t="s">
        <v>92</v>
      </c>
      <c r="B6" s="19"/>
      <c r="C6" s="19"/>
      <c r="D6" s="19"/>
      <c r="E6" s="21">
        <f t="shared" si="0"/>
        <v>709478.77257000015</v>
      </c>
      <c r="F6" s="130">
        <f t="shared" si="1"/>
        <v>15441546.671099998</v>
      </c>
      <c r="G6" s="21">
        <f t="shared" si="2"/>
        <v>678022.44</v>
      </c>
      <c r="H6" s="21">
        <f t="shared" si="3"/>
        <v>-31456.332570000202</v>
      </c>
      <c r="I6" s="21">
        <f t="shared" si="4"/>
        <v>151180.66495999991</v>
      </c>
      <c r="J6" s="21">
        <f t="shared" si="5"/>
        <v>6024.75</v>
      </c>
      <c r="K6" s="24">
        <f t="shared" si="6"/>
        <v>125749.0823899997</v>
      </c>
      <c r="L6" s="46">
        <f>+K6-M48</f>
        <v>-1.6007106751203537E-10</v>
      </c>
      <c r="N6" s="46"/>
    </row>
    <row r="7" spans="1:35">
      <c r="A7" s="19" t="s">
        <v>93</v>
      </c>
      <c r="B7" s="19"/>
      <c r="C7" s="19"/>
      <c r="D7" s="19"/>
      <c r="E7" s="21">
        <f t="shared" si="0"/>
        <v>438399.89358000003</v>
      </c>
      <c r="F7" s="130">
        <f t="shared" si="1"/>
        <v>15472289.7511</v>
      </c>
      <c r="G7" s="21">
        <f t="shared" si="2"/>
        <v>439456.16000000003</v>
      </c>
      <c r="H7" s="21">
        <f t="shared" si="3"/>
        <v>1056.2664199999999</v>
      </c>
      <c r="I7" s="21">
        <f t="shared" si="4"/>
        <v>37194.864000000074</v>
      </c>
      <c r="J7" s="21">
        <f t="shared" si="5"/>
        <v>2457.19</v>
      </c>
      <c r="K7" s="24">
        <f t="shared" si="6"/>
        <v>40708.320420000076</v>
      </c>
      <c r="L7" s="46">
        <f>+K7-M49</f>
        <v>0</v>
      </c>
      <c r="N7" s="46"/>
    </row>
    <row r="8" spans="1:35" ht="15.75" thickBot="1">
      <c r="A8" s="19" t="s">
        <v>94</v>
      </c>
      <c r="B8" s="19"/>
      <c r="C8" s="19"/>
      <c r="D8" s="19"/>
      <c r="E8" s="21">
        <f>SUM(C20:M20)</f>
        <v>27031.000540000001</v>
      </c>
      <c r="F8" s="130">
        <f>N27</f>
        <v>2080597.1776000001</v>
      </c>
      <c r="G8" s="21">
        <f>SUM(C34:L34)</f>
        <v>28622.07</v>
      </c>
      <c r="H8" s="21">
        <f>G8-E8</f>
        <v>1591.0694599999988</v>
      </c>
      <c r="I8" s="21">
        <f>+B50</f>
        <v>8219.528920000017</v>
      </c>
      <c r="J8" s="21">
        <f>SUM(C58:L58)</f>
        <v>345.23</v>
      </c>
      <c r="K8" s="24">
        <f>SUM(H8:J8)</f>
        <v>10155.828380000015</v>
      </c>
      <c r="L8" s="46">
        <f>+K8-M50</f>
        <v>0</v>
      </c>
      <c r="N8" s="46"/>
    </row>
    <row r="9" spans="1:35" ht="16.5" thickTop="1" thickBot="1">
      <c r="E9" s="26">
        <f t="shared" ref="E9:I9" si="7">SUM(E4:E8)</f>
        <v>2823917.6857435121</v>
      </c>
      <c r="F9" s="131">
        <f t="shared" si="7"/>
        <v>58056551.061399996</v>
      </c>
      <c r="G9" s="26">
        <f t="shared" si="7"/>
        <v>2570338</v>
      </c>
      <c r="H9" s="26">
        <f t="shared" si="7"/>
        <v>-253579.6857435125</v>
      </c>
      <c r="I9" s="26">
        <f t="shared" si="7"/>
        <v>443588.14101351245</v>
      </c>
      <c r="J9" s="26">
        <f>SUM(J4:J8)</f>
        <v>17960.239999999998</v>
      </c>
      <c r="K9" s="26">
        <f>SUM(K4:K8)</f>
        <v>207968.69526999997</v>
      </c>
      <c r="T9" s="5"/>
    </row>
    <row r="10" spans="1:35" ht="16.5" thickTop="1" thickBot="1">
      <c r="C10" s="38"/>
      <c r="K10" s="209"/>
      <c r="L10" s="208"/>
    </row>
    <row r="11" spans="1:35" ht="120.75" thickBot="1">
      <c r="B11" s="111" t="str">
        <f>'PCR Cycle 4'!B$11</f>
        <v>Cumulative Over/Under Carryover From 12/01/2025 Filing</v>
      </c>
      <c r="C11" s="144" t="str">
        <f>'PCR Cycle 4'!C$11</f>
        <v>Reverse November 2025 - January 2026 Forecast From 12/01/2025 Filing</v>
      </c>
      <c r="D11" s="293"/>
      <c r="E11" s="362" t="s">
        <v>28</v>
      </c>
      <c r="F11" s="362"/>
      <c r="G11" s="363"/>
      <c r="H11" s="372" t="s">
        <v>28</v>
      </c>
      <c r="I11" s="373"/>
      <c r="J11" s="374"/>
      <c r="K11" s="357" t="s">
        <v>6</v>
      </c>
      <c r="L11" s="358"/>
      <c r="M11" s="359"/>
      <c r="P11" s="260" t="s">
        <v>177</v>
      </c>
    </row>
    <row r="12" spans="1:35">
      <c r="A12" s="45" t="s">
        <v>55</v>
      </c>
      <c r="C12" s="322"/>
      <c r="D12" s="319"/>
      <c r="E12" s="321">
        <f>+'PCR Cycle 4'!E$12</f>
        <v>45991</v>
      </c>
      <c r="F12" s="321">
        <f>+'PCR Cycle 4'!F$12</f>
        <v>46022</v>
      </c>
      <c r="G12" s="321">
        <f>+'PCR Cycle 4'!G$12</f>
        <v>46053</v>
      </c>
      <c r="H12" s="322">
        <f>+'PCR Cycle 4'!H$12</f>
        <v>46081</v>
      </c>
      <c r="I12" s="321">
        <f>+'PCR Cycle 4'!I$12</f>
        <v>46112</v>
      </c>
      <c r="J12" s="323">
        <f>+'PCR Cycle 4'!J$12</f>
        <v>46142</v>
      </c>
      <c r="K12" s="321">
        <f>+'PCR Cycle 4'!K$12</f>
        <v>46173</v>
      </c>
      <c r="L12" s="321">
        <f>+'PCR Cycle 4'!L$12</f>
        <v>46203</v>
      </c>
      <c r="M12" s="324">
        <f>+'PCR Cycle 4'!M$12</f>
        <v>46234</v>
      </c>
      <c r="P12" s="177"/>
      <c r="Z12" s="1"/>
      <c r="AA12" s="1"/>
      <c r="AB12" s="1"/>
      <c r="AC12" s="1"/>
      <c r="AD12" s="1"/>
      <c r="AE12" s="1"/>
      <c r="AF12" s="1"/>
      <c r="AG12" s="1"/>
      <c r="AH12" s="1"/>
      <c r="AI12" s="1"/>
    </row>
    <row r="13" spans="1:35">
      <c r="A13" s="45" t="s">
        <v>3</v>
      </c>
      <c r="C13" s="179">
        <v>-812261.91999999993</v>
      </c>
      <c r="D13" s="180"/>
      <c r="E13" s="105">
        <f t="shared" ref="E13:L13" si="8">SUM(E30:E34)</f>
        <v>409435.18</v>
      </c>
      <c r="F13" s="105">
        <f t="shared" si="8"/>
        <v>402826.74</v>
      </c>
      <c r="G13" s="106">
        <f t="shared" si="8"/>
        <v>381438.56</v>
      </c>
      <c r="H13" s="15">
        <f t="shared" si="8"/>
        <v>349836.15</v>
      </c>
      <c r="I13" s="54">
        <f t="shared" si="8"/>
        <v>389856.07999999996</v>
      </c>
      <c r="J13" s="156">
        <f t="shared" si="8"/>
        <v>397137.69</v>
      </c>
      <c r="K13" s="149">
        <f t="shared" si="8"/>
        <v>430492.62000000005</v>
      </c>
      <c r="L13" s="76">
        <f t="shared" si="8"/>
        <v>621576.9</v>
      </c>
      <c r="M13" s="77"/>
      <c r="P13" s="177">
        <f>-SUM(K13:M13)</f>
        <v>-1052069.52</v>
      </c>
    </row>
    <row r="14" spans="1:35">
      <c r="C14" s="97"/>
      <c r="D14" s="181"/>
      <c r="E14" s="16"/>
      <c r="F14" s="16"/>
      <c r="G14" s="16"/>
      <c r="H14" s="9"/>
      <c r="I14" s="16"/>
      <c r="J14" s="10"/>
      <c r="K14" s="30"/>
      <c r="L14" s="30"/>
      <c r="M14" s="28"/>
      <c r="P14" s="177"/>
    </row>
    <row r="15" spans="1:35">
      <c r="A15" s="45" t="s">
        <v>54</v>
      </c>
      <c r="C15" s="97"/>
      <c r="D15" s="181"/>
      <c r="E15" s="236"/>
      <c r="F15" s="236"/>
      <c r="G15" s="236"/>
      <c r="H15" s="99"/>
      <c r="I15" s="236"/>
      <c r="J15" s="345"/>
      <c r="K15" s="30"/>
      <c r="L15" s="30"/>
      <c r="M15" s="28"/>
      <c r="N15" s="62" t="s">
        <v>58</v>
      </c>
      <c r="O15" s="38"/>
      <c r="P15" s="177"/>
    </row>
    <row r="16" spans="1:35">
      <c r="A16" s="45" t="s">
        <v>22</v>
      </c>
      <c r="C16" s="333">
        <v>-604375.59146648762</v>
      </c>
      <c r="D16" s="180"/>
      <c r="E16" s="128">
        <f>'[4]EMM Nov25'!$G113+'[4]EMM Nov25'!$G121</f>
        <v>144827.28</v>
      </c>
      <c r="F16" s="128">
        <f>'[4]EMM Dec25'!$G113+'[4]EMM Dec25'!$G121</f>
        <v>203479.14</v>
      </c>
      <c r="G16" s="128">
        <f>'[4]EMM Jan26'!$G113+'[4]EMM Jan26'!$G121</f>
        <v>218316.43</v>
      </c>
      <c r="H16" s="15">
        <f>'[4]EMM Feb26'!$G113+'[4]EMM Feb26'!$G121</f>
        <v>245805.26</v>
      </c>
      <c r="I16" s="114">
        <f>'[4]EMM Mar26'!$G113+'[4]EMM Mar26'!$G121</f>
        <v>185765.31</v>
      </c>
      <c r="J16" s="156">
        <f>'[4]EMM Apr26'!$G113+'[4]EMM Apr26'!$G121</f>
        <v>161447.34999999998</v>
      </c>
      <c r="K16" s="116">
        <f>'PCR Cycle 4'!K22*'TDR Cycle 3'!$N16</f>
        <v>149659.57728</v>
      </c>
      <c r="L16" s="40">
        <f>'PCR Cycle 4'!L22*'TDR Cycle 3'!$N16</f>
        <v>201890.45663999999</v>
      </c>
      <c r="M16" s="60">
        <f>'PCR Cycle 4'!M22*'TDR Cycle 3'!$N16</f>
        <v>288659.43839999998</v>
      </c>
      <c r="N16" s="71">
        <v>9.5999999999999992E-4</v>
      </c>
      <c r="O16" s="4"/>
      <c r="P16" s="177">
        <f t="shared" ref="P16:P20" si="9">-SUM(K16:M16)</f>
        <v>-640209.47231999994</v>
      </c>
    </row>
    <row r="17" spans="1:16">
      <c r="A17" s="45" t="s">
        <v>91</v>
      </c>
      <c r="C17" s="333">
        <v>-224513.6054</v>
      </c>
      <c r="D17" s="180"/>
      <c r="E17" s="128">
        <f>'[4]EMM Nov25'!$G114+'[4]EMM Nov25'!$G122</f>
        <v>71672.100000000006</v>
      </c>
      <c r="F17" s="128">
        <f>'[4]EMM Dec25'!$G114+'[4]EMM Dec25'!$G122</f>
        <v>85053.16</v>
      </c>
      <c r="G17" s="128">
        <f>'[4]EMM Jan26'!$G114+'[4]EMM Jan26'!$G122</f>
        <v>85100.97</v>
      </c>
      <c r="H17" s="15">
        <f>'[4]EMM Feb26'!$G114+'[4]EMM Feb26'!$G122</f>
        <v>85363.34</v>
      </c>
      <c r="I17" s="114">
        <f>'[4]EMM Mar26'!$G114+'[4]EMM Mar26'!$G122</f>
        <v>64679.29</v>
      </c>
      <c r="J17" s="156">
        <f>'[4]EMM Apr26'!$G114+'[4]EMM Apr26'!$G122</f>
        <v>58406.020000000004</v>
      </c>
      <c r="K17" s="116">
        <f>'PCR Cycle 4'!K23*'TDR Cycle 3'!$N17</f>
        <v>68420.9856</v>
      </c>
      <c r="L17" s="40">
        <f>'PCR Cycle 4'!L23*'TDR Cycle 3'!$N17</f>
        <v>75434.425199999998</v>
      </c>
      <c r="M17" s="60">
        <f>'PCR Cycle 4'!M23*'TDR Cycle 3'!$N17</f>
        <v>83916.682799999995</v>
      </c>
      <c r="N17" s="71">
        <v>1.1999999999999999E-3</v>
      </c>
      <c r="O17" s="4"/>
      <c r="P17" s="177">
        <f t="shared" si="9"/>
        <v>-227772.09360000002</v>
      </c>
    </row>
    <row r="18" spans="1:16">
      <c r="A18" s="45" t="s">
        <v>92</v>
      </c>
      <c r="C18" s="333">
        <v>-392698.77503999998</v>
      </c>
      <c r="D18" s="180"/>
      <c r="E18" s="128">
        <f>'[4]EMM Nov25'!$G115+'[4]EMM Nov25'!$G123</f>
        <v>115338.02</v>
      </c>
      <c r="F18" s="128">
        <f>'[4]EMM Dec25'!$G115+'[4]EMM Dec25'!$G123</f>
        <v>131851.72999999998</v>
      </c>
      <c r="G18" s="128">
        <f>'[4]EMM Jan26'!$G115+'[4]EMM Jan26'!$G123</f>
        <v>131232.31</v>
      </c>
      <c r="H18" s="15">
        <f>'[4]EMM Feb26'!$G115+'[4]EMM Feb26'!$G123</f>
        <v>131539.51</v>
      </c>
      <c r="I18" s="114">
        <f>'[4]EMM Mar26'!$G115+'[4]EMM Mar26'!$G123</f>
        <v>101229.58</v>
      </c>
      <c r="J18" s="156">
        <f>'[4]EMM Apr26'!$G115+'[4]EMM Apr26'!$G123</f>
        <v>97033.74</v>
      </c>
      <c r="K18" s="116">
        <f>'PCR Cycle 4'!K24*'TDR Cycle 3'!$N18</f>
        <v>118340.34879</v>
      </c>
      <c r="L18" s="40">
        <f>'PCR Cycle 4'!L24*'TDR Cycle 3'!$N18</f>
        <v>130470.73474000001</v>
      </c>
      <c r="M18" s="60">
        <f>'PCR Cycle 4'!M24*'TDR Cycle 3'!$N18</f>
        <v>145141.57408000002</v>
      </c>
      <c r="N18" s="71">
        <v>1.2700000000000001E-3</v>
      </c>
      <c r="O18" s="4"/>
      <c r="P18" s="177">
        <f t="shared" si="9"/>
        <v>-393952.65760999999</v>
      </c>
    </row>
    <row r="19" spans="1:16">
      <c r="A19" s="45" t="s">
        <v>93</v>
      </c>
      <c r="C19" s="333">
        <v>-224183.93599999999</v>
      </c>
      <c r="D19" s="180"/>
      <c r="E19" s="128">
        <f>'[4]EMM Nov25'!$G116+'[4]EMM Nov25'!$G124</f>
        <v>67689.02</v>
      </c>
      <c r="F19" s="128">
        <f>'[4]EMM Dec25'!$G116+'[4]EMM Dec25'!$G124</f>
        <v>78323.72</v>
      </c>
      <c r="G19" s="128">
        <f>'[4]EMM Jan26'!$G116+'[4]EMM Jan26'!$G124</f>
        <v>74570.159999999989</v>
      </c>
      <c r="H19" s="15">
        <f>'[4]EMM Feb26'!$G116+'[4]EMM Feb26'!$G124</f>
        <v>75441.929999999993</v>
      </c>
      <c r="I19" s="114">
        <f>'[4]EMM Mar26'!$G116+'[4]EMM Mar26'!$G124</f>
        <v>66345.81</v>
      </c>
      <c r="J19" s="156">
        <f>'[4]EMM Apr26'!$G116+'[4]EMM Apr26'!$G124</f>
        <v>62059.060000000005</v>
      </c>
      <c r="K19" s="116">
        <f>'PCR Cycle 4'!K25*'TDR Cycle 3'!$N19</f>
        <v>71539.669140000013</v>
      </c>
      <c r="L19" s="40">
        <f>'PCR Cycle 4'!L25*'TDR Cycle 3'!$N19</f>
        <v>78872.78774</v>
      </c>
      <c r="M19" s="60">
        <f>'PCR Cycle 4'!M25*'TDR Cycle 3'!$N19</f>
        <v>87741.67270000001</v>
      </c>
      <c r="N19" s="71">
        <v>4.7000000000000004E-4</v>
      </c>
      <c r="O19" s="4"/>
      <c r="P19" s="177">
        <f t="shared" si="9"/>
        <v>-238154.12958000001</v>
      </c>
    </row>
    <row r="20" spans="1:16">
      <c r="A20" s="45" t="s">
        <v>94</v>
      </c>
      <c r="C20" s="333">
        <v>-14798.591079999998</v>
      </c>
      <c r="D20" s="180"/>
      <c r="E20" s="128">
        <f>'[4]EMM Nov25'!$G117+'[4]EMM Nov25'!$G125</f>
        <v>5202.8499999999995</v>
      </c>
      <c r="F20" s="128">
        <f>'[4]EMM Dec25'!$G117+'[4]EMM Dec25'!$G125</f>
        <v>5325.1100000000006</v>
      </c>
      <c r="G20" s="128">
        <f>'[4]EMM Jan26'!$G117+'[4]EMM Jan26'!$G125</f>
        <v>3347.64</v>
      </c>
      <c r="H20" s="15">
        <f>'[4]EMM Feb26'!$G117+'[4]EMM Feb26'!$G125</f>
        <v>3036.48</v>
      </c>
      <c r="I20" s="114">
        <f>'[4]EMM Mar26'!$G117+'[4]EMM Mar26'!$G125</f>
        <v>3178.84</v>
      </c>
      <c r="J20" s="156">
        <f>'[4]EMM Apr26'!$G117+'[4]EMM Apr26'!$G125</f>
        <v>5320.72</v>
      </c>
      <c r="K20" s="116">
        <f>'PCR Cycle 4'!K26*'TDR Cycle 3'!$N20</f>
        <v>4931.8263399999996</v>
      </c>
      <c r="L20" s="40">
        <f>'PCR Cycle 4'!L26*'TDR Cycle 3'!$N20</f>
        <v>5437.3594799999992</v>
      </c>
      <c r="M20" s="60">
        <f>'PCR Cycle 4'!M26*'TDR Cycle 3'!$N20</f>
        <v>6048.7657999999992</v>
      </c>
      <c r="N20" s="71">
        <v>1.3999999999999999E-4</v>
      </c>
      <c r="O20" s="4"/>
      <c r="P20" s="177">
        <f t="shared" si="9"/>
        <v>-16417.95162</v>
      </c>
    </row>
    <row r="21" spans="1:16">
      <c r="C21" s="66"/>
      <c r="D21" s="182"/>
      <c r="E21" s="67"/>
      <c r="F21" s="67"/>
      <c r="G21" s="67"/>
      <c r="H21" s="66"/>
      <c r="I21" s="67"/>
      <c r="J21" s="159"/>
      <c r="K21" s="67"/>
      <c r="L21" s="67"/>
      <c r="M21" s="12"/>
      <c r="O21" s="4"/>
    </row>
    <row r="22" spans="1:16">
      <c r="A22" s="38" t="s">
        <v>57</v>
      </c>
      <c r="B22" s="38"/>
      <c r="C22" s="66"/>
      <c r="D22" s="182"/>
      <c r="E22" s="67"/>
      <c r="F22" s="67"/>
      <c r="G22" s="67"/>
      <c r="H22" s="66"/>
      <c r="I22" s="67"/>
      <c r="J22" s="160"/>
      <c r="K22" s="67"/>
      <c r="L22" s="67"/>
      <c r="M22" s="12"/>
      <c r="N22" s="6"/>
    </row>
    <row r="23" spans="1:16">
      <c r="A23" s="45" t="s">
        <v>22</v>
      </c>
      <c r="C23" s="334">
        <v>-6348082.3640999999</v>
      </c>
      <c r="D23" s="183"/>
      <c r="E23" s="107">
        <f>ROUND('[16]Summary Monthly TD Calc'!AL18,4)</f>
        <v>2973391.3380999998</v>
      </c>
      <c r="F23" s="107">
        <f>ROUND('[16]Summary Monthly TD Calc'!AM18,4)</f>
        <v>3374691.0260000001</v>
      </c>
      <c r="G23" s="118">
        <f>ROUND('[16]Summary Monthly TD Calc'!AN18,4)</f>
        <v>3319508.0758000002</v>
      </c>
      <c r="H23" s="72">
        <f>ROUND('[16]Summary Monthly TD Calc'!AO18,4)</f>
        <v>2984390.7467999998</v>
      </c>
      <c r="I23" s="73">
        <f>ROUND('[16]Summary Monthly TD Calc'!AP18,4)</f>
        <v>3075320.1250999998</v>
      </c>
      <c r="J23" s="161">
        <f>ROUND('[16]Summary Monthly TD Calc'!AQ18,4)</f>
        <v>2956043.4262999999</v>
      </c>
      <c r="K23" s="150">
        <f>ROUND('[16]Summary Monthly TD Calc'!AR18,4)</f>
        <v>3147346.5247999998</v>
      </c>
      <c r="L23" s="136">
        <f>ROUND('[16]Summary Monthly TD Calc'!AS18,4)</f>
        <v>3214567.4797</v>
      </c>
      <c r="M23" s="78"/>
      <c r="N23" s="58">
        <f>SUM(C23:L23)</f>
        <v>18697176.3785</v>
      </c>
      <c r="P23" s="177">
        <f t="shared" ref="P23:P27" si="10">-SUM(K23:M23)</f>
        <v>-6361914.0044999998</v>
      </c>
    </row>
    <row r="24" spans="1:16">
      <c r="A24" s="45" t="s">
        <v>91</v>
      </c>
      <c r="C24" s="334">
        <v>-2078758.5503</v>
      </c>
      <c r="D24" s="183"/>
      <c r="E24" s="107">
        <f>ROUND('[16]Summary Monthly TD Calc'!AL19,4)</f>
        <v>1039537.2847</v>
      </c>
      <c r="F24" s="107">
        <f>ROUND('[16]Summary Monthly TD Calc'!AM19,4)</f>
        <v>1039221.2656</v>
      </c>
      <c r="G24" s="118">
        <f>ROUND('[16]Summary Monthly TD Calc'!AN19,4)</f>
        <v>1088384.8237999999</v>
      </c>
      <c r="H24" s="72">
        <f>ROUND('[16]Summary Monthly TD Calc'!AO19,4)</f>
        <v>983305.924</v>
      </c>
      <c r="I24" s="73">
        <f>ROUND('[16]Summary Monthly TD Calc'!AP19,4)</f>
        <v>1093306.0497000001</v>
      </c>
      <c r="J24" s="161">
        <f>ROUND('[16]Summary Monthly TD Calc'!AQ19,4)</f>
        <v>1044503.9485000001</v>
      </c>
      <c r="K24" s="150">
        <f>ROUND('[16]Summary Monthly TD Calc'!AR19,4)</f>
        <v>1094833.9632999999</v>
      </c>
      <c r="L24" s="136">
        <f>ROUND('[16]Summary Monthly TD Calc'!AS19,4)</f>
        <v>1060606.3737999999</v>
      </c>
      <c r="M24" s="78"/>
      <c r="N24" s="58">
        <f t="shared" ref="N24:N27" si="11">SUM(C24:L24)</f>
        <v>6364941.0831000004</v>
      </c>
      <c r="P24" s="177">
        <f t="shared" si="10"/>
        <v>-2155440.3371000001</v>
      </c>
    </row>
    <row r="25" spans="1:16">
      <c r="A25" s="45" t="s">
        <v>92</v>
      </c>
      <c r="C25" s="334">
        <v>-5037049.7520000003</v>
      </c>
      <c r="D25" s="183"/>
      <c r="E25" s="107">
        <f>ROUND('[16]Summary Monthly TD Calc'!AL20,4)</f>
        <v>2517808.0828</v>
      </c>
      <c r="F25" s="107">
        <f>ROUND('[16]Summary Monthly TD Calc'!AM20,4)</f>
        <v>2519241.6691999999</v>
      </c>
      <c r="G25" s="118">
        <f>ROUND('[16]Summary Monthly TD Calc'!AN20,4)</f>
        <v>2642710.4218000001</v>
      </c>
      <c r="H25" s="72">
        <f>ROUND('[16]Summary Monthly TD Calc'!AO20,4)</f>
        <v>2388551.0077999998</v>
      </c>
      <c r="I25" s="73">
        <f>ROUND('[16]Summary Monthly TD Calc'!AP20,4)</f>
        <v>2653844.4660999998</v>
      </c>
      <c r="J25" s="161">
        <f>ROUND('[16]Summary Monthly TD Calc'!AQ20,4)</f>
        <v>2532182.6269999999</v>
      </c>
      <c r="K25" s="150">
        <f>ROUND('[16]Summary Monthly TD Calc'!AR20,4)</f>
        <v>2657075.5318</v>
      </c>
      <c r="L25" s="136">
        <f>ROUND('[16]Summary Monthly TD Calc'!AS20,4)</f>
        <v>2567182.6165999998</v>
      </c>
      <c r="M25" s="78"/>
      <c r="N25" s="58">
        <f t="shared" si="11"/>
        <v>15441546.671099998</v>
      </c>
      <c r="P25" s="177">
        <f t="shared" si="10"/>
        <v>-5224258.1483999994</v>
      </c>
    </row>
    <row r="26" spans="1:16">
      <c r="A26" s="45" t="s">
        <v>93</v>
      </c>
      <c r="C26" s="334">
        <v>-5043956.9194</v>
      </c>
      <c r="D26" s="183"/>
      <c r="E26" s="107">
        <f>ROUND('[16]Summary Monthly TD Calc'!AL21,4)</f>
        <v>2523767.6014</v>
      </c>
      <c r="F26" s="107">
        <f>ROUND('[16]Summary Monthly TD Calc'!AM21,4)</f>
        <v>2520189.318</v>
      </c>
      <c r="G26" s="118">
        <f>ROUND('[16]Summary Monthly TD Calc'!AN21,4)</f>
        <v>2642491.1110999999</v>
      </c>
      <c r="H26" s="72">
        <f>ROUND('[16]Summary Monthly TD Calc'!AO21,4)</f>
        <v>2387228.0781</v>
      </c>
      <c r="I26" s="73">
        <f>ROUND('[16]Summary Monthly TD Calc'!AP21,4)</f>
        <v>2658268.7472999999</v>
      </c>
      <c r="J26" s="161">
        <f>ROUND('[16]Summary Monthly TD Calc'!AQ21,4)</f>
        <v>2536785.7093000002</v>
      </c>
      <c r="K26" s="150">
        <f>ROUND('[16]Summary Monthly TD Calc'!AR21,4)</f>
        <v>2661998.8506999998</v>
      </c>
      <c r="L26" s="136">
        <f>ROUND('[16]Summary Monthly TD Calc'!AS21,4)</f>
        <v>2585517.2546000001</v>
      </c>
      <c r="M26" s="78"/>
      <c r="N26" s="58">
        <f t="shared" si="11"/>
        <v>15472289.7511</v>
      </c>
      <c r="P26" s="177">
        <f t="shared" si="10"/>
        <v>-5247516.1052999999</v>
      </c>
    </row>
    <row r="27" spans="1:16">
      <c r="A27" s="45" t="s">
        <v>94</v>
      </c>
      <c r="C27" s="334">
        <v>-678966.69980000006</v>
      </c>
      <c r="D27" s="183"/>
      <c r="E27" s="107">
        <f>ROUND('[16]Summary Monthly TD Calc'!AL22,4)</f>
        <v>340677.04149999999</v>
      </c>
      <c r="F27" s="107">
        <f>ROUND('[16]Summary Monthly TD Calc'!AM22,4)</f>
        <v>338289.65830000001</v>
      </c>
      <c r="G27" s="118">
        <f>ROUND('[16]Summary Monthly TD Calc'!AN22,4)</f>
        <v>353258.55650000001</v>
      </c>
      <c r="H27" s="72">
        <f>ROUND('[16]Summary Monthly TD Calc'!AO22,4)</f>
        <v>318722.2022</v>
      </c>
      <c r="I27" s="73">
        <f>ROUND('[16]Summary Monthly TD Calc'!AP22,4)</f>
        <v>356831.69819999998</v>
      </c>
      <c r="J27" s="161">
        <f>ROUND('[16]Summary Monthly TD Calc'!AQ22,4)</f>
        <v>341474.30930000002</v>
      </c>
      <c r="K27" s="150">
        <f>ROUND('[16]Summary Monthly TD Calc'!AR22,4)</f>
        <v>357582.0404</v>
      </c>
      <c r="L27" s="136">
        <f>ROUND('[16]Summary Monthly TD Calc'!AS22,4)</f>
        <v>352728.37099999998</v>
      </c>
      <c r="M27" s="78"/>
      <c r="N27" s="58">
        <f t="shared" si="11"/>
        <v>2080597.1776000001</v>
      </c>
      <c r="P27" s="177">
        <f t="shared" si="10"/>
        <v>-710310.41139999998</v>
      </c>
    </row>
    <row r="28" spans="1:16">
      <c r="C28" s="66"/>
      <c r="D28" s="182"/>
      <c r="E28" s="55"/>
      <c r="F28" s="55"/>
      <c r="G28" s="55"/>
      <c r="H28" s="11"/>
      <c r="I28" s="55"/>
      <c r="J28" s="160"/>
      <c r="K28" s="55"/>
      <c r="L28" s="55"/>
      <c r="M28" s="12"/>
    </row>
    <row r="29" spans="1:16">
      <c r="A29" s="45" t="s">
        <v>59</v>
      </c>
      <c r="C29" s="35"/>
      <c r="D29" s="184"/>
      <c r="E29" s="36"/>
      <c r="F29" s="36"/>
      <c r="G29" s="36"/>
      <c r="H29" s="35"/>
      <c r="I29" s="36"/>
      <c r="J29" s="162"/>
      <c r="K29" s="51"/>
      <c r="L29" s="51"/>
      <c r="M29" s="37"/>
    </row>
    <row r="30" spans="1:16">
      <c r="A30" s="45" t="s">
        <v>22</v>
      </c>
      <c r="C30" s="333">
        <v>-332528.45</v>
      </c>
      <c r="D30" s="180"/>
      <c r="E30" s="105">
        <f>'[16]Summary Monthly TD Calc'!AL3</f>
        <v>161075.26</v>
      </c>
      <c r="F30" s="105">
        <f>'[16]Summary Monthly TD Calc'!AM3</f>
        <v>171453.19</v>
      </c>
      <c r="G30" s="106">
        <f>'[16]Summary Monthly TD Calc'!AN3</f>
        <v>153355.89000000001</v>
      </c>
      <c r="H30" s="15">
        <f>'[16]Summary Monthly TD Calc'!AO3</f>
        <v>141455.79999999999</v>
      </c>
      <c r="I30" s="54">
        <f>'[16]Summary Monthly TD Calc'!AP3</f>
        <v>151418.62</v>
      </c>
      <c r="J30" s="156">
        <f>'[16]Summary Monthly TD Calc'!AQ3</f>
        <v>154869.70000000001</v>
      </c>
      <c r="K30" s="151">
        <f>'[16]Summary Monthly TD Calc'!AR3</f>
        <v>163482.21000000002</v>
      </c>
      <c r="L30" s="135">
        <f>'[16]Summary Monthly TD Calc'!AS3</f>
        <v>262328.33</v>
      </c>
      <c r="M30" s="77"/>
      <c r="P30" s="177">
        <f t="shared" ref="P30:P36" si="12">-SUM(K30:M30)</f>
        <v>-425810.54000000004</v>
      </c>
    </row>
    <row r="31" spans="1:16">
      <c r="A31" s="45" t="s">
        <v>91</v>
      </c>
      <c r="C31" s="333">
        <v>-125546.98</v>
      </c>
      <c r="D31" s="180"/>
      <c r="E31" s="105">
        <f>'[16]Summary Monthly TD Calc'!AL4</f>
        <v>64746.17</v>
      </c>
      <c r="F31" s="105">
        <f>'[16]Summary Monthly TD Calc'!AM4</f>
        <v>60800.81</v>
      </c>
      <c r="G31" s="106">
        <f>'[16]Summary Monthly TD Calc'!AN4</f>
        <v>60442.559999999998</v>
      </c>
      <c r="H31" s="15">
        <f>'[16]Summary Monthly TD Calc'!AO4</f>
        <v>54806.9</v>
      </c>
      <c r="I31" s="54">
        <f>'[16]Summary Monthly TD Calc'!AP4</f>
        <v>62460.97</v>
      </c>
      <c r="J31" s="156">
        <f>'[16]Summary Monthly TD Calc'!AQ4</f>
        <v>62860.489999999991</v>
      </c>
      <c r="K31" s="151">
        <f>'[16]Summary Monthly TD Calc'!AR4</f>
        <v>68999.070000000007</v>
      </c>
      <c r="L31" s="135">
        <f>'[16]Summary Monthly TD Calc'!AS4</f>
        <v>87756.790000000008</v>
      </c>
      <c r="M31" s="77"/>
      <c r="P31" s="177">
        <f t="shared" si="12"/>
        <v>-156755.86000000002</v>
      </c>
    </row>
    <row r="32" spans="1:16">
      <c r="A32" s="45" t="s">
        <v>92</v>
      </c>
      <c r="C32" s="333">
        <v>-210589.74000000002</v>
      </c>
      <c r="D32" s="180"/>
      <c r="E32" s="105">
        <f>'[16]Summary Monthly TD Calc'!AL5</f>
        <v>109213.04000000001</v>
      </c>
      <c r="F32" s="105">
        <f>'[16]Summary Monthly TD Calc'!AM5</f>
        <v>101376.70000000001</v>
      </c>
      <c r="G32" s="106">
        <f>'[16]Summary Monthly TD Calc'!AN5</f>
        <v>99501.66</v>
      </c>
      <c r="H32" s="15">
        <f>'[16]Summary Monthly TD Calc'!AO5</f>
        <v>90808.66</v>
      </c>
      <c r="I32" s="54">
        <f>'[16]Summary Monthly TD Calc'!AP5</f>
        <v>103796.89999999998</v>
      </c>
      <c r="J32" s="156">
        <f>'[16]Summary Monthly TD Calc'!AQ5</f>
        <v>105681.04999999999</v>
      </c>
      <c r="K32" s="151">
        <f>'[16]Summary Monthly TD Calc'!AR5</f>
        <v>118186.67</v>
      </c>
      <c r="L32" s="135">
        <f>'[16]Summary Monthly TD Calc'!AS5</f>
        <v>160047.5</v>
      </c>
      <c r="M32" s="77"/>
      <c r="P32" s="177">
        <f t="shared" si="12"/>
        <v>-278234.17</v>
      </c>
    </row>
    <row r="33" spans="1:18">
      <c r="A33" s="45" t="s">
        <v>93</v>
      </c>
      <c r="C33" s="333">
        <v>-134825.37</v>
      </c>
      <c r="D33" s="180"/>
      <c r="E33" s="105">
        <f>'[16]Summary Monthly TD Calc'!AL6</f>
        <v>69916.95</v>
      </c>
      <c r="F33" s="105">
        <f>'[16]Summary Monthly TD Calc'!AM6</f>
        <v>64908.420000000006</v>
      </c>
      <c r="G33" s="106">
        <f>'[16]Summary Monthly TD Calc'!AN6</f>
        <v>64380.7</v>
      </c>
      <c r="H33" s="15">
        <f>'[16]Summary Monthly TD Calc'!AO6</f>
        <v>58677.279999999999</v>
      </c>
      <c r="I33" s="54">
        <f>'[16]Summary Monthly TD Calc'!AP6</f>
        <v>67480.740000000005</v>
      </c>
      <c r="J33" s="156">
        <f>'[16]Summary Monthly TD Calc'!AQ6</f>
        <v>69207.66</v>
      </c>
      <c r="K33" s="151">
        <f>'[16]Summary Monthly TD Calc'!AR6</f>
        <v>75085.89</v>
      </c>
      <c r="L33" s="135">
        <f>'[16]Summary Monthly TD Calc'!AS6</f>
        <v>104623.89</v>
      </c>
      <c r="M33" s="77"/>
      <c r="P33" s="177">
        <f t="shared" si="12"/>
        <v>-179709.78</v>
      </c>
    </row>
    <row r="34" spans="1:18">
      <c r="A34" s="45" t="s">
        <v>94</v>
      </c>
      <c r="C34" s="333">
        <v>-8771.380000000001</v>
      </c>
      <c r="D34" s="180"/>
      <c r="E34" s="105">
        <f>'[16]Summary Monthly TD Calc'!AL7</f>
        <v>4483.76</v>
      </c>
      <c r="F34" s="105">
        <f>'[16]Summary Monthly TD Calc'!AM7</f>
        <v>4287.62</v>
      </c>
      <c r="G34" s="106">
        <f>'[16]Summary Monthly TD Calc'!AN7</f>
        <v>3757.7499999999995</v>
      </c>
      <c r="H34" s="15">
        <f>'[16]Summary Monthly TD Calc'!AO7</f>
        <v>4087.51</v>
      </c>
      <c r="I34" s="54">
        <f>'[16]Summary Monthly TD Calc'!AP7</f>
        <v>4698.8500000000004</v>
      </c>
      <c r="J34" s="156">
        <f>'[16]Summary Monthly TD Calc'!AQ7</f>
        <v>4518.79</v>
      </c>
      <c r="K34" s="151">
        <f>'[16]Summary Monthly TD Calc'!AR7</f>
        <v>4738.7800000000007</v>
      </c>
      <c r="L34" s="135">
        <f>'[16]Summary Monthly TD Calc'!AS7</f>
        <v>6820.39</v>
      </c>
      <c r="M34" s="77"/>
      <c r="O34" s="46"/>
      <c r="P34" s="177">
        <f t="shared" si="12"/>
        <v>-11559.170000000002</v>
      </c>
    </row>
    <row r="35" spans="1:18">
      <c r="C35" s="66"/>
      <c r="D35" s="182"/>
      <c r="E35" s="55"/>
      <c r="F35" s="55"/>
      <c r="G35" s="55"/>
      <c r="H35" s="11"/>
      <c r="I35" s="55"/>
      <c r="J35" s="162"/>
      <c r="K35" s="55"/>
      <c r="L35" s="55"/>
      <c r="M35" s="12"/>
    </row>
    <row r="36" spans="1:18" ht="15.75" thickBot="1">
      <c r="A36" s="3" t="s">
        <v>13</v>
      </c>
      <c r="B36" s="3"/>
      <c r="C36" s="335">
        <v>-9241.2400000000016</v>
      </c>
      <c r="D36" s="185"/>
      <c r="E36" s="128">
        <f>4695.6-0.02</f>
        <v>4695.58</v>
      </c>
      <c r="F36" s="128">
        <f>4318.94-0.02</f>
        <v>4318.9199999999992</v>
      </c>
      <c r="G36" s="129">
        <f>3795.6-0.02</f>
        <v>3795.58</v>
      </c>
      <c r="H36" s="25">
        <f>3148.37-0.01</f>
        <v>3148.3599999999997</v>
      </c>
      <c r="I36" s="115">
        <f>2763.47-0.02</f>
        <v>2763.45</v>
      </c>
      <c r="J36" s="163">
        <f>2674.54-0.02</f>
        <v>2674.52</v>
      </c>
      <c r="K36" s="152">
        <f>ROUND((SUM(J46:J50)+SUM(J54:J58)+SUM(K39:K43)/2)*K$52,2)</f>
        <v>2747.37</v>
      </c>
      <c r="L36" s="137">
        <f>ROUND((SUM(K46:K50)+SUM(K54:K58)+SUM(L39:L43)/2)*L$52,2)</f>
        <v>3057.68</v>
      </c>
      <c r="M36" s="80"/>
      <c r="P36" s="177">
        <f t="shared" si="12"/>
        <v>-5805.0499999999993</v>
      </c>
      <c r="R36" s="292"/>
    </row>
    <row r="37" spans="1:18">
      <c r="C37" s="63"/>
      <c r="D37" s="188"/>
      <c r="E37" s="65"/>
      <c r="F37" s="65"/>
      <c r="G37" s="32"/>
      <c r="H37" s="63"/>
      <c r="I37" s="32"/>
      <c r="J37" s="164"/>
      <c r="K37" s="33"/>
      <c r="L37" s="33"/>
      <c r="M37" s="59"/>
    </row>
    <row r="38" spans="1:18">
      <c r="A38" s="45" t="s">
        <v>46</v>
      </c>
      <c r="C38" s="64"/>
      <c r="D38" s="189"/>
      <c r="E38" s="34"/>
      <c r="F38" s="34"/>
      <c r="G38" s="34"/>
      <c r="H38" s="64"/>
      <c r="I38" s="34"/>
      <c r="J38" s="165"/>
      <c r="K38" s="33"/>
      <c r="L38" s="33"/>
      <c r="M38" s="59"/>
    </row>
    <row r="39" spans="1:18">
      <c r="A39" s="45" t="s">
        <v>22</v>
      </c>
      <c r="C39" s="186">
        <f t="shared" ref="C39" si="13">C30-C16</f>
        <v>271847.14146648761</v>
      </c>
      <c r="D39" s="190">
        <f t="shared" ref="D39" si="14">D30-D16</f>
        <v>0</v>
      </c>
      <c r="E39" s="40">
        <f t="shared" ref="E39:M39" si="15">E30-E16</f>
        <v>16247.98000000001</v>
      </c>
      <c r="F39" s="40">
        <f t="shared" si="15"/>
        <v>-32025.950000000012</v>
      </c>
      <c r="G39" s="104">
        <f t="shared" si="15"/>
        <v>-64960.539999999979</v>
      </c>
      <c r="H39" s="39">
        <f t="shared" si="15"/>
        <v>-104349.46000000002</v>
      </c>
      <c r="I39" s="40">
        <f t="shared" si="15"/>
        <v>-34346.69</v>
      </c>
      <c r="J39" s="60">
        <f t="shared" si="15"/>
        <v>-6577.6499999999651</v>
      </c>
      <c r="K39" s="116">
        <f t="shared" si="15"/>
        <v>13822.632720000023</v>
      </c>
      <c r="L39" s="40">
        <f t="shared" si="15"/>
        <v>60437.873360000027</v>
      </c>
      <c r="M39" s="60">
        <f t="shared" si="15"/>
        <v>-288659.43839999998</v>
      </c>
    </row>
    <row r="40" spans="1:18">
      <c r="A40" s="45" t="s">
        <v>91</v>
      </c>
      <c r="C40" s="186">
        <f t="shared" ref="C40" si="16">C31-C17</f>
        <v>98966.625400000004</v>
      </c>
      <c r="D40" s="190">
        <f t="shared" ref="D40:M40" si="17">D31-D17</f>
        <v>0</v>
      </c>
      <c r="E40" s="40">
        <f t="shared" si="17"/>
        <v>-6925.9300000000076</v>
      </c>
      <c r="F40" s="40">
        <f t="shared" si="17"/>
        <v>-24252.350000000006</v>
      </c>
      <c r="G40" s="104">
        <f t="shared" si="17"/>
        <v>-24658.410000000003</v>
      </c>
      <c r="H40" s="39">
        <f t="shared" si="17"/>
        <v>-30556.439999999995</v>
      </c>
      <c r="I40" s="40">
        <f t="shared" si="17"/>
        <v>-2218.3199999999997</v>
      </c>
      <c r="J40" s="60">
        <f t="shared" si="17"/>
        <v>4454.4699999999866</v>
      </c>
      <c r="K40" s="116">
        <f t="shared" si="17"/>
        <v>578.08440000000701</v>
      </c>
      <c r="L40" s="40">
        <f t="shared" si="17"/>
        <v>12322.36480000001</v>
      </c>
      <c r="M40" s="60">
        <f t="shared" si="17"/>
        <v>-83916.682799999995</v>
      </c>
    </row>
    <row r="41" spans="1:18">
      <c r="A41" s="45" t="s">
        <v>92</v>
      </c>
      <c r="C41" s="186">
        <f t="shared" ref="C41" si="18">C32-C18</f>
        <v>182109.03503999996</v>
      </c>
      <c r="D41" s="190">
        <f t="shared" ref="D41:M41" si="19">D32-D18</f>
        <v>0</v>
      </c>
      <c r="E41" s="40">
        <f t="shared" si="19"/>
        <v>-6124.9799999999959</v>
      </c>
      <c r="F41" s="40">
        <f t="shared" si="19"/>
        <v>-30475.02999999997</v>
      </c>
      <c r="G41" s="104">
        <f t="shared" si="19"/>
        <v>-31730.649999999994</v>
      </c>
      <c r="H41" s="39">
        <f t="shared" si="19"/>
        <v>-40730.850000000006</v>
      </c>
      <c r="I41" s="40">
        <f t="shared" si="19"/>
        <v>2567.3199999999779</v>
      </c>
      <c r="J41" s="60">
        <f t="shared" si="19"/>
        <v>8647.3099999999831</v>
      </c>
      <c r="K41" s="116">
        <f t="shared" si="19"/>
        <v>-153.67879000000539</v>
      </c>
      <c r="L41" s="40">
        <f t="shared" si="19"/>
        <v>29576.765259999986</v>
      </c>
      <c r="M41" s="60">
        <f t="shared" si="19"/>
        <v>-145141.57408000002</v>
      </c>
    </row>
    <row r="42" spans="1:18">
      <c r="A42" s="45" t="s">
        <v>93</v>
      </c>
      <c r="C42" s="186">
        <f t="shared" ref="C42" si="20">C33-C19</f>
        <v>89358.565999999992</v>
      </c>
      <c r="D42" s="190">
        <f t="shared" ref="D42:M42" si="21">D33-D19</f>
        <v>0</v>
      </c>
      <c r="E42" s="40">
        <f t="shared" si="21"/>
        <v>2227.929999999993</v>
      </c>
      <c r="F42" s="40">
        <f t="shared" si="21"/>
        <v>-13415.299999999996</v>
      </c>
      <c r="G42" s="104">
        <f t="shared" si="21"/>
        <v>-10189.459999999992</v>
      </c>
      <c r="H42" s="39">
        <f t="shared" si="21"/>
        <v>-16764.649999999994</v>
      </c>
      <c r="I42" s="40">
        <f t="shared" si="21"/>
        <v>1134.9300000000076</v>
      </c>
      <c r="J42" s="60">
        <f t="shared" si="21"/>
        <v>7148.5999999999985</v>
      </c>
      <c r="K42" s="116">
        <f t="shared" si="21"/>
        <v>3546.2208599999867</v>
      </c>
      <c r="L42" s="40">
        <f t="shared" si="21"/>
        <v>25751.10226</v>
      </c>
      <c r="M42" s="60">
        <f t="shared" si="21"/>
        <v>-87741.67270000001</v>
      </c>
    </row>
    <row r="43" spans="1:18">
      <c r="A43" s="45" t="s">
        <v>94</v>
      </c>
      <c r="C43" s="186">
        <f t="shared" ref="C43" si="22">C34-C20</f>
        <v>6027.2110799999973</v>
      </c>
      <c r="D43" s="190">
        <f t="shared" ref="D43:M43" si="23">D34-D20</f>
        <v>0</v>
      </c>
      <c r="E43" s="40">
        <f t="shared" si="23"/>
        <v>-719.08999999999924</v>
      </c>
      <c r="F43" s="40">
        <f t="shared" si="23"/>
        <v>-1037.4900000000007</v>
      </c>
      <c r="G43" s="104">
        <f t="shared" si="23"/>
        <v>410.10999999999967</v>
      </c>
      <c r="H43" s="39">
        <f t="shared" si="23"/>
        <v>1051.0300000000002</v>
      </c>
      <c r="I43" s="40">
        <f t="shared" si="23"/>
        <v>1520.0100000000002</v>
      </c>
      <c r="J43" s="60">
        <f t="shared" si="23"/>
        <v>-801.93000000000029</v>
      </c>
      <c r="K43" s="116">
        <f t="shared" si="23"/>
        <v>-193.04633999999896</v>
      </c>
      <c r="L43" s="40">
        <f t="shared" si="23"/>
        <v>1383.0305200000012</v>
      </c>
      <c r="M43" s="60">
        <f t="shared" si="23"/>
        <v>-6048.7657999999992</v>
      </c>
    </row>
    <row r="44" spans="1:18">
      <c r="C44" s="97"/>
      <c r="D44" s="181"/>
      <c r="E44" s="30"/>
      <c r="F44" s="16"/>
      <c r="G44" s="16"/>
      <c r="H44" s="9"/>
      <c r="I44" s="16"/>
      <c r="J44" s="10"/>
      <c r="K44" s="16"/>
      <c r="L44" s="16"/>
      <c r="M44" s="10"/>
    </row>
    <row r="45" spans="1:18" ht="15.75" thickBot="1">
      <c r="A45" s="45" t="s">
        <v>47</v>
      </c>
      <c r="B45" s="38"/>
      <c r="C45" s="97"/>
      <c r="D45" s="181"/>
      <c r="E45" s="16"/>
      <c r="F45" s="16"/>
      <c r="G45" s="16"/>
      <c r="H45" s="9"/>
      <c r="I45" s="16"/>
      <c r="J45" s="10"/>
      <c r="K45" s="16"/>
      <c r="L45" s="16"/>
      <c r="M45" s="10"/>
    </row>
    <row r="46" spans="1:18">
      <c r="A46" s="45" t="s">
        <v>22</v>
      </c>
      <c r="B46" s="269">
        <v>199084.35853351251</v>
      </c>
      <c r="C46" s="186">
        <f t="shared" ref="C46:C50" si="24">+B46+C39+B54</f>
        <v>470931.50000000012</v>
      </c>
      <c r="D46" s="190">
        <f>+C46+D39+C54</f>
        <v>466833.08000000013</v>
      </c>
      <c r="E46" s="40">
        <f t="shared" ref="E46:E50" si="25">+D46+E39+D54</f>
        <v>483081.06000000017</v>
      </c>
      <c r="F46" s="40">
        <f t="shared" ref="F46:F50" si="26">+E46+F39+E54</f>
        <v>453110.58000000013</v>
      </c>
      <c r="G46" s="104">
        <f t="shared" ref="G46:G50" si="27">+F46+G39+F54</f>
        <v>390095.50000000017</v>
      </c>
      <c r="H46" s="39">
        <f t="shared" ref="H46:H50" si="28">+G46+H39+G54</f>
        <v>287471.42000000016</v>
      </c>
      <c r="I46" s="40">
        <f t="shared" ref="I46:I50" si="29">+H46+I39+H54</f>
        <v>254509.58000000016</v>
      </c>
      <c r="J46" s="60">
        <f t="shared" ref="J46:J50" si="30">+I46+J39+I54</f>
        <v>249062.69000000021</v>
      </c>
      <c r="K46" s="116">
        <f t="shared" ref="K46:K50" si="31">+J46+K39+J54</f>
        <v>263911.83272000024</v>
      </c>
      <c r="L46" s="40">
        <f t="shared" ref="L46:L50" si="32">+K46+L39+K54</f>
        <v>325395.12608000025</v>
      </c>
      <c r="M46" s="60">
        <f t="shared" ref="M46:M50" si="33">+L46+M39+L54</f>
        <v>37936.397680000264</v>
      </c>
    </row>
    <row r="47" spans="1:18">
      <c r="A47" s="45" t="s">
        <v>91</v>
      </c>
      <c r="B47" s="271">
        <v>47908.724599999965</v>
      </c>
      <c r="C47" s="186">
        <f t="shared" si="24"/>
        <v>146875.34999999998</v>
      </c>
      <c r="D47" s="190">
        <f t="shared" ref="D47:D50" si="34">+C47+D40+C55</f>
        <v>145667.99</v>
      </c>
      <c r="E47" s="40">
        <f t="shared" si="25"/>
        <v>138742.06</v>
      </c>
      <c r="F47" s="40">
        <f t="shared" si="26"/>
        <v>115105.12999999999</v>
      </c>
      <c r="G47" s="104">
        <f t="shared" si="27"/>
        <v>90974.349999999991</v>
      </c>
      <c r="H47" s="39">
        <f t="shared" si="28"/>
        <v>60839.7</v>
      </c>
      <c r="I47" s="40">
        <f t="shared" si="29"/>
        <v>58931.74</v>
      </c>
      <c r="J47" s="60">
        <f t="shared" si="30"/>
        <v>63636.099999999984</v>
      </c>
      <c r="K47" s="116">
        <f t="shared" si="31"/>
        <v>64463.984399999994</v>
      </c>
      <c r="L47" s="40">
        <f t="shared" si="32"/>
        <v>77047.3992</v>
      </c>
      <c r="M47" s="60">
        <f t="shared" si="33"/>
        <v>-6580.9335999999948</v>
      </c>
    </row>
    <row r="48" spans="1:18">
      <c r="A48" s="45" t="s">
        <v>92</v>
      </c>
      <c r="B48" s="271">
        <v>151180.66495999991</v>
      </c>
      <c r="C48" s="186">
        <f t="shared" si="24"/>
        <v>333289.69999999984</v>
      </c>
      <c r="D48" s="190">
        <f t="shared" si="34"/>
        <v>330549.56999999983</v>
      </c>
      <c r="E48" s="40">
        <f t="shared" si="25"/>
        <v>324424.58999999985</v>
      </c>
      <c r="F48" s="40">
        <f t="shared" si="26"/>
        <v>295366.81999999989</v>
      </c>
      <c r="G48" s="104">
        <f t="shared" si="27"/>
        <v>264924.24999999994</v>
      </c>
      <c r="H48" s="39">
        <f t="shared" si="28"/>
        <v>225339.85999999993</v>
      </c>
      <c r="I48" s="40">
        <f t="shared" si="29"/>
        <v>228908.99999999991</v>
      </c>
      <c r="J48" s="60">
        <f t="shared" si="30"/>
        <v>238503.6999999999</v>
      </c>
      <c r="K48" s="116">
        <f t="shared" si="31"/>
        <v>239302.61120999989</v>
      </c>
      <c r="L48" s="40">
        <f t="shared" si="32"/>
        <v>269853.11646999989</v>
      </c>
      <c r="M48" s="60">
        <f t="shared" si="33"/>
        <v>125749.08238999986</v>
      </c>
    </row>
    <row r="49" spans="1:18">
      <c r="A49" s="45" t="s">
        <v>93</v>
      </c>
      <c r="B49" s="271">
        <v>37194.864000000074</v>
      </c>
      <c r="C49" s="186">
        <f t="shared" si="24"/>
        <v>126553.43000000007</v>
      </c>
      <c r="D49" s="190">
        <f t="shared" si="34"/>
        <v>125479.49000000006</v>
      </c>
      <c r="E49" s="40">
        <f t="shared" si="25"/>
        <v>127707.42000000006</v>
      </c>
      <c r="F49" s="40">
        <f t="shared" si="26"/>
        <v>114839.98000000005</v>
      </c>
      <c r="G49" s="104">
        <f t="shared" si="27"/>
        <v>105154.58000000006</v>
      </c>
      <c r="H49" s="39">
        <f t="shared" si="28"/>
        <v>88840.08000000006</v>
      </c>
      <c r="I49" s="40">
        <f t="shared" si="29"/>
        <v>90371.420000000071</v>
      </c>
      <c r="J49" s="60">
        <f t="shared" si="30"/>
        <v>97893.790000000081</v>
      </c>
      <c r="K49" s="116">
        <f t="shared" si="31"/>
        <v>101823.68086000007</v>
      </c>
      <c r="L49" s="40">
        <f t="shared" si="32"/>
        <v>127981.76312000006</v>
      </c>
      <c r="M49" s="60">
        <f t="shared" si="33"/>
        <v>40708.320420000055</v>
      </c>
    </row>
    <row r="50" spans="1:18" ht="15.75" thickBot="1">
      <c r="A50" s="45" t="s">
        <v>94</v>
      </c>
      <c r="B50" s="270">
        <v>8219.528920000017</v>
      </c>
      <c r="C50" s="186">
        <f t="shared" si="24"/>
        <v>14246.740000000014</v>
      </c>
      <c r="D50" s="190">
        <f t="shared" si="34"/>
        <v>14125.370000000014</v>
      </c>
      <c r="E50" s="40">
        <f t="shared" si="25"/>
        <v>13406.280000000013</v>
      </c>
      <c r="F50" s="40">
        <f t="shared" si="26"/>
        <v>12428.360000000011</v>
      </c>
      <c r="G50" s="104">
        <f t="shared" si="27"/>
        <v>12892.160000000013</v>
      </c>
      <c r="H50" s="39">
        <f t="shared" si="28"/>
        <v>13994.990000000013</v>
      </c>
      <c r="I50" s="40">
        <f t="shared" si="29"/>
        <v>15569.920000000013</v>
      </c>
      <c r="J50" s="60">
        <f t="shared" si="30"/>
        <v>14829.630000000012</v>
      </c>
      <c r="K50" s="116">
        <f t="shared" si="31"/>
        <v>14698.533660000014</v>
      </c>
      <c r="L50" s="40">
        <f t="shared" si="32"/>
        <v>16141.744180000016</v>
      </c>
      <c r="M50" s="60">
        <f t="shared" si="33"/>
        <v>10155.828380000017</v>
      </c>
    </row>
    <row r="51" spans="1:18">
      <c r="C51" s="97"/>
      <c r="D51" s="181"/>
      <c r="E51" s="16"/>
      <c r="F51" s="16"/>
      <c r="G51" s="16"/>
      <c r="H51" s="9"/>
      <c r="I51" s="16"/>
      <c r="J51" s="10"/>
      <c r="K51" s="16"/>
      <c r="L51" s="16"/>
      <c r="M51" s="10"/>
    </row>
    <row r="52" spans="1:18">
      <c r="A52" s="38" t="s">
        <v>105</v>
      </c>
      <c r="B52" s="38"/>
      <c r="C52" s="101"/>
      <c r="D52" s="191"/>
      <c r="E52" s="81">
        <f>'PCR Cycle 3'!E$51</f>
        <v>4.3276900000000004E-3</v>
      </c>
      <c r="F52" s="81">
        <f>'PCR Cycle 3'!F$51</f>
        <v>4.1470099999999996E-3</v>
      </c>
      <c r="G52" s="81">
        <f>'PCR Cycle 3'!G$51</f>
        <v>4.0829999999999998E-3</v>
      </c>
      <c r="H52" s="82">
        <f>'PCR Cycle 3'!H$51</f>
        <v>4.0773399999999996E-3</v>
      </c>
      <c r="I52" s="81">
        <f>'PCR Cycle 3'!I$51</f>
        <v>4.1620499999999996E-3</v>
      </c>
      <c r="J52" s="90">
        <f>'PCR Cycle 3'!J$51</f>
        <v>4.0677700000000001E-3</v>
      </c>
      <c r="K52" s="81">
        <f>'PCR Cycle 3'!K$51</f>
        <v>4.0677700000000001E-3</v>
      </c>
      <c r="L52" s="81">
        <f>'PCR Cycle 3'!L$51</f>
        <v>4.0677700000000001E-3</v>
      </c>
      <c r="M52" s="83"/>
    </row>
    <row r="53" spans="1:18">
      <c r="A53" s="38" t="s">
        <v>31</v>
      </c>
      <c r="B53" s="38"/>
      <c r="C53" s="102"/>
      <c r="D53" s="192"/>
      <c r="E53" s="81"/>
      <c r="F53" s="81"/>
      <c r="G53" s="81"/>
      <c r="H53" s="82"/>
      <c r="I53" s="81"/>
      <c r="J53" s="83"/>
      <c r="K53" s="81"/>
      <c r="L53" s="81"/>
      <c r="M53" s="83"/>
    </row>
    <row r="54" spans="1:18">
      <c r="A54" s="45" t="s">
        <v>22</v>
      </c>
      <c r="C54" s="336">
        <v>-4098.42</v>
      </c>
      <c r="D54" s="190"/>
      <c r="E54" s="222">
        <f t="shared" ref="E54:M58" si="35">ROUND((D46+D54+E39/2)*E$52,2)</f>
        <v>2055.4699999999998</v>
      </c>
      <c r="F54" s="40">
        <f t="shared" ref="F54:F58" si="36">ROUND((E46+E54+F39/2)*F$52,2)</f>
        <v>1945.46</v>
      </c>
      <c r="G54" s="104">
        <f t="shared" ref="G54:G58" si="37">ROUND((F46+F54+G39/2)*G$52,2)</f>
        <v>1725.38</v>
      </c>
      <c r="H54" s="39">
        <f t="shared" ref="H54:H58" si="38">ROUND((G46+G54+H39/2)*H$52,2)</f>
        <v>1384.85</v>
      </c>
      <c r="I54" s="116">
        <f t="shared" ref="I54:I58" si="39">ROUND((H46+H54+I39/2)*I$52,2)</f>
        <v>1130.76</v>
      </c>
      <c r="J54" s="60">
        <f t="shared" ref="J54:J58" si="40">ROUND((I46+I54+J39/2)*J$52,2)</f>
        <v>1026.51</v>
      </c>
      <c r="K54" s="153">
        <f t="shared" ref="K54:K58" si="41">ROUND((J46+J54+K39/2)*K$52,2)</f>
        <v>1045.42</v>
      </c>
      <c r="L54" s="104">
        <f t="shared" ref="L54:L58" si="42">ROUND((K46+K54+L39/2)*L$52,2)</f>
        <v>1200.71</v>
      </c>
      <c r="M54" s="60">
        <f t="shared" si="35"/>
        <v>0</v>
      </c>
      <c r="P54" s="177">
        <f t="shared" ref="P54:P58" si="43">-SUM(K54:M54)</f>
        <v>-2246.13</v>
      </c>
      <c r="R54" s="46"/>
    </row>
    <row r="55" spans="1:18">
      <c r="A55" s="45" t="s">
        <v>91</v>
      </c>
      <c r="C55" s="336">
        <v>-1207.3600000000001</v>
      </c>
      <c r="D55" s="190"/>
      <c r="E55" s="222">
        <f t="shared" si="35"/>
        <v>615.41999999999996</v>
      </c>
      <c r="F55" s="40">
        <f t="shared" si="36"/>
        <v>527.63</v>
      </c>
      <c r="G55" s="104">
        <f t="shared" si="37"/>
        <v>421.79</v>
      </c>
      <c r="H55" s="39">
        <f t="shared" si="38"/>
        <v>310.36</v>
      </c>
      <c r="I55" s="116">
        <f t="shared" si="39"/>
        <v>249.89</v>
      </c>
      <c r="J55" s="60">
        <f t="shared" si="40"/>
        <v>249.8</v>
      </c>
      <c r="K55" s="153">
        <f t="shared" si="41"/>
        <v>261.05</v>
      </c>
      <c r="L55" s="104">
        <f t="shared" si="42"/>
        <v>288.35000000000002</v>
      </c>
      <c r="M55" s="60"/>
      <c r="P55" s="177">
        <f t="shared" si="43"/>
        <v>-549.40000000000009</v>
      </c>
      <c r="R55" s="46"/>
    </row>
    <row r="56" spans="1:18">
      <c r="A56" s="45" t="s">
        <v>92</v>
      </c>
      <c r="C56" s="336">
        <v>-2740.13</v>
      </c>
      <c r="D56" s="190"/>
      <c r="E56" s="222">
        <f t="shared" si="35"/>
        <v>1417.26</v>
      </c>
      <c r="F56" s="40">
        <f t="shared" si="36"/>
        <v>1288.08</v>
      </c>
      <c r="G56" s="104">
        <f t="shared" si="37"/>
        <v>1146.46</v>
      </c>
      <c r="H56" s="39">
        <f t="shared" si="38"/>
        <v>1001.82</v>
      </c>
      <c r="I56" s="116">
        <f t="shared" si="39"/>
        <v>947.39</v>
      </c>
      <c r="J56" s="60">
        <f t="shared" si="40"/>
        <v>952.59</v>
      </c>
      <c r="K56" s="153">
        <f t="shared" si="41"/>
        <v>973.74</v>
      </c>
      <c r="L56" s="104">
        <f t="shared" si="42"/>
        <v>1037.54</v>
      </c>
      <c r="M56" s="60"/>
      <c r="P56" s="177">
        <f t="shared" si="43"/>
        <v>-2011.28</v>
      </c>
      <c r="R56" s="46"/>
    </row>
    <row r="57" spans="1:18">
      <c r="A57" s="45" t="s">
        <v>93</v>
      </c>
      <c r="C57" s="336">
        <v>-1073.94</v>
      </c>
      <c r="D57" s="190"/>
      <c r="E57" s="222">
        <f t="shared" si="35"/>
        <v>547.86</v>
      </c>
      <c r="F57" s="40">
        <f t="shared" si="36"/>
        <v>504.06</v>
      </c>
      <c r="G57" s="104">
        <f t="shared" si="37"/>
        <v>450.15</v>
      </c>
      <c r="H57" s="39">
        <f t="shared" si="38"/>
        <v>396.41</v>
      </c>
      <c r="I57" s="116">
        <f t="shared" si="39"/>
        <v>373.77</v>
      </c>
      <c r="J57" s="60">
        <f t="shared" si="40"/>
        <v>383.67</v>
      </c>
      <c r="K57" s="153">
        <f t="shared" si="41"/>
        <v>406.98</v>
      </c>
      <c r="L57" s="104">
        <f t="shared" si="42"/>
        <v>468.23</v>
      </c>
      <c r="M57" s="60"/>
      <c r="P57" s="177">
        <f t="shared" si="43"/>
        <v>-875.21</v>
      </c>
      <c r="R57" s="46"/>
    </row>
    <row r="58" spans="1:18" ht="15.75" thickBot="1">
      <c r="A58" s="45" t="s">
        <v>94</v>
      </c>
      <c r="C58" s="336">
        <v>-121.37</v>
      </c>
      <c r="D58" s="190"/>
      <c r="E58" s="222">
        <f t="shared" si="35"/>
        <v>59.57</v>
      </c>
      <c r="F58" s="40">
        <f t="shared" si="36"/>
        <v>53.69</v>
      </c>
      <c r="G58" s="104">
        <f t="shared" si="37"/>
        <v>51.8</v>
      </c>
      <c r="H58" s="39">
        <f t="shared" si="38"/>
        <v>54.92</v>
      </c>
      <c r="I58" s="116">
        <f t="shared" si="39"/>
        <v>61.64</v>
      </c>
      <c r="J58" s="60">
        <f t="shared" si="40"/>
        <v>61.95</v>
      </c>
      <c r="K58" s="153">
        <f t="shared" si="41"/>
        <v>60.18</v>
      </c>
      <c r="L58" s="104">
        <f t="shared" si="42"/>
        <v>62.85</v>
      </c>
      <c r="M58" s="60">
        <f t="shared" ref="M58" si="44">ROUND((L50+L58+M43/2)*M$52,2)</f>
        <v>0</v>
      </c>
      <c r="P58" s="177">
        <f t="shared" si="43"/>
        <v>-123.03</v>
      </c>
      <c r="R58" s="46"/>
    </row>
    <row r="59" spans="1:18" ht="16.5" thickTop="1" thickBot="1">
      <c r="A59" s="53" t="s">
        <v>20</v>
      </c>
      <c r="B59" s="53"/>
      <c r="C59" s="187">
        <v>0</v>
      </c>
      <c r="D59" s="193"/>
      <c r="E59" s="41">
        <f>SUM(E54:E58)+SUM(E46:E50)-E62</f>
        <v>0</v>
      </c>
      <c r="F59" s="41">
        <f t="shared" ref="F59:M59" si="45">SUM(F54:F58)+SUM(F46:F50)-F62</f>
        <v>0</v>
      </c>
      <c r="G59" s="49">
        <f t="shared" si="45"/>
        <v>0</v>
      </c>
      <c r="H59" s="50">
        <f t="shared" si="45"/>
        <v>0</v>
      </c>
      <c r="I59" s="41">
        <f t="shared" si="45"/>
        <v>0</v>
      </c>
      <c r="J59" s="61">
        <f t="shared" si="45"/>
        <v>0</v>
      </c>
      <c r="K59" s="154">
        <f t="shared" si="45"/>
        <v>0</v>
      </c>
      <c r="L59" s="49">
        <f t="shared" si="45"/>
        <v>0</v>
      </c>
      <c r="M59" s="61">
        <f t="shared" si="45"/>
        <v>0</v>
      </c>
    </row>
    <row r="60" spans="1:18" ht="16.5" thickTop="1" thickBot="1">
      <c r="A60" s="53" t="s">
        <v>21</v>
      </c>
      <c r="B60" s="53"/>
      <c r="C60" s="187">
        <v>0</v>
      </c>
      <c r="D60" s="193"/>
      <c r="E60" s="41">
        <f>SUM(E54:E58)-E36</f>
        <v>0</v>
      </c>
      <c r="F60" s="41">
        <f t="shared" ref="F60:J60" si="46">SUM(F54:F58)-F36</f>
        <v>0</v>
      </c>
      <c r="G60" s="49">
        <f t="shared" ref="G60:I60" si="47">SUM(G54:G58)-G36</f>
        <v>0</v>
      </c>
      <c r="H60" s="50">
        <f t="shared" si="47"/>
        <v>0</v>
      </c>
      <c r="I60" s="41">
        <f t="shared" si="47"/>
        <v>0</v>
      </c>
      <c r="J60" s="61">
        <f t="shared" si="46"/>
        <v>0</v>
      </c>
      <c r="K60" s="155">
        <f t="shared" ref="K60:M60" si="48">SUM(K54:K58)-K36</f>
        <v>0</v>
      </c>
      <c r="L60" s="41">
        <f t="shared" si="48"/>
        <v>0</v>
      </c>
      <c r="M60" s="41">
        <f t="shared" si="48"/>
        <v>0</v>
      </c>
    </row>
    <row r="61" spans="1:18" ht="16.5" thickTop="1" thickBot="1">
      <c r="C61" s="97"/>
      <c r="D61" s="181"/>
      <c r="E61" s="16"/>
      <c r="F61" s="16"/>
      <c r="G61" s="16"/>
      <c r="H61" s="9"/>
      <c r="I61" s="16"/>
      <c r="J61" s="10"/>
      <c r="K61" s="16"/>
      <c r="L61" s="16"/>
      <c r="M61" s="10"/>
    </row>
    <row r="62" spans="1:18" ht="15.75" thickBot="1">
      <c r="A62" s="45" t="s">
        <v>30</v>
      </c>
      <c r="B62" s="112">
        <f>SUM(B46:B50)</f>
        <v>443588.14101351245</v>
      </c>
      <c r="C62" s="186">
        <f>(C13-SUM(C16:C20))+SUM(C54:C58)+B62</f>
        <v>1082655.5</v>
      </c>
      <c r="D62" s="190">
        <f>(D13-SUM(D16:D20))+SUM(D54:D58)+C62</f>
        <v>1082655.5</v>
      </c>
      <c r="E62" s="40">
        <f>(E13-SUM(E16:E20))+SUM(E54:E58)+D62</f>
        <v>1092056.99</v>
      </c>
      <c r="F62" s="40">
        <f t="shared" ref="F62:M62" si="49">(F13-SUM(F16:F20))+SUM(F54:F58)+E62</f>
        <v>995169.79</v>
      </c>
      <c r="G62" s="104">
        <f t="shared" si="49"/>
        <v>867836.42</v>
      </c>
      <c r="H62" s="39">
        <f t="shared" si="49"/>
        <v>679634.41</v>
      </c>
      <c r="I62" s="40">
        <f t="shared" si="49"/>
        <v>651055.11</v>
      </c>
      <c r="J62" s="60">
        <f t="shared" si="49"/>
        <v>666600.43000000005</v>
      </c>
      <c r="K62" s="153">
        <f t="shared" si="49"/>
        <v>686948.01285000017</v>
      </c>
      <c r="L62" s="104">
        <f t="shared" si="49"/>
        <v>819476.82905000017</v>
      </c>
      <c r="M62" s="60">
        <f t="shared" si="49"/>
        <v>207968.69527000014</v>
      </c>
    </row>
    <row r="63" spans="1:18">
      <c r="A63" s="45" t="s">
        <v>10</v>
      </c>
      <c r="C63" s="113"/>
      <c r="D63" s="194"/>
      <c r="E63" s="16"/>
      <c r="F63" s="16"/>
      <c r="G63" s="16"/>
      <c r="H63" s="9"/>
      <c r="I63" s="16"/>
      <c r="J63" s="10"/>
      <c r="K63" s="16"/>
      <c r="L63" s="16"/>
      <c r="M63" s="10"/>
    </row>
    <row r="64" spans="1:18" ht="15.75" thickBot="1">
      <c r="A64" s="36"/>
      <c r="B64" s="36"/>
      <c r="C64" s="139"/>
      <c r="D64" s="195"/>
      <c r="E64" s="43"/>
      <c r="F64" s="43"/>
      <c r="G64" s="43"/>
      <c r="H64" s="42"/>
      <c r="I64" s="43"/>
      <c r="J64" s="44"/>
      <c r="K64" s="43"/>
      <c r="L64" s="43"/>
      <c r="M64" s="44"/>
    </row>
    <row r="66" spans="1:13">
      <c r="A66" s="68" t="s">
        <v>9</v>
      </c>
      <c r="B66" s="68"/>
      <c r="C66" s="68"/>
      <c r="D66" s="68"/>
    </row>
    <row r="67" spans="1:13" ht="34.5" customHeight="1">
      <c r="A67" s="360" t="s">
        <v>210</v>
      </c>
      <c r="B67" s="360"/>
      <c r="C67" s="360"/>
      <c r="D67" s="360"/>
      <c r="E67" s="360"/>
      <c r="F67" s="360"/>
      <c r="G67" s="360"/>
      <c r="H67" s="360"/>
      <c r="I67" s="360"/>
      <c r="J67" s="360"/>
      <c r="K67" s="339"/>
      <c r="L67" s="213"/>
      <c r="M67" s="213"/>
    </row>
    <row r="68" spans="1:13" ht="55.5" customHeight="1">
      <c r="A68" s="360" t="s">
        <v>240</v>
      </c>
      <c r="B68" s="360"/>
      <c r="C68" s="360"/>
      <c r="D68" s="360"/>
      <c r="E68" s="360"/>
      <c r="F68" s="360"/>
      <c r="G68" s="360"/>
      <c r="H68" s="360"/>
      <c r="I68" s="360"/>
      <c r="J68" s="360"/>
      <c r="K68" s="360"/>
      <c r="L68" s="213"/>
      <c r="M68" s="213"/>
    </row>
    <row r="69" spans="1:13" ht="27.6" customHeight="1">
      <c r="A69" s="360" t="s">
        <v>211</v>
      </c>
      <c r="B69" s="360"/>
      <c r="C69" s="360"/>
      <c r="D69" s="360"/>
      <c r="E69" s="360"/>
      <c r="F69" s="360"/>
      <c r="G69" s="360"/>
      <c r="H69" s="360"/>
      <c r="I69" s="360"/>
      <c r="J69" s="360"/>
      <c r="K69" s="339"/>
      <c r="L69" s="213"/>
      <c r="M69" s="213"/>
    </row>
    <row r="70" spans="1:13">
      <c r="A70" s="360" t="s">
        <v>191</v>
      </c>
      <c r="B70" s="360"/>
      <c r="C70" s="360"/>
      <c r="D70" s="360"/>
      <c r="E70" s="360"/>
      <c r="F70" s="360"/>
      <c r="G70" s="360"/>
      <c r="H70" s="360"/>
      <c r="I70" s="360"/>
      <c r="J70" s="360"/>
      <c r="K70" s="38"/>
    </row>
    <row r="71" spans="1:13">
      <c r="A71" s="62" t="s">
        <v>238</v>
      </c>
      <c r="B71" s="62"/>
      <c r="C71" s="62"/>
      <c r="D71" s="62"/>
      <c r="E71" s="38"/>
      <c r="F71" s="38"/>
      <c r="G71" s="38"/>
      <c r="H71" s="38"/>
      <c r="I71" s="38"/>
      <c r="J71" s="286"/>
      <c r="K71" s="38"/>
    </row>
    <row r="72" spans="1:13">
      <c r="A72" s="62" t="s">
        <v>60</v>
      </c>
      <c r="B72" s="62"/>
      <c r="C72" s="62"/>
      <c r="D72" s="62"/>
      <c r="E72" s="38"/>
      <c r="F72" s="38"/>
      <c r="G72" s="38"/>
      <c r="H72" s="38"/>
      <c r="I72" s="38"/>
      <c r="J72" s="38"/>
      <c r="K72" s="38"/>
    </row>
    <row r="73" spans="1:13">
      <c r="A73" s="369"/>
      <c r="B73" s="370"/>
      <c r="C73" s="370"/>
      <c r="D73" s="370"/>
      <c r="E73" s="370"/>
      <c r="F73" s="370"/>
      <c r="G73" s="370"/>
      <c r="H73" s="371"/>
      <c r="I73" s="371"/>
      <c r="J73" s="371"/>
      <c r="K73" s="371"/>
    </row>
    <row r="74" spans="1:13" ht="33" customHeight="1">
      <c r="A74" s="370"/>
      <c r="B74" s="370"/>
      <c r="C74" s="370"/>
      <c r="D74" s="370"/>
      <c r="E74" s="370"/>
      <c r="F74" s="370"/>
      <c r="G74" s="370"/>
      <c r="H74" s="371"/>
      <c r="I74" s="371"/>
      <c r="J74" s="371"/>
      <c r="K74" s="371"/>
    </row>
  </sheetData>
  <mergeCells count="8">
    <mergeCell ref="A70:J70"/>
    <mergeCell ref="A73:K74"/>
    <mergeCell ref="A69:J69"/>
    <mergeCell ref="E11:G11"/>
    <mergeCell ref="H11:J11"/>
    <mergeCell ref="K11:M11"/>
    <mergeCell ref="A67:J67"/>
    <mergeCell ref="A68:K68"/>
  </mergeCells>
  <pageMargins left="0.2" right="0.2" top="0.75" bottom="0.25" header="0.3" footer="0.3"/>
  <pageSetup scale="42" orientation="landscape" r:id="rId1"/>
  <headerFooter>
    <oddHeader>&amp;C&amp;F &amp;A&amp;R&amp;"Arial"&amp;10&amp;K000000CONFIDENTIAL</oddHeader>
    <oddFooter>&amp;R&amp;1#&amp;"Calibri"&amp;10&amp;KA80000Internal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3B6732D9B8AC45B92AC23C294CFAF4" ma:contentTypeVersion="14" ma:contentTypeDescription="Create a new document." ma:contentTypeScope="" ma:versionID="b9d5140cd17dae9c7b2a46ebb159fbff">
  <xsd:schema xmlns:xsd="http://www.w3.org/2001/XMLSchema" xmlns:xs="http://www.w3.org/2001/XMLSchema" xmlns:p="http://schemas.microsoft.com/office/2006/metadata/properties" xmlns:ns1="http://schemas.microsoft.com/sharepoint/v3" xmlns:ns2="308be8b2-5e07-4cfb-9cc8-18c24700adb9" xmlns:ns3="ac490600-4b8a-4089-8db0-d3461bbed9a9" targetNamespace="http://schemas.microsoft.com/office/2006/metadata/properties" ma:root="true" ma:fieldsID="5e52bd7649cdcd385828f50493d81f6e" ns1:_="" ns2:_="" ns3:_="">
    <xsd:import namespace="http://schemas.microsoft.com/sharepoint/v3"/>
    <xsd:import namespace="308be8b2-5e07-4cfb-9cc8-18c24700adb9"/>
    <xsd:import namespace="ac490600-4b8a-4089-8db0-d3461bbed9a9"/>
    <xsd:element name="properties">
      <xsd:complexType>
        <xsd:sequence>
          <xsd:element name="documentManagement">
            <xsd:complexType>
              <xsd:all>
                <xsd:element ref="ns2:TaxCatchAll" minOccurs="0"/>
                <xsd:element ref="ns2:TaxCatchAllLabel" minOccurs="0"/>
                <xsd:element ref="ns1:_ip_UnifiedCompliancePolicyUIAction" minOccurs="0"/>
                <xsd:element ref="ns3:MediaServiceGenerationTime" minOccurs="0"/>
                <xsd:element ref="ns3:MediaServiceEventHashCode" minOccurs="0"/>
                <xsd:element ref="ns3:MediaLengthInSeconds" minOccurs="0"/>
                <xsd:element ref="ns3:lcf76f155ced4ddcb4097134ff3c332f" minOccurs="0"/>
                <xsd:element ref="ns3:MediaServiceSearchProperties" minOccurs="0"/>
                <xsd:element ref="ns3:MediaServiceDateTaken" minOccurs="0"/>
                <xsd:element ref="ns3:MediaServiceOCR" minOccurs="0"/>
                <xsd:element ref="ns3:MediaServiceFastMetadata" minOccurs="0"/>
                <xsd:element ref="ns3:MediaServiceMetadata" minOccurs="0"/>
                <xsd:element ref="ns3:MediaServiceObjectDetectorVersions" minOccurs="0"/>
                <xsd:element ref="ns1:_ip_UnifiedCompliancePolicy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UIAction" ma:index="10" nillable="true" ma:displayName="Unified Compliance Policy UI Action" ma:hidden="true" ma:internalName="_ip_UnifiedCompliancePolicyUIAction">
      <xsd:simpleType>
        <xsd:restriction base="dms:Text"/>
      </xsd:simpleType>
    </xsd:element>
    <xsd:element name="_ip_UnifiedCompliancePolicyProperties" ma:index="22" nillable="true" ma:displayName="Unified Compliance Policy Properties" ma:hidden="true" ma:internalName="_ip_UnifiedCompliancePolicyPropertie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8be8b2-5e07-4cfb-9cc8-18c24700adb9"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700ed5c-b17b-44a6-a19c-5d7c9e773f44}" ma:internalName="TaxCatchAll" ma:showField="CatchAllData" ma:web="854f6eb9-76cf-4368-a46f-84f4be2bef9a">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700ed5c-b17b-44a6-a19c-5d7c9e773f44}" ma:internalName="TaxCatchAllLabel" ma:readOnly="true" ma:showField="CatchAllDataLabel" ma:web="854f6eb9-76cf-4368-a46f-84f4be2bef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490600-4b8a-4089-8db0-d3461bbed9a9" elementFormDefault="qualified">
    <xsd:import namespace="http://schemas.microsoft.com/office/2006/documentManagement/types"/>
    <xsd:import namespace="http://schemas.microsoft.com/office/infopath/2007/PartnerControls"/>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ede806c-d2cf-4c46-a211-32d1573fcf03" ma:termSetId="09814cd3-568e-fe90-9814-8d621ff8fb84" ma:anchorId="fba54fb3-c3e1-fe81-a776-ca4b69148c4d" ma:open="true" ma:isKeyword="false">
      <xsd:complexType>
        <xsd:sequence>
          <xsd:element ref="pc:Terms" minOccurs="0" maxOccurs="1"/>
        </xsd:sequence>
      </xsd:complex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ede806c-d2cf-4c46-a211-32d1573fcf0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TaxCatchAll xmlns="308be8b2-5e07-4cfb-9cc8-18c24700adb9" xsi:nil="true"/>
    <lcf76f155ced4ddcb4097134ff3c332f xmlns="ac490600-4b8a-4089-8db0-d3461bbed9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D7240FD-EFC0-432F-A59C-CD4D8C4449DD}"/>
</file>

<file path=customXml/itemProps2.xml><?xml version="1.0" encoding="utf-8"?>
<ds:datastoreItem xmlns:ds="http://schemas.openxmlformats.org/officeDocument/2006/customXml" ds:itemID="{0EF57C3B-CA87-4AE4-AD65-1D9581699DEA}">
  <ds:schemaRefs>
    <ds:schemaRef ds:uri="Microsoft.SharePoint.Taxonomy.ContentTypeSync"/>
  </ds:schemaRefs>
</ds:datastoreItem>
</file>

<file path=customXml/itemProps3.xml><?xml version="1.0" encoding="utf-8"?>
<ds:datastoreItem xmlns:ds="http://schemas.openxmlformats.org/officeDocument/2006/customXml" ds:itemID="{4FE36353-2D23-4413-BFF3-128FB6002D9C}">
  <ds:schemaRefs>
    <ds:schemaRef ds:uri="http://schemas.microsoft.com/sharepoint/v3/contenttype/forms"/>
  </ds:schemaRefs>
</ds:datastoreItem>
</file>

<file path=customXml/itemProps4.xml><?xml version="1.0" encoding="utf-8"?>
<ds:datastoreItem xmlns:ds="http://schemas.openxmlformats.org/officeDocument/2006/customXml" ds:itemID="{BBE680F6-EEBC-41A4-AEB5-0B773B5EACA2}">
  <ds:schemaRefs>
    <ds:schemaRef ds:uri="http://purl.org/dc/dcmitype/"/>
    <ds:schemaRef ds:uri="http://www.w3.org/XML/1998/namespace"/>
    <ds:schemaRef ds:uri="http://schemas.microsoft.com/office/2006/documentManagement/types"/>
    <ds:schemaRef ds:uri="http://schemas.microsoft.com/office/2006/metadata/properties"/>
    <ds:schemaRef ds:uri="308be8b2-5e07-4cfb-9cc8-18c24700adb9"/>
    <ds:schemaRef ds:uri="http://schemas.openxmlformats.org/package/2006/metadata/core-properties"/>
    <ds:schemaRef ds:uri="http://purl.org/dc/terms/"/>
    <ds:schemaRef ds:uri="http://purl.org/dc/elements/1.1/"/>
    <ds:schemaRef ds:uri="http://schemas.microsoft.com/office/infopath/2007/PartnerControls"/>
    <ds:schemaRef ds:uri="e671dda1-c4dd-4158-a073-4aef9b50df6e"/>
    <ds:schemaRef ds:uri="9bb15880-a89a-4599-bc05-3c1ac81ecb24"/>
    <ds:schemaRef ds:uri="http://schemas.microsoft.com/sharepoint/v3"/>
  </ds:schemaRefs>
</ds:datastoreItem>
</file>

<file path=docMetadata/LabelInfo.xml><?xml version="1.0" encoding="utf-8"?>
<clbl:labelList xmlns:clbl="http://schemas.microsoft.com/office/2020/mipLabelMetadata">
  <clbl:label id="{d275ac46-98b9-4d64-949f-e82ee8dc823c}" enabled="1" method="Standard" siteId="{9ef58ab0-3510-4d99-8d3e-3c9e02ebab7f}"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Index Table of Contents</vt:lpstr>
      <vt:lpstr>Tariff Tables</vt:lpstr>
      <vt:lpstr>DSIM Cycle Tables</vt:lpstr>
      <vt:lpstr>PPC Cycle 4</vt:lpstr>
      <vt:lpstr>PCR Cycle 3</vt:lpstr>
      <vt:lpstr>PCR Cycle 4</vt:lpstr>
      <vt:lpstr>PTD Cycle 3</vt:lpstr>
      <vt:lpstr>PTD Cycle 4</vt:lpstr>
      <vt:lpstr>TDR Cycle 3</vt:lpstr>
      <vt:lpstr>TDR Cycle 4</vt:lpstr>
      <vt:lpstr>EO Cycle 3</vt:lpstr>
      <vt:lpstr>EO Cycle 4</vt:lpstr>
      <vt:lpstr>EOR Cycle 3</vt:lpstr>
      <vt:lpstr>OA Cycle 3</vt:lpstr>
      <vt:lpstr>OAR Cycle 3</vt:lpstr>
      <vt:lpstr>OAR Cycle 4</vt:lpstr>
      <vt:lpstr>'PCR Cycle 3'!Print_Area</vt:lpstr>
      <vt:lpstr>'PCR Cycle 4'!Print_Area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Unspecified User</dc:creator>
  <cp:lastModifiedBy>Shauna Dempsey</cp:lastModifiedBy>
  <cp:lastPrinted>2026-05-15T21:21:36Z</cp:lastPrinted>
  <dcterms:created xsi:type="dcterms:W3CDTF">2013-08-12T19:20:10Z</dcterms:created>
  <dcterms:modified xsi:type="dcterms:W3CDTF">2026-06-01T16:57:49Z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0x010100683B6732D9B8AC45B92AC23C294CFAF4</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etDate">
    <vt:lpwstr>2022-11-08T16:12:26Z</vt:lpwstr>
  </property>
  <property fmtid="{D5CDD505-2E9C-101B-9397-08002B2CF9AE}" pid="7" name="MSIP_Label_d275ac46-98b9-4d64-949f-e82ee8dc823c_Method">
    <vt:lpwstr>Standard</vt:lpwstr>
  </property>
  <property fmtid="{D5CDD505-2E9C-101B-9397-08002B2CF9AE}" pid="8" name="MSIP_Label_d275ac46-98b9-4d64-949f-e82ee8dc823c_Name">
    <vt:lpwstr>d275ac46-98b9-4d64-949f-e82ee8dc823c</vt:lpwstr>
  </property>
  <property fmtid="{D5CDD505-2E9C-101B-9397-08002B2CF9AE}" pid="9" name="MSIP_Label_d275ac46-98b9-4d64-949f-e82ee8dc823c_SiteId">
    <vt:lpwstr>9ef58ab0-3510-4d99-8d3e-3c9e02ebab7f</vt:lpwstr>
  </property>
  <property fmtid="{D5CDD505-2E9C-101B-9397-08002B2CF9AE}" pid="10" name="MSIP_Label_d275ac46-98b9-4d64-949f-e82ee8dc823c_ActionId">
    <vt:lpwstr>3b16a19c-818e-496b-92b9-7f026d43a0db</vt:lpwstr>
  </property>
  <property fmtid="{D5CDD505-2E9C-101B-9397-08002B2CF9AE}" pid="11" name="MSIP_Label_d275ac46-98b9-4d64-949f-e82ee8dc823c_ContentBits">
    <vt:lpwstr>3</vt:lpwstr>
  </property>
  <property fmtid="{D5CDD505-2E9C-101B-9397-08002B2CF9AE}" pid="12" name="Order">
    <vt:r8>8425600</vt:r8>
  </property>
  <property fmtid="{D5CDD505-2E9C-101B-9397-08002B2CF9AE}" pid="13" name="MediaServiceImageTags">
    <vt:lpwstr/>
  </property>
  <property fmtid="{D5CDD505-2E9C-101B-9397-08002B2CF9AE}" pid="14" name="b41baa0b2b8740c38c240084c3a91d4c">
    <vt:lpwstr/>
  </property>
  <property fmtid="{D5CDD505-2E9C-101B-9397-08002B2CF9AE}" pid="15" name="Record_x0020_Class">
    <vt:lpwstr/>
  </property>
  <property fmtid="{D5CDD505-2E9C-101B-9397-08002B2CF9AE}" pid="16" name="Record Class">
    <vt:lpwstr/>
  </property>
</Properties>
</file>