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defaultThemeVersion="124226"/>
  <mc:AlternateContent xmlns:mc="http://schemas.openxmlformats.org/markup-compatibility/2006">
    <mc:Choice Requires="x15">
      <x15ac:absPath xmlns:x15ac="http://schemas.microsoft.com/office/spreadsheetml/2010/11/ac" url="https://gppower.sharepoint.com/sites/FinAcct/Shared Documents/NetworkDrives/Old Genactg shared/Migrated CorpAcctg/Energy Efficiency/MEEIA/Missouri West MEEIA DSIM Rider/20260601 Filing/"/>
    </mc:Choice>
  </mc:AlternateContent>
  <xr:revisionPtr revIDLastSave="14" documentId="8_{9D4F882D-B670-43C0-BBC4-B40AEB4372C4}" xr6:coauthVersionLast="47" xr6:coauthVersionMax="47" xr10:uidLastSave="{84233782-D0F6-40FB-B596-2E30D993321A}"/>
  <bookViews>
    <workbookView xWindow="-28920" yWindow="-120" windowWidth="29040" windowHeight="15720" tabRatio="910" activeTab="1" xr2:uid="{8690212B-B535-4FDF-9D1C-29C7613AE015}"/>
  </bookViews>
  <sheets>
    <sheet name="Index Table of Contents" sheetId="32" r:id="rId1"/>
    <sheet name="Tariff Tables" sheetId="5" r:id="rId2"/>
    <sheet name="DSIM Cycle Tables" sheetId="20" r:id="rId3"/>
    <sheet name="PPC Cycle 4" sheetId="38" r:id="rId4"/>
    <sheet name="PCR Cycle 3" sheetId="22" r:id="rId5"/>
    <sheet name="PCR Cycle 4" sheetId="35" r:id="rId6"/>
    <sheet name="PTD Cycle 3" sheetId="19" r:id="rId7"/>
    <sheet name="PTD Cycle 4" sheetId="37" r:id="rId8"/>
    <sheet name="TDR Cycle 3" sheetId="24" r:id="rId9"/>
    <sheet name="TDR Cycle 4" sheetId="40" r:id="rId10"/>
    <sheet name="EO Cycle 3" sheetId="28" r:id="rId11"/>
    <sheet name="EO Cycle 4" sheetId="36" r:id="rId12"/>
    <sheet name="EOR Cycle 3" sheetId="29" r:id="rId13"/>
    <sheet name="OA Cycle 3" sheetId="30" r:id="rId14"/>
    <sheet name="OAR Cycle 3" sheetId="31" r:id="rId15"/>
    <sheet name="OAR Cycle 4" sheetId="41"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xlnm._FilterDatabase" localSheetId="10" hidden="1">'EO Cycle 3'!$A$5:$L$166</definedName>
    <definedName name="_xlnm._FilterDatabase" localSheetId="11" hidden="1">'EO Cycle 4'!$A$5:$J$57</definedName>
    <definedName name="_xlnm._FilterDatabase" localSheetId="0" hidden="1">'Index Table of Contents'!$A$4:$F$69</definedName>
    <definedName name="_xlnm.Print_Area" localSheetId="4">'PCR Cycle 3'!$A$1:$O$64</definedName>
    <definedName name="_xlnm.Print_Area" localSheetId="5">'PCR Cycle 4'!$A$1:$O$64</definedName>
    <definedName name="ServClassMapping">#REF!</definedName>
    <definedName name="solver_adj" localSheetId="4" hidden="1">'PCR Cycle 3'!$F$45</definedName>
    <definedName name="solver_adj" localSheetId="5" hidden="1">'PCR Cycle 4'!$F$45</definedName>
    <definedName name="solver_adj" localSheetId="8" hidden="1">'TDR Cycle 3'!#REF!</definedName>
    <definedName name="solver_adj" localSheetId="9" hidden="1">'TDR Cycle 4'!#REF!</definedName>
    <definedName name="solver_cvg" localSheetId="4" hidden="1">0.0001</definedName>
    <definedName name="solver_cvg" localSheetId="5" hidden="1">0.0001</definedName>
    <definedName name="solver_cvg" localSheetId="8" hidden="1">0.0001</definedName>
    <definedName name="solver_cvg" localSheetId="9" hidden="1">0.0001</definedName>
    <definedName name="solver_drv" localSheetId="4" hidden="1">1</definedName>
    <definedName name="solver_drv" localSheetId="5" hidden="1">1</definedName>
    <definedName name="solver_drv" localSheetId="8" hidden="1">2</definedName>
    <definedName name="solver_drv" localSheetId="9" hidden="1">2</definedName>
    <definedName name="solver_eng" localSheetId="4" hidden="1">1</definedName>
    <definedName name="solver_eng" localSheetId="5" hidden="1">1</definedName>
    <definedName name="solver_eng" localSheetId="8" hidden="1">1</definedName>
    <definedName name="solver_eng" localSheetId="9" hidden="1">1</definedName>
    <definedName name="solver_est" localSheetId="4" hidden="1">1</definedName>
    <definedName name="solver_est" localSheetId="5" hidden="1">1</definedName>
    <definedName name="solver_est" localSheetId="8" hidden="1">1</definedName>
    <definedName name="solver_est" localSheetId="9" hidden="1">1</definedName>
    <definedName name="solver_itr" localSheetId="4" hidden="1">2147483647</definedName>
    <definedName name="solver_itr" localSheetId="5" hidden="1">2147483647</definedName>
    <definedName name="solver_itr" localSheetId="8" hidden="1">2147483647</definedName>
    <definedName name="solver_itr" localSheetId="9" hidden="1">2147483647</definedName>
    <definedName name="solver_mip" localSheetId="4" hidden="1">2147483647</definedName>
    <definedName name="solver_mip" localSheetId="5" hidden="1">2147483647</definedName>
    <definedName name="solver_mip" localSheetId="8" hidden="1">2147483647</definedName>
    <definedName name="solver_mip" localSheetId="9" hidden="1">2147483647</definedName>
    <definedName name="solver_mni" localSheetId="4" hidden="1">30</definedName>
    <definedName name="solver_mni" localSheetId="5" hidden="1">30</definedName>
    <definedName name="solver_mni" localSheetId="8" hidden="1">30</definedName>
    <definedName name="solver_mni" localSheetId="9" hidden="1">30</definedName>
    <definedName name="solver_mrt" localSheetId="4" hidden="1">0.075</definedName>
    <definedName name="solver_mrt" localSheetId="5" hidden="1">0.075</definedName>
    <definedName name="solver_mrt" localSheetId="8" hidden="1">0.075</definedName>
    <definedName name="solver_mrt" localSheetId="9" hidden="1">0.075</definedName>
    <definedName name="solver_msl" localSheetId="4" hidden="1">2</definedName>
    <definedName name="solver_msl" localSheetId="5" hidden="1">2</definedName>
    <definedName name="solver_msl" localSheetId="8" hidden="1">2</definedName>
    <definedName name="solver_msl" localSheetId="9" hidden="1">2</definedName>
    <definedName name="solver_neg" localSheetId="4" hidden="1">1</definedName>
    <definedName name="solver_neg" localSheetId="5" hidden="1">1</definedName>
    <definedName name="solver_neg" localSheetId="8" hidden="1">1</definedName>
    <definedName name="solver_neg" localSheetId="9" hidden="1">1</definedName>
    <definedName name="solver_nod" localSheetId="4" hidden="1">2147483647</definedName>
    <definedName name="solver_nod" localSheetId="5" hidden="1">2147483647</definedName>
    <definedName name="solver_nod" localSheetId="8" hidden="1">2147483647</definedName>
    <definedName name="solver_nod" localSheetId="9" hidden="1">2147483647</definedName>
    <definedName name="solver_num" localSheetId="4" hidden="1">0</definedName>
    <definedName name="solver_num" localSheetId="5" hidden="1">0</definedName>
    <definedName name="solver_num" localSheetId="8" hidden="1">0</definedName>
    <definedName name="solver_num" localSheetId="9" hidden="1">0</definedName>
    <definedName name="solver_nwt" localSheetId="4" hidden="1">1</definedName>
    <definedName name="solver_nwt" localSheetId="5" hidden="1">1</definedName>
    <definedName name="solver_nwt" localSheetId="8" hidden="1">1</definedName>
    <definedName name="solver_nwt" localSheetId="9" hidden="1">1</definedName>
    <definedName name="solver_opt" localSheetId="4" hidden="1">'PCR Cycle 3'!$F$52</definedName>
    <definedName name="solver_opt" localSheetId="5" hidden="1">'PCR Cycle 4'!$F$52</definedName>
    <definedName name="solver_opt" localSheetId="8" hidden="1">'TDR Cycle 3'!#REF!</definedName>
    <definedName name="solver_opt" localSheetId="9" hidden="1">'TDR Cycle 4'!#REF!</definedName>
    <definedName name="solver_pre" localSheetId="4" hidden="1">0.000001</definedName>
    <definedName name="solver_pre" localSheetId="5" hidden="1">0.000001</definedName>
    <definedName name="solver_pre" localSheetId="8" hidden="1">0.000001</definedName>
    <definedName name="solver_pre" localSheetId="9" hidden="1">0.000001</definedName>
    <definedName name="solver_rbv" localSheetId="4" hidden="1">1</definedName>
    <definedName name="solver_rbv" localSheetId="5" hidden="1">1</definedName>
    <definedName name="solver_rbv" localSheetId="8" hidden="1">2</definedName>
    <definedName name="solver_rbv" localSheetId="9" hidden="1">2</definedName>
    <definedName name="solver_rlx" localSheetId="4" hidden="1">2</definedName>
    <definedName name="solver_rlx" localSheetId="5" hidden="1">2</definedName>
    <definedName name="solver_rlx" localSheetId="8" hidden="1">2</definedName>
    <definedName name="solver_rlx" localSheetId="9" hidden="1">2</definedName>
    <definedName name="solver_rsd" localSheetId="4" hidden="1">0</definedName>
    <definedName name="solver_rsd" localSheetId="5" hidden="1">0</definedName>
    <definedName name="solver_rsd" localSheetId="8" hidden="1">0</definedName>
    <definedName name="solver_rsd" localSheetId="9" hidden="1">0</definedName>
    <definedName name="solver_scl" localSheetId="4" hidden="1">1</definedName>
    <definedName name="solver_scl" localSheetId="5" hidden="1">1</definedName>
    <definedName name="solver_scl" localSheetId="8" hidden="1">2</definedName>
    <definedName name="solver_scl" localSheetId="9" hidden="1">2</definedName>
    <definedName name="solver_sho" localSheetId="4" hidden="1">2</definedName>
    <definedName name="solver_sho" localSheetId="5" hidden="1">2</definedName>
    <definedName name="solver_sho" localSheetId="8" hidden="1">2</definedName>
    <definedName name="solver_sho" localSheetId="9" hidden="1">2</definedName>
    <definedName name="solver_ssz" localSheetId="4" hidden="1">100</definedName>
    <definedName name="solver_ssz" localSheetId="5" hidden="1">100</definedName>
    <definedName name="solver_ssz" localSheetId="8" hidden="1">100</definedName>
    <definedName name="solver_ssz" localSheetId="9" hidden="1">100</definedName>
    <definedName name="solver_tim" localSheetId="4" hidden="1">2147483647</definedName>
    <definedName name="solver_tim" localSheetId="5" hidden="1">2147483647</definedName>
    <definedName name="solver_tim" localSheetId="8" hidden="1">2147483647</definedName>
    <definedName name="solver_tim" localSheetId="9" hidden="1">2147483647</definedName>
    <definedName name="solver_tol" localSheetId="4" hidden="1">0.01</definedName>
    <definedName name="solver_tol" localSheetId="5" hidden="1">0.01</definedName>
    <definedName name="solver_tol" localSheetId="8" hidden="1">0.01</definedName>
    <definedName name="solver_tol" localSheetId="9" hidden="1">0.01</definedName>
    <definedName name="solver_typ" localSheetId="4" hidden="1">3</definedName>
    <definedName name="solver_typ" localSheetId="5" hidden="1">3</definedName>
    <definedName name="solver_typ" localSheetId="8" hidden="1">3</definedName>
    <definedName name="solver_typ" localSheetId="9" hidden="1">3</definedName>
    <definedName name="solver_val" localSheetId="4" hidden="1">0</definedName>
    <definedName name="solver_val" localSheetId="5" hidden="1">0</definedName>
    <definedName name="solver_val" localSheetId="8" hidden="1">23888.44</definedName>
    <definedName name="solver_val" localSheetId="9" hidden="1">23888.44</definedName>
    <definedName name="solver_ver" localSheetId="4" hidden="1">3</definedName>
    <definedName name="solver_ver" localSheetId="5" hidden="1">3</definedName>
    <definedName name="solver_ver" localSheetId="8" hidden="1">3</definedName>
    <definedName name="solver_ver" localSheetId="9" hidden="1">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4" i="5" l="1"/>
  <c r="Y21" i="5"/>
  <c r="AD15" i="5"/>
  <c r="AC21" i="5"/>
  <c r="AC15" i="5"/>
  <c r="X22" i="5"/>
  <c r="J7" i="5" l="1"/>
  <c r="J6" i="5"/>
  <c r="M23" i="35"/>
  <c r="L23" i="35"/>
  <c r="K23" i="35"/>
  <c r="M22" i="35"/>
  <c r="L22" i="35"/>
  <c r="K22" i="35"/>
  <c r="M21" i="35"/>
  <c r="L21" i="35"/>
  <c r="K21" i="35"/>
  <c r="M20" i="35"/>
  <c r="L20" i="35"/>
  <c r="K20" i="35"/>
  <c r="G7" i="5"/>
  <c r="G6" i="5"/>
  <c r="G5" i="5"/>
  <c r="G4" i="5"/>
  <c r="G24" i="31"/>
  <c r="G23" i="31"/>
  <c r="G22" i="31"/>
  <c r="G21" i="31"/>
  <c r="D8" i="38" l="1"/>
  <c r="D7" i="38"/>
  <c r="D6" i="38"/>
  <c r="D5" i="38"/>
  <c r="L17" i="35"/>
  <c r="L16" i="35"/>
  <c r="L15" i="35"/>
  <c r="L14" i="35"/>
  <c r="K17" i="35"/>
  <c r="K16" i="35"/>
  <c r="K15" i="35"/>
  <c r="K14" i="35"/>
  <c r="E31" i="22" l="1"/>
  <c r="J29" i="22"/>
  <c r="J28" i="22"/>
  <c r="J27" i="22"/>
  <c r="J26" i="22"/>
  <c r="I29" i="22"/>
  <c r="I28" i="22"/>
  <c r="I27" i="22"/>
  <c r="I26" i="22"/>
  <c r="H29" i="22"/>
  <c r="H28" i="22"/>
  <c r="H27" i="22"/>
  <c r="H26" i="22"/>
  <c r="G29" i="22"/>
  <c r="G28" i="22"/>
  <c r="G27" i="22"/>
  <c r="G26" i="22"/>
  <c r="E29" i="22"/>
  <c r="E28" i="22"/>
  <c r="E27" i="22"/>
  <c r="E26" i="22"/>
  <c r="F29" i="22"/>
  <c r="F28" i="22"/>
  <c r="F27" i="22"/>
  <c r="F26" i="22"/>
  <c r="F17" i="22"/>
  <c r="F16" i="22"/>
  <c r="F15" i="22"/>
  <c r="F14" i="22"/>
  <c r="J31" i="35" l="1"/>
  <c r="G31" i="35"/>
  <c r="H17" i="35"/>
  <c r="H16" i="35"/>
  <c r="H15" i="35"/>
  <c r="H14" i="35"/>
  <c r="F17" i="35"/>
  <c r="F16" i="35"/>
  <c r="F15" i="35"/>
  <c r="F14" i="35"/>
  <c r="E27" i="35"/>
  <c r="F27" i="35"/>
  <c r="G27" i="35"/>
  <c r="H27" i="35"/>
  <c r="I27" i="35"/>
  <c r="J27" i="35"/>
  <c r="E28" i="35"/>
  <c r="F28" i="35"/>
  <c r="G28" i="35"/>
  <c r="H28" i="35"/>
  <c r="I28" i="35"/>
  <c r="J28" i="35"/>
  <c r="E29" i="35"/>
  <c r="F29" i="35"/>
  <c r="G29" i="35"/>
  <c r="H29" i="35"/>
  <c r="I29" i="35"/>
  <c r="J29" i="35"/>
  <c r="J26" i="35"/>
  <c r="I26" i="35"/>
  <c r="H26" i="35"/>
  <c r="G26" i="35"/>
  <c r="F26" i="35"/>
  <c r="E26" i="35"/>
  <c r="J23" i="35" l="1"/>
  <c r="J22" i="35"/>
  <c r="J21" i="35"/>
  <c r="J20" i="35"/>
  <c r="I23" i="35"/>
  <c r="I22" i="35"/>
  <c r="I21" i="35"/>
  <c r="I20" i="35"/>
  <c r="H23" i="35"/>
  <c r="H22" i="35"/>
  <c r="H21" i="35"/>
  <c r="H20" i="35"/>
  <c r="G23" i="35"/>
  <c r="G22" i="35"/>
  <c r="G21" i="35"/>
  <c r="G20" i="35"/>
  <c r="F23" i="35"/>
  <c r="F22" i="35"/>
  <c r="F21" i="35"/>
  <c r="F20" i="35"/>
  <c r="E21" i="35"/>
  <c r="E22" i="35"/>
  <c r="E23" i="35"/>
  <c r="E20" i="35"/>
  <c r="J17" i="35" l="1"/>
  <c r="I17" i="35"/>
  <c r="G17" i="35"/>
  <c r="E17" i="35"/>
  <c r="J16" i="35"/>
  <c r="I16" i="35"/>
  <c r="G16" i="35"/>
  <c r="E16" i="35"/>
  <c r="J15" i="35"/>
  <c r="I15" i="35"/>
  <c r="G15" i="35"/>
  <c r="E15" i="35"/>
  <c r="E14" i="35"/>
  <c r="G14" i="35"/>
  <c r="I32" i="24" l="1"/>
  <c r="H32" i="24"/>
  <c r="G32" i="24"/>
  <c r="F32" i="24"/>
  <c r="E32" i="24"/>
  <c r="E23" i="24" l="1"/>
  <c r="E24" i="24"/>
  <c r="E22" i="24"/>
  <c r="E21" i="24"/>
  <c r="E29" i="24" l="1"/>
  <c r="E28" i="24"/>
  <c r="F24" i="24"/>
  <c r="F22" i="24"/>
  <c r="F23" i="24"/>
  <c r="E30" i="24"/>
  <c r="F21" i="24"/>
  <c r="G23" i="24" l="1"/>
  <c r="G24" i="24"/>
  <c r="E27" i="24"/>
  <c r="G21" i="24"/>
  <c r="G22" i="24"/>
  <c r="G30" i="24"/>
  <c r="G28" i="24" l="1"/>
  <c r="H29" i="24"/>
  <c r="H22" i="24"/>
  <c r="H24" i="24"/>
  <c r="H23" i="24"/>
  <c r="H30" i="24"/>
  <c r="H21" i="24"/>
  <c r="G27" i="24" l="1"/>
  <c r="H27" i="24"/>
  <c r="H28" i="24"/>
  <c r="G29" i="24"/>
  <c r="I21" i="24"/>
  <c r="I24" i="24"/>
  <c r="I22" i="24"/>
  <c r="I23" i="24"/>
  <c r="I30" i="24"/>
  <c r="I27" i="24"/>
  <c r="I29" i="24"/>
  <c r="I28" i="24" l="1"/>
  <c r="J21" i="24"/>
  <c r="J22" i="24"/>
  <c r="J23" i="24"/>
  <c r="J24" i="24"/>
  <c r="K21" i="24" l="1"/>
  <c r="J28" i="24"/>
  <c r="K23" i="24"/>
  <c r="K24" i="24"/>
  <c r="J30" i="24"/>
  <c r="J29" i="24"/>
  <c r="K22" i="24"/>
  <c r="L22" i="24" l="1"/>
  <c r="K30" i="24"/>
  <c r="K29" i="24"/>
  <c r="L23" i="24"/>
  <c r="K27" i="24"/>
  <c r="J27" i="24"/>
  <c r="L24" i="24"/>
  <c r="L21" i="24"/>
  <c r="L28" i="24" l="1"/>
  <c r="L29" i="24"/>
  <c r="K28" i="24"/>
  <c r="L27" i="24"/>
  <c r="L30" i="24" l="1"/>
  <c r="B9" i="19" l="1"/>
  <c r="B6" i="19"/>
  <c r="B8" i="19"/>
  <c r="B7" i="19"/>
  <c r="D8" i="19" l="1"/>
  <c r="D9" i="19" l="1"/>
  <c r="D6" i="19"/>
  <c r="D7" i="19"/>
  <c r="F27" i="24" l="1"/>
  <c r="F29" i="24" l="1"/>
  <c r="F30" i="24"/>
  <c r="F28" i="24"/>
  <c r="J18" i="24" l="1"/>
  <c r="J17" i="24"/>
  <c r="J16" i="24"/>
  <c r="J15" i="24"/>
  <c r="I18" i="24"/>
  <c r="I17" i="24"/>
  <c r="I16" i="24"/>
  <c r="I15" i="24"/>
  <c r="H18" i="24"/>
  <c r="H17" i="24"/>
  <c r="H16" i="24"/>
  <c r="H15" i="24"/>
  <c r="G18" i="24"/>
  <c r="G17" i="24"/>
  <c r="G16" i="24"/>
  <c r="G15" i="24"/>
  <c r="F18" i="24"/>
  <c r="F17" i="24"/>
  <c r="F16" i="24"/>
  <c r="F15" i="24"/>
  <c r="E16" i="24"/>
  <c r="E17" i="24"/>
  <c r="E18" i="24"/>
  <c r="E15" i="24"/>
  <c r="G23" i="40" l="1"/>
  <c r="E23" i="40"/>
  <c r="H23" i="40"/>
  <c r="G24" i="40"/>
  <c r="F29" i="40"/>
  <c r="I23" i="40"/>
  <c r="I29" i="40"/>
  <c r="I24" i="40"/>
  <c r="F24" i="40"/>
  <c r="F30" i="40"/>
  <c r="H29" i="40"/>
  <c r="H30" i="40"/>
  <c r="E29" i="40"/>
  <c r="H24" i="40"/>
  <c r="I30" i="40"/>
  <c r="J23" i="40"/>
  <c r="E24" i="40"/>
  <c r="J24" i="40"/>
  <c r="E30" i="40"/>
  <c r="F23" i="40"/>
  <c r="E21" i="40" l="1"/>
  <c r="H21" i="40"/>
  <c r="J21" i="40"/>
  <c r="E22" i="40"/>
  <c r="G21" i="40"/>
  <c r="J30" i="40"/>
  <c r="H22" i="40"/>
  <c r="F21" i="40"/>
  <c r="I21" i="40"/>
  <c r="J22" i="40"/>
  <c r="J29" i="40"/>
  <c r="F22" i="40"/>
  <c r="G27" i="40" l="1"/>
  <c r="I27" i="40"/>
  <c r="F27" i="40"/>
  <c r="J27" i="40"/>
  <c r="H27" i="40"/>
  <c r="G22" i="40" l="1"/>
  <c r="I22" i="40"/>
  <c r="G30" i="40"/>
  <c r="E27" i="40"/>
  <c r="G29" i="40"/>
  <c r="J28" i="40" l="1"/>
  <c r="G28" i="40"/>
  <c r="F28" i="40"/>
  <c r="E28" i="40"/>
  <c r="H28" i="40"/>
  <c r="I28" i="40"/>
  <c r="K24" i="40" l="1"/>
  <c r="B9" i="37" l="1"/>
  <c r="L24" i="40"/>
  <c r="L30" i="40" l="1"/>
  <c r="K23" i="40" l="1"/>
  <c r="K30" i="40"/>
  <c r="L23" i="40" l="1"/>
  <c r="D9" i="37"/>
  <c r="B8" i="37" l="1"/>
  <c r="L29" i="40"/>
  <c r="K29" i="40" l="1"/>
  <c r="K22" i="40"/>
  <c r="D8" i="37" l="1"/>
  <c r="L22" i="40"/>
  <c r="B7" i="37" l="1"/>
  <c r="L28" i="40"/>
  <c r="K21" i="40" l="1"/>
  <c r="K28" i="40"/>
  <c r="D7" i="37" l="1"/>
  <c r="B6" i="37" l="1"/>
  <c r="K27" i="40"/>
  <c r="L21" i="40"/>
  <c r="D6" i="37" l="1"/>
  <c r="L27" i="40"/>
  <c r="J18" i="40" l="1"/>
  <c r="J17" i="40"/>
  <c r="J16" i="40"/>
  <c r="J15" i="40"/>
  <c r="I18" i="40"/>
  <c r="I17" i="40"/>
  <c r="I16" i="40"/>
  <c r="I15" i="40"/>
  <c r="H18" i="40"/>
  <c r="H17" i="40"/>
  <c r="H16" i="40"/>
  <c r="H15" i="40"/>
  <c r="G18" i="40"/>
  <c r="G17" i="40"/>
  <c r="G16" i="40"/>
  <c r="G15" i="40"/>
  <c r="F18" i="40"/>
  <c r="F17" i="40"/>
  <c r="F16" i="40"/>
  <c r="F15" i="40"/>
  <c r="E16" i="40"/>
  <c r="E17" i="40"/>
  <c r="E18" i="40"/>
  <c r="E15" i="40"/>
  <c r="B25" i="36"/>
  <c r="B24" i="36"/>
  <c r="B23" i="36"/>
  <c r="B19" i="36"/>
  <c r="J26" i="29" l="1"/>
  <c r="I26" i="29"/>
  <c r="H26" i="29"/>
  <c r="G26" i="29"/>
  <c r="F26" i="29"/>
  <c r="E26" i="29"/>
  <c r="B157" i="28"/>
  <c r="B156" i="28"/>
  <c r="B155" i="28"/>
  <c r="B151" i="28"/>
  <c r="F18" i="29" l="1"/>
  <c r="F17" i="29"/>
  <c r="F16" i="29"/>
  <c r="F15" i="29"/>
  <c r="G18" i="29"/>
  <c r="G17" i="29"/>
  <c r="G16" i="29"/>
  <c r="G15" i="29"/>
  <c r="H18" i="29"/>
  <c r="H17" i="29"/>
  <c r="H16" i="29"/>
  <c r="H15" i="29"/>
  <c r="I18" i="29"/>
  <c r="I17" i="29"/>
  <c r="I16" i="29"/>
  <c r="I15" i="29"/>
  <c r="J18" i="29"/>
  <c r="J17" i="29"/>
  <c r="J16" i="29"/>
  <c r="J15" i="29"/>
  <c r="E16" i="29"/>
  <c r="E17" i="29"/>
  <c r="E18" i="29"/>
  <c r="E15" i="29"/>
  <c r="I18" i="31" l="1"/>
  <c r="I17" i="31"/>
  <c r="I16" i="31"/>
  <c r="I15" i="31"/>
  <c r="H18" i="31"/>
  <c r="H17" i="31"/>
  <c r="H16" i="31"/>
  <c r="H15" i="31"/>
  <c r="G18" i="31"/>
  <c r="G17" i="31"/>
  <c r="G16" i="31"/>
  <c r="G15" i="31"/>
  <c r="F18" i="31"/>
  <c r="F17" i="31"/>
  <c r="F16" i="31"/>
  <c r="F15" i="31"/>
  <c r="E18" i="31"/>
  <c r="E17" i="31"/>
  <c r="E16" i="31"/>
  <c r="E15" i="31"/>
  <c r="D16" i="31"/>
  <c r="D17" i="31"/>
  <c r="D18" i="31"/>
  <c r="D15" i="31"/>
  <c r="J45" i="22"/>
  <c r="I45" i="22"/>
  <c r="H45" i="22"/>
  <c r="G45" i="22"/>
  <c r="F45" i="22"/>
  <c r="E45" i="22"/>
  <c r="I18" i="41" l="1"/>
  <c r="I17" i="41"/>
  <c r="I16" i="41"/>
  <c r="I15" i="41"/>
  <c r="H18" i="41"/>
  <c r="H17" i="41"/>
  <c r="H16" i="41"/>
  <c r="H15" i="41"/>
  <c r="G18" i="41"/>
  <c r="G17" i="41"/>
  <c r="G16" i="41"/>
  <c r="G15" i="41"/>
  <c r="F18" i="41"/>
  <c r="F17" i="41"/>
  <c r="F16" i="41"/>
  <c r="F15" i="41"/>
  <c r="E18" i="41"/>
  <c r="E17" i="41"/>
  <c r="E16" i="41"/>
  <c r="E15" i="41"/>
  <c r="D16" i="41"/>
  <c r="D17" i="41"/>
  <c r="D18" i="41"/>
  <c r="D15" i="41"/>
  <c r="K17" i="41" l="1"/>
  <c r="K31" i="41" s="1"/>
  <c r="L16" i="41"/>
  <c r="L30" i="41" s="1"/>
  <c r="K15" i="41"/>
  <c r="K29" i="41" s="1"/>
  <c r="B49" i="41"/>
  <c r="C49" i="41" s="1"/>
  <c r="I40" i="41"/>
  <c r="K40" i="41" s="1"/>
  <c r="H40" i="41"/>
  <c r="G40" i="41"/>
  <c r="F40" i="41"/>
  <c r="E40" i="41"/>
  <c r="D40" i="41"/>
  <c r="C38" i="41"/>
  <c r="C35" i="41"/>
  <c r="C32" i="41"/>
  <c r="I31" i="41"/>
  <c r="C31" i="41"/>
  <c r="C37" i="41" s="1"/>
  <c r="C30" i="41"/>
  <c r="C36" i="41" s="1"/>
  <c r="I29" i="41"/>
  <c r="H29" i="41"/>
  <c r="G29" i="41"/>
  <c r="C29" i="41"/>
  <c r="O24" i="41"/>
  <c r="O23" i="41"/>
  <c r="O22" i="41"/>
  <c r="O21" i="41"/>
  <c r="L18" i="41"/>
  <c r="L32" i="41" s="1"/>
  <c r="K18" i="41"/>
  <c r="K32" i="41" s="1"/>
  <c r="J18" i="41"/>
  <c r="J32" i="41" s="1"/>
  <c r="I32" i="41"/>
  <c r="H32" i="41"/>
  <c r="G32" i="41"/>
  <c r="F32" i="41"/>
  <c r="E32" i="41"/>
  <c r="D32" i="41"/>
  <c r="H31" i="41"/>
  <c r="G31" i="41"/>
  <c r="F31" i="41"/>
  <c r="E31" i="41"/>
  <c r="D31" i="41"/>
  <c r="I30" i="41"/>
  <c r="H30" i="41"/>
  <c r="G30" i="41"/>
  <c r="F30" i="41"/>
  <c r="E30" i="41"/>
  <c r="F29" i="41"/>
  <c r="E29" i="41"/>
  <c r="D29" i="41"/>
  <c r="K12" i="41"/>
  <c r="J12" i="41"/>
  <c r="I12" i="41"/>
  <c r="H12" i="41"/>
  <c r="G12" i="41"/>
  <c r="F12" i="41"/>
  <c r="E12" i="41"/>
  <c r="D12" i="41"/>
  <c r="L11" i="41"/>
  <c r="K11" i="41"/>
  <c r="J11" i="41"/>
  <c r="I11" i="41"/>
  <c r="H11" i="41"/>
  <c r="G11" i="41"/>
  <c r="F11" i="41"/>
  <c r="E11" i="41"/>
  <c r="D11" i="41"/>
  <c r="C10" i="41"/>
  <c r="B10" i="41"/>
  <c r="G7" i="41"/>
  <c r="E7" i="41"/>
  <c r="G6" i="41"/>
  <c r="E6" i="41"/>
  <c r="G5" i="41"/>
  <c r="E5" i="41"/>
  <c r="G4" i="41"/>
  <c r="G8" i="41" s="1"/>
  <c r="E4" i="41"/>
  <c r="A1" i="41"/>
  <c r="E158" i="28"/>
  <c r="E152" i="28" s="1"/>
  <c r="E153" i="28" s="1"/>
  <c r="D158" i="28"/>
  <c r="D152" i="28" s="1"/>
  <c r="D153" i="28" s="1"/>
  <c r="C158" i="28"/>
  <c r="C152" i="28" s="1"/>
  <c r="C153" i="28" s="1"/>
  <c r="F157" i="28"/>
  <c r="G157" i="28" s="1"/>
  <c r="F156" i="28"/>
  <c r="G156" i="28" s="1"/>
  <c r="F155" i="28"/>
  <c r="F151" i="28"/>
  <c r="L15" i="41" l="1"/>
  <c r="D44" i="41"/>
  <c r="J15" i="41"/>
  <c r="L17" i="41"/>
  <c r="L31" i="41" s="1"/>
  <c r="O15" i="41"/>
  <c r="J29" i="41"/>
  <c r="J17" i="41"/>
  <c r="J31" i="41" s="1"/>
  <c r="J16" i="41"/>
  <c r="J30" i="41" s="1"/>
  <c r="K16" i="41"/>
  <c r="K30" i="41" s="1"/>
  <c r="L29" i="41"/>
  <c r="D4" i="41"/>
  <c r="F4" i="41" s="1"/>
  <c r="D42" i="41"/>
  <c r="D45" i="41"/>
  <c r="D38" i="41"/>
  <c r="D30" i="41"/>
  <c r="D36" i="41" s="1"/>
  <c r="D37" i="41"/>
  <c r="D35" i="41"/>
  <c r="J40" i="41"/>
  <c r="D7" i="41"/>
  <c r="F7" i="41" s="1"/>
  <c r="O16" i="41"/>
  <c r="E8" i="41"/>
  <c r="O12" i="41"/>
  <c r="O18" i="41"/>
  <c r="G151" i="28"/>
  <c r="G155" i="28"/>
  <c r="G158" i="28" s="1"/>
  <c r="G152" i="28" s="1"/>
  <c r="F158" i="28"/>
  <c r="B158" i="28"/>
  <c r="B152" i="28" s="1"/>
  <c r="D6" i="41" l="1"/>
  <c r="F6" i="41" s="1"/>
  <c r="O17" i="41"/>
  <c r="D43" i="41"/>
  <c r="D49" i="41" s="1"/>
  <c r="D5" i="41"/>
  <c r="F5" i="41" s="1"/>
  <c r="F8" i="41" s="1"/>
  <c r="E44" i="41"/>
  <c r="E37" i="41"/>
  <c r="E45" i="41"/>
  <c r="E38" i="41"/>
  <c r="E42" i="41"/>
  <c r="E35" i="41"/>
  <c r="E36" i="41"/>
  <c r="E43" i="41"/>
  <c r="F152" i="28"/>
  <c r="F153" i="28" s="1"/>
  <c r="B153" i="28"/>
  <c r="G153" i="28"/>
  <c r="D47" i="41" l="1"/>
  <c r="D46" i="41"/>
  <c r="D8" i="41"/>
  <c r="F35" i="41"/>
  <c r="F42" i="41"/>
  <c r="F44" i="41"/>
  <c r="F37" i="41"/>
  <c r="F43" i="41"/>
  <c r="F36" i="41"/>
  <c r="E47" i="41"/>
  <c r="F38" i="41"/>
  <c r="F45" i="41"/>
  <c r="E49" i="41"/>
  <c r="G44" i="41" l="1"/>
  <c r="G37" i="41"/>
  <c r="G43" i="41"/>
  <c r="G36" i="41"/>
  <c r="E46" i="41"/>
  <c r="F49" i="41"/>
  <c r="G38" i="41"/>
  <c r="G45" i="41"/>
  <c r="F47" i="41"/>
  <c r="G42" i="41"/>
  <c r="G35" i="41"/>
  <c r="G47" i="41" l="1"/>
  <c r="F46" i="41"/>
  <c r="G49" i="41"/>
  <c r="H43" i="41"/>
  <c r="H36" i="41"/>
  <c r="H35" i="41"/>
  <c r="H42" i="41"/>
  <c r="H45" i="41"/>
  <c r="H38" i="41"/>
  <c r="H37" i="41"/>
  <c r="H44" i="41"/>
  <c r="I44" i="41" l="1"/>
  <c r="I37" i="41"/>
  <c r="I45" i="41"/>
  <c r="I38" i="41"/>
  <c r="H47" i="41"/>
  <c r="I35" i="41"/>
  <c r="I42" i="41"/>
  <c r="I36" i="41"/>
  <c r="I43" i="41"/>
  <c r="G46" i="41"/>
  <c r="H49" i="41"/>
  <c r="H46" i="41" l="1"/>
  <c r="I49" i="41"/>
  <c r="J43" i="41"/>
  <c r="J36" i="41"/>
  <c r="I47" i="41"/>
  <c r="J35" i="41"/>
  <c r="J42" i="41"/>
  <c r="J26" i="41"/>
  <c r="J38" i="41"/>
  <c r="J45" i="41"/>
  <c r="J44" i="41"/>
  <c r="J37" i="41"/>
  <c r="K26" i="41" l="1"/>
  <c r="J47" i="41"/>
  <c r="I46" i="41"/>
  <c r="J49" i="41"/>
  <c r="K42" i="41"/>
  <c r="H4" i="41" s="1"/>
  <c r="K35" i="41"/>
  <c r="K44" i="41"/>
  <c r="H6" i="41" s="1"/>
  <c r="I6" i="41" s="1"/>
  <c r="AF22" i="5" s="1"/>
  <c r="K37" i="41"/>
  <c r="K38" i="41"/>
  <c r="K45" i="41"/>
  <c r="H7" i="41" s="1"/>
  <c r="I7" i="41" s="1"/>
  <c r="AF23" i="5" s="1"/>
  <c r="K43" i="41"/>
  <c r="H5" i="41" s="1"/>
  <c r="I5" i="41" s="1"/>
  <c r="AF21" i="5" s="1"/>
  <c r="K36" i="41"/>
  <c r="L43" i="41" l="1"/>
  <c r="O43" i="41" s="1"/>
  <c r="L36" i="41"/>
  <c r="J5" i="41" s="1"/>
  <c r="H8" i="41"/>
  <c r="I4" i="41"/>
  <c r="AF20" i="5" s="1"/>
  <c r="L38" i="41"/>
  <c r="J7" i="41" s="1"/>
  <c r="L45" i="41"/>
  <c r="O45" i="41" s="1"/>
  <c r="L37" i="41"/>
  <c r="J6" i="41" s="1"/>
  <c r="L44" i="41"/>
  <c r="O44" i="41" s="1"/>
  <c r="K47" i="41"/>
  <c r="L42" i="41"/>
  <c r="L35" i="41"/>
  <c r="J46" i="41"/>
  <c r="K49" i="41"/>
  <c r="O26" i="41"/>
  <c r="K46" i="41" l="1"/>
  <c r="L49" i="41"/>
  <c r="L46" i="41" s="1"/>
  <c r="L47" i="41"/>
  <c r="O42" i="41"/>
  <c r="I8" i="41"/>
  <c r="J4" i="41"/>
  <c r="B80" i="28" l="1"/>
  <c r="B79" i="28"/>
  <c r="B78" i="28"/>
  <c r="B74" i="28"/>
  <c r="P17" i="35" l="1"/>
  <c r="P15" i="35"/>
  <c r="P14" i="35"/>
  <c r="P16" i="35" l="1"/>
  <c r="B10" i="24" l="1"/>
  <c r="B10" i="40"/>
  <c r="B10" i="29"/>
  <c r="B10" i="22"/>
  <c r="E147" i="28" l="1"/>
  <c r="E141" i="28" s="1"/>
  <c r="D147" i="28"/>
  <c r="D141" i="28" s="1"/>
  <c r="C147" i="28"/>
  <c r="C141" i="28" s="1"/>
  <c r="E142" i="28"/>
  <c r="D142" i="28"/>
  <c r="C142" i="28"/>
  <c r="B146" i="28" l="1"/>
  <c r="F146" i="28" s="1"/>
  <c r="G146" i="28" s="1"/>
  <c r="B144" i="28"/>
  <c r="B145" i="28"/>
  <c r="F145" i="28" s="1"/>
  <c r="G145" i="28" s="1"/>
  <c r="B140" i="28"/>
  <c r="F140" i="28" l="1"/>
  <c r="G140" i="28" s="1"/>
  <c r="F144" i="28"/>
  <c r="G144" i="28" s="1"/>
  <c r="B147" i="28"/>
  <c r="B141" i="28" s="1"/>
  <c r="F141" i="28" s="1"/>
  <c r="G147" i="28" l="1"/>
  <c r="G141" i="28" s="1"/>
  <c r="F147" i="28"/>
  <c r="B142" i="28"/>
  <c r="F142" i="28"/>
  <c r="G142" i="28" l="1"/>
  <c r="A12" i="38" l="1"/>
  <c r="E45" i="35" l="1"/>
  <c r="F45" i="35"/>
  <c r="B135" i="28" l="1"/>
  <c r="B134" i="28"/>
  <c r="B133" i="28"/>
  <c r="B129" i="28"/>
  <c r="A1" i="38" l="1"/>
  <c r="E20" i="22" l="1"/>
  <c r="E22" i="22"/>
  <c r="E21" i="22"/>
  <c r="B114" i="28" l="1"/>
  <c r="B108" i="28" l="1"/>
  <c r="D114" i="28"/>
  <c r="B124" i="28"/>
  <c r="B123" i="28"/>
  <c r="B122" i="28"/>
  <c r="B118" i="28"/>
  <c r="E69" i="28"/>
  <c r="D69" i="28"/>
  <c r="C69" i="28"/>
  <c r="B69" i="28"/>
  <c r="E68" i="28"/>
  <c r="D68" i="28"/>
  <c r="C68" i="28"/>
  <c r="B68" i="28"/>
  <c r="E67" i="28"/>
  <c r="D67" i="28"/>
  <c r="C67" i="28"/>
  <c r="B67" i="28"/>
  <c r="E63" i="28"/>
  <c r="D63" i="28"/>
  <c r="C63" i="28"/>
  <c r="B63" i="28"/>
  <c r="E58" i="28"/>
  <c r="D58" i="28"/>
  <c r="C58" i="28"/>
  <c r="E57" i="28"/>
  <c r="D57" i="28"/>
  <c r="C57" i="28"/>
  <c r="E56" i="28"/>
  <c r="D56" i="28"/>
  <c r="C56" i="28"/>
  <c r="E52" i="28"/>
  <c r="D52" i="28"/>
  <c r="C52" i="28"/>
  <c r="E47" i="28"/>
  <c r="D47" i="28"/>
  <c r="C47" i="28"/>
  <c r="E46" i="28"/>
  <c r="D46" i="28"/>
  <c r="C46" i="28"/>
  <c r="E45" i="28"/>
  <c r="D45" i="28"/>
  <c r="C45" i="28"/>
  <c r="E41" i="28"/>
  <c r="D41" i="28"/>
  <c r="C41" i="28"/>
  <c r="E36" i="28"/>
  <c r="D36" i="28"/>
  <c r="C36" i="28"/>
  <c r="E35" i="28"/>
  <c r="D35" i="28"/>
  <c r="C35" i="28"/>
  <c r="E34" i="28"/>
  <c r="D34" i="28"/>
  <c r="C34" i="28"/>
  <c r="E30" i="28"/>
  <c r="D30" i="28"/>
  <c r="C30" i="28"/>
  <c r="E25" i="28"/>
  <c r="D25" i="28"/>
  <c r="C25" i="28"/>
  <c r="B25" i="28"/>
  <c r="E24" i="28"/>
  <c r="D24" i="28"/>
  <c r="C24" i="28"/>
  <c r="B24" i="28"/>
  <c r="E23" i="28"/>
  <c r="D23" i="28"/>
  <c r="C23" i="28"/>
  <c r="B23" i="28"/>
  <c r="E19" i="28"/>
  <c r="D19" i="28"/>
  <c r="C19" i="28"/>
  <c r="B19" i="28"/>
  <c r="E136" i="28"/>
  <c r="E130" i="28" s="1"/>
  <c r="E131" i="28" s="1"/>
  <c r="D136" i="28"/>
  <c r="D130" i="28" s="1"/>
  <c r="C136" i="28"/>
  <c r="C130" i="28" s="1"/>
  <c r="C131" i="28" s="1"/>
  <c r="D131" i="28"/>
  <c r="D108" i="28" l="1"/>
  <c r="D109" i="28" s="1"/>
  <c r="B109" i="28"/>
  <c r="F135" i="28"/>
  <c r="G135" i="28" s="1"/>
  <c r="F133" i="28"/>
  <c r="G133" i="28" s="1"/>
  <c r="F129" i="28"/>
  <c r="G129" i="28" s="1"/>
  <c r="B136" i="28"/>
  <c r="B130" i="28" s="1"/>
  <c r="F130" i="28" s="1"/>
  <c r="F134" i="28"/>
  <c r="G134" i="28" s="1"/>
  <c r="B131" i="28" l="1"/>
  <c r="F136" i="28"/>
  <c r="G136" i="28"/>
  <c r="G130" i="28" s="1"/>
  <c r="G131" i="28" s="1"/>
  <c r="F131" i="28"/>
  <c r="E26" i="36" l="1"/>
  <c r="E20" i="36" s="1"/>
  <c r="D26" i="36"/>
  <c r="D20" i="36" s="1"/>
  <c r="C26" i="36"/>
  <c r="C20" i="36" s="1"/>
  <c r="B26" i="36"/>
  <c r="B20" i="36" s="1"/>
  <c r="F25" i="36"/>
  <c r="G25" i="36" s="1"/>
  <c r="F24" i="36"/>
  <c r="G24" i="36" s="1"/>
  <c r="F23" i="36"/>
  <c r="G23" i="36" s="1"/>
  <c r="E21" i="36"/>
  <c r="D21" i="36"/>
  <c r="C21" i="36"/>
  <c r="B21" i="36"/>
  <c r="F19" i="36"/>
  <c r="G19" i="36" s="1"/>
  <c r="F20" i="36" l="1"/>
  <c r="F26" i="36"/>
  <c r="F21" i="36"/>
  <c r="G26" i="36"/>
  <c r="G20" i="36" s="1"/>
  <c r="G21" i="36" s="1"/>
  <c r="J45" i="35" l="1"/>
  <c r="I45" i="35"/>
  <c r="H45" i="35"/>
  <c r="G45" i="35"/>
  <c r="L45" i="35" l="1"/>
  <c r="K45" i="35"/>
  <c r="J22" i="22" l="1"/>
  <c r="I20" i="22"/>
  <c r="F20" i="22"/>
  <c r="J23" i="22"/>
  <c r="I21" i="22"/>
  <c r="F21" i="22"/>
  <c r="J20" i="22"/>
  <c r="G20" i="22"/>
  <c r="G21" i="22"/>
  <c r="G23" i="22"/>
  <c r="I22" i="22"/>
  <c r="F22" i="22"/>
  <c r="H23" i="22"/>
  <c r="G22" i="22"/>
  <c r="I23" i="22"/>
  <c r="F23" i="22"/>
  <c r="J21" i="22"/>
  <c r="H20" i="22"/>
  <c r="H21" i="22"/>
  <c r="H22" i="22"/>
  <c r="E23" i="22" l="1"/>
  <c r="D11" i="31" l="1"/>
  <c r="E11" i="29"/>
  <c r="E11" i="40"/>
  <c r="E11" i="24"/>
  <c r="E11" i="22"/>
  <c r="F11" i="35"/>
  <c r="B55" i="40"/>
  <c r="C55" i="40" s="1"/>
  <c r="J46" i="40"/>
  <c r="L46" i="40" s="1"/>
  <c r="I46" i="40"/>
  <c r="H46" i="40"/>
  <c r="G46" i="40"/>
  <c r="F46" i="40"/>
  <c r="E46" i="40"/>
  <c r="J38" i="40"/>
  <c r="C38" i="40"/>
  <c r="C44" i="40" s="1"/>
  <c r="J37" i="40"/>
  <c r="I37" i="40"/>
  <c r="D37" i="40"/>
  <c r="C37" i="40"/>
  <c r="C43" i="40" s="1"/>
  <c r="D36" i="40"/>
  <c r="C36" i="40"/>
  <c r="C42" i="40" s="1"/>
  <c r="J35" i="40"/>
  <c r="I35" i="40"/>
  <c r="D35" i="40"/>
  <c r="C35" i="40"/>
  <c r="C41" i="40" s="1"/>
  <c r="P30" i="40"/>
  <c r="I38" i="40"/>
  <c r="H38" i="40"/>
  <c r="E38" i="40"/>
  <c r="D38" i="40"/>
  <c r="P29" i="40"/>
  <c r="H37" i="40"/>
  <c r="G37" i="40"/>
  <c r="F37" i="40"/>
  <c r="I36" i="40"/>
  <c r="H36" i="40"/>
  <c r="H35" i="40"/>
  <c r="G35" i="40"/>
  <c r="F35" i="40"/>
  <c r="E35" i="40"/>
  <c r="P24" i="40"/>
  <c r="N24" i="40"/>
  <c r="F7" i="40" s="1"/>
  <c r="P23" i="40"/>
  <c r="P22" i="40"/>
  <c r="P21" i="40"/>
  <c r="N21" i="40"/>
  <c r="F4" i="40" s="1"/>
  <c r="F36" i="40"/>
  <c r="E36" i="40"/>
  <c r="I12" i="40"/>
  <c r="F12" i="40"/>
  <c r="E12" i="40"/>
  <c r="I7" i="40"/>
  <c r="I6" i="40"/>
  <c r="G6" i="40"/>
  <c r="I5" i="40"/>
  <c r="I4" i="40"/>
  <c r="A1" i="40"/>
  <c r="D55" i="40" l="1"/>
  <c r="F11" i="29"/>
  <c r="E11" i="31"/>
  <c r="G11" i="35"/>
  <c r="F11" i="31" s="1"/>
  <c r="F11" i="22"/>
  <c r="F11" i="40"/>
  <c r="F11" i="24"/>
  <c r="D44" i="40"/>
  <c r="E44" i="40" s="1"/>
  <c r="D42" i="40"/>
  <c r="E49" i="40" s="1"/>
  <c r="D41" i="40"/>
  <c r="E48" i="40" s="1"/>
  <c r="I8" i="40"/>
  <c r="E51" i="40"/>
  <c r="J36" i="40"/>
  <c r="J12" i="40"/>
  <c r="P28" i="40"/>
  <c r="K46" i="40"/>
  <c r="G12" i="40"/>
  <c r="H12" i="40"/>
  <c r="G4" i="40"/>
  <c r="G36" i="40"/>
  <c r="G5" i="40"/>
  <c r="D43" i="40"/>
  <c r="N23" i="40"/>
  <c r="F6" i="40" s="1"/>
  <c r="G7" i="40"/>
  <c r="P27" i="40"/>
  <c r="K12" i="40"/>
  <c r="F38" i="40"/>
  <c r="N22" i="40"/>
  <c r="F5" i="40" s="1"/>
  <c r="L12" i="40"/>
  <c r="E37" i="40"/>
  <c r="G38" i="40"/>
  <c r="H11" i="35" l="1"/>
  <c r="G11" i="31" s="1"/>
  <c r="G11" i="40"/>
  <c r="G11" i="24"/>
  <c r="G11" i="22"/>
  <c r="G11" i="29"/>
  <c r="E42" i="40"/>
  <c r="F49" i="40" s="1"/>
  <c r="E41" i="40"/>
  <c r="F48" i="40" s="1"/>
  <c r="F8" i="40"/>
  <c r="F51" i="40"/>
  <c r="F44" i="40"/>
  <c r="E43" i="40"/>
  <c r="E50" i="40"/>
  <c r="E55" i="40" s="1"/>
  <c r="G8" i="40"/>
  <c r="P12" i="40"/>
  <c r="I11" i="35" l="1"/>
  <c r="H11" i="31" s="1"/>
  <c r="H11" i="29"/>
  <c r="H11" i="22"/>
  <c r="H11" i="24"/>
  <c r="H11" i="40"/>
  <c r="F42" i="40"/>
  <c r="G49" i="40" s="1"/>
  <c r="F41" i="40"/>
  <c r="G48" i="40" s="1"/>
  <c r="E52" i="40"/>
  <c r="F43" i="40"/>
  <c r="F50" i="40"/>
  <c r="F53" i="40" s="1"/>
  <c r="G51" i="40"/>
  <c r="G44" i="40"/>
  <c r="E53" i="40"/>
  <c r="J11" i="35" l="1"/>
  <c r="I11" i="31" s="1"/>
  <c r="I11" i="29"/>
  <c r="I11" i="22"/>
  <c r="I11" i="40"/>
  <c r="I11" i="24"/>
  <c r="G41" i="40"/>
  <c r="H41" i="40" s="1"/>
  <c r="G42" i="40"/>
  <c r="H42" i="40" s="1"/>
  <c r="F55" i="40"/>
  <c r="F52" i="40" s="1"/>
  <c r="G43" i="40"/>
  <c r="G50" i="40"/>
  <c r="H51" i="40"/>
  <c r="H44" i="40"/>
  <c r="H49" i="40" l="1"/>
  <c r="I42" i="40" s="1"/>
  <c r="K11" i="35"/>
  <c r="J11" i="31" s="1"/>
  <c r="J11" i="29"/>
  <c r="J11" i="22"/>
  <c r="J11" i="40"/>
  <c r="J11" i="24"/>
  <c r="H48" i="40"/>
  <c r="I41" i="40" s="1"/>
  <c r="H43" i="40"/>
  <c r="H50" i="40"/>
  <c r="I51" i="40"/>
  <c r="I44" i="40"/>
  <c r="G53" i="40"/>
  <c r="G55" i="40"/>
  <c r="I49" i="40" l="1"/>
  <c r="J49" i="40" s="1"/>
  <c r="I48" i="40"/>
  <c r="J41" i="40" s="1"/>
  <c r="H53" i="40"/>
  <c r="L11" i="35"/>
  <c r="K11" i="31" s="1"/>
  <c r="K11" i="24"/>
  <c r="K11" i="40"/>
  <c r="K11" i="29"/>
  <c r="K11" i="22"/>
  <c r="I43" i="40"/>
  <c r="I50" i="40"/>
  <c r="G52" i="40"/>
  <c r="H55" i="40"/>
  <c r="J44" i="40"/>
  <c r="J51" i="40"/>
  <c r="J42" i="40" l="1"/>
  <c r="J48" i="40"/>
  <c r="I53" i="40"/>
  <c r="M11" i="35"/>
  <c r="L11" i="31" s="1"/>
  <c r="L11" i="40"/>
  <c r="L11" i="24"/>
  <c r="L11" i="22"/>
  <c r="L11" i="29"/>
  <c r="H52" i="40"/>
  <c r="I55" i="40"/>
  <c r="J43" i="40"/>
  <c r="J50" i="40"/>
  <c r="J53" i="40" l="1"/>
  <c r="M11" i="24"/>
  <c r="M11" i="29"/>
  <c r="M11" i="40"/>
  <c r="M11" i="22"/>
  <c r="I52" i="40"/>
  <c r="J55" i="40"/>
  <c r="J52" i="40" l="1"/>
  <c r="A2" i="30" l="1"/>
  <c r="A2" i="28"/>
  <c r="A2" i="38"/>
  <c r="A1" i="31"/>
  <c r="A1" i="30"/>
  <c r="A1" i="29"/>
  <c r="A1" i="36"/>
  <c r="A1" i="28"/>
  <c r="A1" i="24"/>
  <c r="A1" i="37"/>
  <c r="A1" i="35"/>
  <c r="A1" i="22"/>
  <c r="A1" i="5"/>
  <c r="A2" i="36" l="1"/>
  <c r="D5" i="37"/>
  <c r="A2" i="37"/>
  <c r="C8" i="38" l="1"/>
  <c r="C7" i="38"/>
  <c r="C14" i="5" s="1"/>
  <c r="C6" i="38"/>
  <c r="C13" i="5" s="1"/>
  <c r="C15" i="5" l="1"/>
  <c r="D9" i="38"/>
  <c r="C5" i="38"/>
  <c r="C12" i="5" s="1"/>
  <c r="C9" i="38" l="1"/>
  <c r="C12" i="36" l="1"/>
  <c r="D12" i="36"/>
  <c r="E12" i="36"/>
  <c r="C13" i="36"/>
  <c r="D13" i="36"/>
  <c r="E13" i="36"/>
  <c r="C14" i="36"/>
  <c r="D14" i="36"/>
  <c r="E14" i="36"/>
  <c r="B13" i="36"/>
  <c r="B14" i="36"/>
  <c r="C8" i="36"/>
  <c r="D8" i="36"/>
  <c r="E8" i="36"/>
  <c r="E48" i="36"/>
  <c r="E42" i="36" s="1"/>
  <c r="D48" i="36"/>
  <c r="D42" i="36" s="1"/>
  <c r="D43" i="36" s="1"/>
  <c r="C48" i="36"/>
  <c r="C42" i="36" s="1"/>
  <c r="C43" i="36" s="1"/>
  <c r="B48" i="36"/>
  <c r="B42" i="36" s="1"/>
  <c r="F42" i="36" s="1"/>
  <c r="F47" i="36"/>
  <c r="G47" i="36" s="1"/>
  <c r="F46" i="36"/>
  <c r="G46" i="36" s="1"/>
  <c r="F45" i="36"/>
  <c r="G45" i="36" s="1"/>
  <c r="G48" i="36" s="1"/>
  <c r="G42" i="36" s="1"/>
  <c r="G43" i="36" s="1"/>
  <c r="E43" i="36"/>
  <c r="F41" i="36"/>
  <c r="G41" i="36" s="1"/>
  <c r="E37" i="36"/>
  <c r="E31" i="36" s="1"/>
  <c r="D37" i="36"/>
  <c r="D31" i="36" s="1"/>
  <c r="C37" i="36"/>
  <c r="C31" i="36" s="1"/>
  <c r="B37" i="36"/>
  <c r="B31" i="36" s="1"/>
  <c r="F31" i="36" s="1"/>
  <c r="F36" i="36"/>
  <c r="G36" i="36" s="1"/>
  <c r="F35" i="36"/>
  <c r="G35" i="36" s="1"/>
  <c r="F34" i="36"/>
  <c r="G34" i="36" s="1"/>
  <c r="E32" i="36"/>
  <c r="D32" i="36"/>
  <c r="C32" i="36"/>
  <c r="F30" i="36"/>
  <c r="G30" i="36" s="1"/>
  <c r="G37" i="36" l="1"/>
  <c r="G31" i="36" s="1"/>
  <c r="G32" i="36" s="1"/>
  <c r="B32" i="36"/>
  <c r="B43" i="36"/>
  <c r="F32" i="36"/>
  <c r="F43" i="36"/>
  <c r="F37" i="36"/>
  <c r="F48" i="36"/>
  <c r="B8" i="36"/>
  <c r="B12" i="36"/>
  <c r="B15" i="36" l="1"/>
  <c r="B9" i="36" s="1"/>
  <c r="B10" i="36" l="1"/>
  <c r="B103" i="28" l="1"/>
  <c r="B97" i="28" l="1"/>
  <c r="B98" i="28" s="1"/>
  <c r="D15" i="36"/>
  <c r="D9" i="36" s="1"/>
  <c r="D10" i="36" s="1"/>
  <c r="C15" i="36" l="1"/>
  <c r="C9" i="36" s="1"/>
  <c r="C10" i="36" l="1"/>
  <c r="D29" i="29" l="1"/>
  <c r="D32" i="29" l="1"/>
  <c r="D31" i="29"/>
  <c r="D30" i="29" l="1"/>
  <c r="F13" i="36" l="1"/>
  <c r="F8" i="36"/>
  <c r="G8" i="36" l="1"/>
  <c r="F14" i="36" l="1"/>
  <c r="E15" i="36" l="1"/>
  <c r="E9" i="36" s="1"/>
  <c r="F12" i="36"/>
  <c r="F15" i="36" s="1"/>
  <c r="G12" i="36" l="1"/>
  <c r="F9" i="36"/>
  <c r="F10" i="36" s="1"/>
  <c r="E10" i="36"/>
  <c r="G14" i="36" l="1"/>
  <c r="G13" i="36"/>
  <c r="G15" i="36" l="1"/>
  <c r="G9" i="36" s="1"/>
  <c r="G10" i="36" s="1"/>
  <c r="G40" i="29"/>
  <c r="F40" i="31"/>
  <c r="H40" i="29"/>
  <c r="G40" i="31"/>
  <c r="I40" i="29"/>
  <c r="H40" i="31"/>
  <c r="E40" i="29"/>
  <c r="D40" i="31"/>
  <c r="E40" i="31"/>
  <c r="F40" i="29"/>
  <c r="J40" i="29"/>
  <c r="I40" i="31"/>
  <c r="J40" i="31" l="1"/>
  <c r="K40" i="31"/>
  <c r="K40" i="29"/>
  <c r="L40" i="29"/>
  <c r="F118" i="28" l="1"/>
  <c r="G118" i="28" s="1"/>
  <c r="D125" i="28"/>
  <c r="D119" i="28" s="1"/>
  <c r="D120" i="28" s="1"/>
  <c r="C125" i="28"/>
  <c r="C119" i="28" s="1"/>
  <c r="B125" i="28" l="1"/>
  <c r="B119" i="28" s="1"/>
  <c r="F124" i="28"/>
  <c r="G124" i="28" s="1"/>
  <c r="F123" i="28"/>
  <c r="G123" i="28" s="1"/>
  <c r="F122" i="28"/>
  <c r="G122" i="28" s="1"/>
  <c r="C120" i="28"/>
  <c r="B92" i="28"/>
  <c r="B86" i="28" s="1"/>
  <c r="B120" i="28"/>
  <c r="E125" i="28"/>
  <c r="E119" i="28" s="1"/>
  <c r="E120" i="28" s="1"/>
  <c r="F119" i="28" l="1"/>
  <c r="B87" i="28"/>
  <c r="F125" i="28"/>
  <c r="G125" i="28"/>
  <c r="G119" i="28" s="1"/>
  <c r="G120" i="28" l="1"/>
  <c r="F120" i="28"/>
  <c r="E16" i="20" l="1"/>
  <c r="E15" i="20"/>
  <c r="E14" i="20"/>
  <c r="E13" i="20"/>
  <c r="B54" i="35"/>
  <c r="C54" i="35" s="1"/>
  <c r="M52" i="35"/>
  <c r="H37" i="35"/>
  <c r="G37" i="35"/>
  <c r="D37" i="35"/>
  <c r="C37" i="35"/>
  <c r="C43" i="35" s="1"/>
  <c r="F36" i="35"/>
  <c r="E36" i="35"/>
  <c r="D36" i="35"/>
  <c r="C36" i="35"/>
  <c r="C42" i="35" s="1"/>
  <c r="J35" i="35"/>
  <c r="D35" i="35"/>
  <c r="C35" i="35"/>
  <c r="C41" i="35" s="1"/>
  <c r="E34" i="35"/>
  <c r="D34" i="35"/>
  <c r="C34" i="35"/>
  <c r="C40" i="35" s="1"/>
  <c r="F37" i="35"/>
  <c r="J37" i="35"/>
  <c r="I37" i="35"/>
  <c r="G7" i="35"/>
  <c r="J36" i="35"/>
  <c r="I36" i="35"/>
  <c r="H36" i="35"/>
  <c r="G36" i="35"/>
  <c r="G6" i="35"/>
  <c r="G5" i="35"/>
  <c r="I35" i="35"/>
  <c r="H35" i="35"/>
  <c r="G35" i="35"/>
  <c r="F35" i="35"/>
  <c r="E35" i="35"/>
  <c r="H34" i="35"/>
  <c r="G34" i="35"/>
  <c r="F34" i="35"/>
  <c r="I7" i="35"/>
  <c r="I6" i="35"/>
  <c r="I5" i="35"/>
  <c r="I4" i="35"/>
  <c r="E49" i="35" l="1"/>
  <c r="I8" i="35"/>
  <c r="E48" i="35"/>
  <c r="D41" i="35"/>
  <c r="E41" i="35" s="1"/>
  <c r="E47" i="35"/>
  <c r="D40" i="35"/>
  <c r="E40" i="35" s="1"/>
  <c r="D43" i="35"/>
  <c r="D42" i="35"/>
  <c r="E42" i="35" s="1"/>
  <c r="E37" i="35"/>
  <c r="E50" i="35" l="1"/>
  <c r="E54" i="35" s="1"/>
  <c r="E43" i="35"/>
  <c r="F42" i="35"/>
  <c r="F49" i="35"/>
  <c r="F48" i="35"/>
  <c r="F41" i="35"/>
  <c r="F47" i="35"/>
  <c r="F40" i="35"/>
  <c r="E52" i="35"/>
  <c r="F43" i="35" l="1"/>
  <c r="F50" i="35"/>
  <c r="F52" i="35" s="1"/>
  <c r="G48" i="35"/>
  <c r="G41" i="35"/>
  <c r="G42" i="35"/>
  <c r="G49" i="35"/>
  <c r="E51" i="35"/>
  <c r="F54" i="35"/>
  <c r="G47" i="35"/>
  <c r="G40" i="35"/>
  <c r="G43" i="35" l="1"/>
  <c r="G50" i="35"/>
  <c r="G52" i="35" s="1"/>
  <c r="H42" i="35"/>
  <c r="H49" i="35"/>
  <c r="H47" i="35"/>
  <c r="H40" i="35"/>
  <c r="H48" i="35"/>
  <c r="H41" i="35"/>
  <c r="F51" i="35"/>
  <c r="G54" i="35"/>
  <c r="H43" i="35" l="1"/>
  <c r="H50" i="35"/>
  <c r="H52" i="35"/>
  <c r="I48" i="35"/>
  <c r="I41" i="35"/>
  <c r="I42" i="35"/>
  <c r="I49" i="35"/>
  <c r="G51" i="35"/>
  <c r="H54" i="35"/>
  <c r="I43" i="35" l="1"/>
  <c r="I50" i="35"/>
  <c r="J42" i="35"/>
  <c r="J49" i="35"/>
  <c r="J48" i="35"/>
  <c r="J41" i="35"/>
  <c r="H51" i="35"/>
  <c r="J43" i="35"/>
  <c r="J50" i="35"/>
  <c r="B14" i="28" l="1"/>
  <c r="B13" i="28"/>
  <c r="B12" i="28"/>
  <c r="B8" i="28"/>
  <c r="B15" i="28" l="1"/>
  <c r="B9" i="28" s="1"/>
  <c r="B59" i="28" l="1"/>
  <c r="B53" i="28" s="1"/>
  <c r="B54" i="28" s="1"/>
  <c r="F58" i="28"/>
  <c r="F56" i="28"/>
  <c r="D59" i="28"/>
  <c r="D53" i="28" s="1"/>
  <c r="C59" i="28"/>
  <c r="C53" i="28" s="1"/>
  <c r="G56" i="28" l="1"/>
  <c r="G58" i="28"/>
  <c r="D54" i="28"/>
  <c r="C54" i="28"/>
  <c r="F57" i="28"/>
  <c r="F52" i="28"/>
  <c r="E59" i="28"/>
  <c r="E53" i="28" s="1"/>
  <c r="F53" i="28" s="1"/>
  <c r="G57" i="28" l="1"/>
  <c r="G59" i="28" s="1"/>
  <c r="G53" i="28" s="1"/>
  <c r="G52" i="28"/>
  <c r="E54" i="28"/>
  <c r="F59" i="28"/>
  <c r="G54" i="28" l="1"/>
  <c r="F54" i="28"/>
  <c r="O24" i="31" l="1"/>
  <c r="O23" i="31"/>
  <c r="O22" i="31"/>
  <c r="O21" i="31"/>
  <c r="P17" i="22"/>
  <c r="P16" i="22"/>
  <c r="P15" i="22"/>
  <c r="P14" i="22"/>
  <c r="C29" i="31" l="1"/>
  <c r="C35" i="31" s="1"/>
  <c r="E46" i="24"/>
  <c r="J46" i="24"/>
  <c r="I46" i="24"/>
  <c r="H46" i="24"/>
  <c r="F46" i="24"/>
  <c r="K45" i="22"/>
  <c r="L45" i="22"/>
  <c r="G46" i="24"/>
  <c r="L46" i="24" l="1"/>
  <c r="K46" i="24"/>
  <c r="B54" i="22" l="1"/>
  <c r="C54" i="22" s="1"/>
  <c r="C34" i="22"/>
  <c r="C40" i="22" s="1"/>
  <c r="C35" i="22"/>
  <c r="C41" i="22" s="1"/>
  <c r="C36" i="22"/>
  <c r="C42" i="22" s="1"/>
  <c r="C37" i="22"/>
  <c r="C43" i="22" s="1"/>
  <c r="E34" i="22" l="1"/>
  <c r="E47" i="22" l="1"/>
  <c r="F15" i="5" l="1"/>
  <c r="F14" i="5"/>
  <c r="F13" i="5"/>
  <c r="F12" i="5"/>
  <c r="B81" i="28" l="1"/>
  <c r="B75" i="28" s="1"/>
  <c r="B76" i="28"/>
  <c r="E70" i="28"/>
  <c r="E64" i="28" s="1"/>
  <c r="D70" i="28"/>
  <c r="D64" i="28" s="1"/>
  <c r="C70" i="28"/>
  <c r="C64" i="28" s="1"/>
  <c r="C65" i="28" s="1"/>
  <c r="B70" i="28"/>
  <c r="B64" i="28" s="1"/>
  <c r="F64" i="28" s="1"/>
  <c r="F69" i="28"/>
  <c r="G69" i="28" s="1"/>
  <c r="F68" i="28"/>
  <c r="G68" i="28" s="1"/>
  <c r="F67" i="28"/>
  <c r="G67" i="28" s="1"/>
  <c r="E65" i="28"/>
  <c r="D65" i="28"/>
  <c r="F63" i="28"/>
  <c r="G63" i="28" s="1"/>
  <c r="B65" i="28" l="1"/>
  <c r="F65" i="28"/>
  <c r="F70" i="28"/>
  <c r="G70" i="28" l="1"/>
  <c r="G64" i="28" s="1"/>
  <c r="G65" i="28" s="1"/>
  <c r="E6" i="31"/>
  <c r="E5" i="31"/>
  <c r="I31" i="31"/>
  <c r="H31" i="31"/>
  <c r="G31" i="31"/>
  <c r="F31" i="31"/>
  <c r="E31" i="31"/>
  <c r="D31" i="31"/>
  <c r="C31" i="31"/>
  <c r="I30" i="31"/>
  <c r="H30" i="31"/>
  <c r="G30" i="31"/>
  <c r="F30" i="31"/>
  <c r="E30" i="31"/>
  <c r="D30" i="31"/>
  <c r="C30" i="31"/>
  <c r="C11" i="30" l="1"/>
  <c r="I32" i="31"/>
  <c r="H32" i="31"/>
  <c r="G32" i="31"/>
  <c r="F32" i="31"/>
  <c r="E32" i="31"/>
  <c r="D32" i="31"/>
  <c r="C32" i="31"/>
  <c r="I29" i="31"/>
  <c r="H29" i="31"/>
  <c r="G29" i="31"/>
  <c r="F29" i="31"/>
  <c r="E29" i="31"/>
  <c r="D29" i="31"/>
  <c r="K12" i="31"/>
  <c r="J12" i="31"/>
  <c r="O12" i="31" s="1"/>
  <c r="I12" i="31"/>
  <c r="H12" i="31"/>
  <c r="G12" i="31"/>
  <c r="F12" i="31"/>
  <c r="E12" i="31"/>
  <c r="D12" i="31"/>
  <c r="E7" i="31"/>
  <c r="E4" i="31"/>
  <c r="E10" i="30"/>
  <c r="D11" i="30"/>
  <c r="B7" i="30" s="1"/>
  <c r="B11" i="30"/>
  <c r="B5" i="30" s="1"/>
  <c r="B6" i="30" l="1"/>
  <c r="C12" i="30"/>
  <c r="B12" i="30"/>
  <c r="D12" i="30"/>
  <c r="E8" i="31"/>
  <c r="E9" i="30"/>
  <c r="E11" i="30" l="1"/>
  <c r="E12" i="30" s="1"/>
  <c r="G4" i="31" l="1"/>
  <c r="D35" i="31"/>
  <c r="D42" i="31" l="1"/>
  <c r="H7" i="29" l="1"/>
  <c r="H6" i="29"/>
  <c r="H5" i="29"/>
  <c r="B49" i="29"/>
  <c r="C49" i="29" s="1"/>
  <c r="C32" i="29"/>
  <c r="C38" i="29" s="1"/>
  <c r="C31" i="29"/>
  <c r="C37" i="29" s="1"/>
  <c r="C30" i="29"/>
  <c r="C36" i="29" s="1"/>
  <c r="C29" i="29"/>
  <c r="C35" i="29" s="1"/>
  <c r="H4" i="29"/>
  <c r="E35" i="31" l="1"/>
  <c r="E42" i="31"/>
  <c r="H8" i="29"/>
  <c r="F42" i="31" l="1"/>
  <c r="F35" i="31"/>
  <c r="G42" i="31" l="1"/>
  <c r="G35" i="31"/>
  <c r="H42" i="31" l="1"/>
  <c r="H35" i="31"/>
  <c r="I35" i="31" l="1"/>
  <c r="I42" i="31"/>
  <c r="B15" i="30" l="1"/>
  <c r="B16" i="30"/>
  <c r="C17" i="30" l="1"/>
  <c r="B14" i="30"/>
  <c r="B17" i="30" l="1"/>
  <c r="C37" i="31"/>
  <c r="G6" i="31"/>
  <c r="C38" i="31"/>
  <c r="G7" i="31"/>
  <c r="D38" i="31" l="1"/>
  <c r="D45" i="31"/>
  <c r="D37" i="31"/>
  <c r="D44" i="31"/>
  <c r="G5" i="31"/>
  <c r="C36" i="31"/>
  <c r="B49" i="31"/>
  <c r="C49" i="31" s="1"/>
  <c r="E38" i="31" l="1"/>
  <c r="D36" i="31"/>
  <c r="D43" i="31"/>
  <c r="G8" i="31"/>
  <c r="E44" i="31"/>
  <c r="E37" i="31"/>
  <c r="E45" i="31"/>
  <c r="F38" i="31" l="1"/>
  <c r="F45" i="31"/>
  <c r="E43" i="31"/>
  <c r="E47" i="31" s="1"/>
  <c r="D47" i="31"/>
  <c r="E36" i="31"/>
  <c r="F44" i="31"/>
  <c r="F37" i="31"/>
  <c r="D49" i="31"/>
  <c r="G38" i="31" l="1"/>
  <c r="G44" i="31"/>
  <c r="G45" i="31"/>
  <c r="G37" i="31"/>
  <c r="F36" i="31"/>
  <c r="F43" i="31"/>
  <c r="F47" i="31" s="1"/>
  <c r="D46" i="31"/>
  <c r="E49" i="31"/>
  <c r="H38" i="31" l="1"/>
  <c r="G43" i="31"/>
  <c r="G47" i="31" s="1"/>
  <c r="H45" i="31"/>
  <c r="G36" i="31"/>
  <c r="H37" i="31"/>
  <c r="H44" i="31"/>
  <c r="F49" i="31"/>
  <c r="E46" i="31"/>
  <c r="I38" i="31" l="1"/>
  <c r="I45" i="31"/>
  <c r="I37" i="31"/>
  <c r="I44" i="31"/>
  <c r="H36" i="31"/>
  <c r="H43" i="31"/>
  <c r="H47" i="31" s="1"/>
  <c r="G49" i="31"/>
  <c r="F46" i="31"/>
  <c r="H49" i="31" l="1"/>
  <c r="G46" i="31"/>
  <c r="I36" i="31"/>
  <c r="I43" i="31"/>
  <c r="I47" i="31" s="1"/>
  <c r="H46" i="31" l="1"/>
  <c r="I49" i="31"/>
  <c r="I46" i="31" l="1"/>
  <c r="B48" i="28"/>
  <c r="B42" i="28" s="1"/>
  <c r="F47" i="28"/>
  <c r="E48" i="28"/>
  <c r="E42" i="28" s="1"/>
  <c r="E43" i="28" s="1"/>
  <c r="D48" i="28"/>
  <c r="D42" i="28" s="1"/>
  <c r="D43" i="28" s="1"/>
  <c r="F45" i="28"/>
  <c r="B43" i="28"/>
  <c r="E37" i="28"/>
  <c r="E31" i="28" s="1"/>
  <c r="E32" i="28" s="1"/>
  <c r="D37" i="28"/>
  <c r="D31" i="28" s="1"/>
  <c r="F36" i="28"/>
  <c r="F35" i="28"/>
  <c r="F34" i="28"/>
  <c r="C37" i="28"/>
  <c r="C31" i="28" s="1"/>
  <c r="C32" i="28" s="1"/>
  <c r="B37" i="28"/>
  <c r="B31" i="28" s="1"/>
  <c r="B32" i="28" s="1"/>
  <c r="E26" i="28"/>
  <c r="E20" i="28" s="1"/>
  <c r="D26" i="28"/>
  <c r="D20" i="28" s="1"/>
  <c r="D21" i="28" s="1"/>
  <c r="F31" i="28" l="1"/>
  <c r="D32" i="28"/>
  <c r="G45" i="28"/>
  <c r="G47" i="28"/>
  <c r="G34" i="28"/>
  <c r="G35" i="28"/>
  <c r="G36" i="28"/>
  <c r="B26" i="28"/>
  <c r="B20" i="28" s="1"/>
  <c r="F37" i="28"/>
  <c r="F19" i="28"/>
  <c r="F24" i="28"/>
  <c r="F46" i="28"/>
  <c r="C48" i="28"/>
  <c r="C42" i="28" s="1"/>
  <c r="C43" i="28" s="1"/>
  <c r="C26" i="28"/>
  <c r="C20" i="28" s="1"/>
  <c r="C21" i="28" s="1"/>
  <c r="F25" i="28"/>
  <c r="F23" i="28"/>
  <c r="F30" i="28"/>
  <c r="F41" i="28"/>
  <c r="F42" i="28" l="1"/>
  <c r="F20" i="28"/>
  <c r="G46" i="28"/>
  <c r="G41" i="28"/>
  <c r="B10" i="28"/>
  <c r="G30" i="28"/>
  <c r="G37" i="28"/>
  <c r="G31" i="28" s="1"/>
  <c r="B21" i="28"/>
  <c r="G25" i="28"/>
  <c r="G19" i="28"/>
  <c r="G24" i="28"/>
  <c r="G23" i="28"/>
  <c r="F26" i="28"/>
  <c r="E21" i="28"/>
  <c r="F48" i="28"/>
  <c r="F32" i="28"/>
  <c r="F43" i="28"/>
  <c r="G32" i="28" l="1"/>
  <c r="G48" i="28"/>
  <c r="G42" i="28" s="1"/>
  <c r="G43" i="28" s="1"/>
  <c r="F21" i="28"/>
  <c r="G26" i="28"/>
  <c r="G20" i="28" s="1"/>
  <c r="G21" i="28" s="1"/>
  <c r="D37" i="22" l="1"/>
  <c r="D36" i="22"/>
  <c r="D35" i="22"/>
  <c r="D34" i="22"/>
  <c r="A2" i="20" l="1"/>
  <c r="B55" i="24" l="1"/>
  <c r="I6" i="24" l="1"/>
  <c r="I5" i="24"/>
  <c r="C38" i="24" l="1"/>
  <c r="C44" i="24" s="1"/>
  <c r="C37" i="24"/>
  <c r="C43" i="24" s="1"/>
  <c r="C36" i="24"/>
  <c r="C42" i="24" s="1"/>
  <c r="C35" i="24"/>
  <c r="I6" i="22" l="1"/>
  <c r="I5" i="22"/>
  <c r="I36" i="22" l="1"/>
  <c r="H36" i="22"/>
  <c r="G36" i="22"/>
  <c r="F36" i="22"/>
  <c r="E36" i="22"/>
  <c r="D42" i="22"/>
  <c r="I35" i="22"/>
  <c r="H35" i="22"/>
  <c r="G35" i="22"/>
  <c r="F35" i="22"/>
  <c r="E35" i="22"/>
  <c r="D41" i="22"/>
  <c r="E41" i="22" l="1"/>
  <c r="E42" i="22"/>
  <c r="C55" i="24" l="1"/>
  <c r="C41" i="24"/>
  <c r="I7" i="24"/>
  <c r="I4" i="24"/>
  <c r="I8" i="24" l="1"/>
  <c r="M52" i="22" l="1"/>
  <c r="D43" i="22"/>
  <c r="H37" i="22"/>
  <c r="G37" i="22"/>
  <c r="G34" i="22"/>
  <c r="F34" i="22"/>
  <c r="I7" i="22"/>
  <c r="I4" i="22"/>
  <c r="I8" i="22" l="1"/>
  <c r="H34" i="22"/>
  <c r="I34" i="22"/>
  <c r="F37" i="22"/>
  <c r="I37" i="22"/>
  <c r="E37" i="22"/>
  <c r="D40" i="22"/>
  <c r="E43" i="22" l="1"/>
  <c r="E40" i="22"/>
  <c r="E49" i="22" l="1"/>
  <c r="E48" i="22"/>
  <c r="E50" i="22"/>
  <c r="E52" i="22" l="1"/>
  <c r="E54" i="22"/>
  <c r="E51" i="22" s="1"/>
  <c r="F42" i="22"/>
  <c r="F49" i="22"/>
  <c r="F41" i="22"/>
  <c r="F48" i="22"/>
  <c r="F47" i="22"/>
  <c r="F40" i="22"/>
  <c r="F50" i="22"/>
  <c r="F43" i="22"/>
  <c r="F54" i="22" l="1"/>
  <c r="F51" i="22" s="1"/>
  <c r="G42" i="22"/>
  <c r="G41" i="22"/>
  <c r="G48" i="22"/>
  <c r="G49" i="22"/>
  <c r="G47" i="22"/>
  <c r="G40" i="22"/>
  <c r="F52" i="22"/>
  <c r="G43" i="22"/>
  <c r="G50" i="22"/>
  <c r="H49" i="22" l="1"/>
  <c r="G54" i="22"/>
  <c r="G51" i="22" s="1"/>
  <c r="H42" i="22"/>
  <c r="H41" i="22"/>
  <c r="H48" i="22"/>
  <c r="H50" i="22"/>
  <c r="H43" i="22"/>
  <c r="H40" i="22"/>
  <c r="H47" i="22"/>
  <c r="G52" i="22"/>
  <c r="H54" i="22" l="1"/>
  <c r="H51" i="22" s="1"/>
  <c r="I48" i="22"/>
  <c r="I41" i="22"/>
  <c r="I42" i="22"/>
  <c r="I49" i="22"/>
  <c r="I40" i="22"/>
  <c r="I47" i="22"/>
  <c r="H52" i="22"/>
  <c r="I50" i="22"/>
  <c r="I43" i="22"/>
  <c r="I54" i="22" l="1"/>
  <c r="I51" i="22" s="1"/>
  <c r="I52" i="22"/>
  <c r="J37" i="22" l="1"/>
  <c r="J36" i="22" l="1"/>
  <c r="J43" i="22"/>
  <c r="J50" i="22"/>
  <c r="J34" i="22"/>
  <c r="J47" i="22" l="1"/>
  <c r="J40" i="22"/>
  <c r="J42" i="22"/>
  <c r="J49" i="22"/>
  <c r="J35" i="22" l="1"/>
  <c r="J48" i="22" l="1"/>
  <c r="J54" i="22" s="1"/>
  <c r="J41" i="22"/>
  <c r="J52" i="22" l="1"/>
  <c r="J51" i="22"/>
  <c r="G4" i="22" l="1"/>
  <c r="G7" i="22" l="1"/>
  <c r="G6" i="22"/>
  <c r="G5" i="22" l="1"/>
  <c r="G8" i="22" l="1"/>
  <c r="D37" i="24" l="1"/>
  <c r="D43" i="24" s="1"/>
  <c r="D38" i="24"/>
  <c r="D44" i="24" s="1"/>
  <c r="D35" i="24" l="1"/>
  <c r="D41" i="24" s="1"/>
  <c r="E35" i="24"/>
  <c r="D36" i="24"/>
  <c r="D42" i="24" s="1"/>
  <c r="F35" i="24" l="1"/>
  <c r="D55" i="24"/>
  <c r="E37" i="24"/>
  <c r="F37" i="24"/>
  <c r="E38" i="24"/>
  <c r="E41" i="24"/>
  <c r="E48" i="24"/>
  <c r="F38" i="24"/>
  <c r="F36" i="24"/>
  <c r="E51" i="24" l="1"/>
  <c r="E44" i="24"/>
  <c r="G38" i="24"/>
  <c r="E36" i="24"/>
  <c r="E12" i="24"/>
  <c r="E43" i="24"/>
  <c r="E50" i="24"/>
  <c r="F12" i="24"/>
  <c r="G37" i="24"/>
  <c r="F41" i="24"/>
  <c r="F48" i="24"/>
  <c r="G36" i="24"/>
  <c r="H35" i="24" l="1"/>
  <c r="G35" i="24"/>
  <c r="G48" i="24" s="1"/>
  <c r="G12" i="24"/>
  <c r="F44" i="24"/>
  <c r="F51" i="24"/>
  <c r="F50" i="24"/>
  <c r="F43" i="24"/>
  <c r="E42" i="24"/>
  <c r="E49" i="24"/>
  <c r="H37" i="24"/>
  <c r="H38" i="24" l="1"/>
  <c r="G44" i="24"/>
  <c r="G51" i="24"/>
  <c r="F49" i="24"/>
  <c r="F42" i="24"/>
  <c r="I38" i="24"/>
  <c r="G50" i="24"/>
  <c r="G43" i="24"/>
  <c r="E53" i="24"/>
  <c r="J38" i="24"/>
  <c r="I37" i="24"/>
  <c r="G41" i="24"/>
  <c r="E55" i="24"/>
  <c r="E52" i="24" s="1"/>
  <c r="H36" i="24" l="1"/>
  <c r="H12" i="24"/>
  <c r="H51" i="24"/>
  <c r="H44" i="24"/>
  <c r="H48" i="24"/>
  <c r="H41" i="24"/>
  <c r="I35" i="24"/>
  <c r="G49" i="24"/>
  <c r="G42" i="24"/>
  <c r="J37" i="24"/>
  <c r="F53" i="24"/>
  <c r="F55" i="24"/>
  <c r="F52" i="24" s="1"/>
  <c r="I36" i="24"/>
  <c r="H43" i="24"/>
  <c r="H50" i="24"/>
  <c r="N23" i="24" l="1"/>
  <c r="F6" i="24" s="1"/>
  <c r="N22" i="24"/>
  <c r="F5" i="24" s="1"/>
  <c r="P27" i="24"/>
  <c r="N24" i="24"/>
  <c r="F7" i="24" s="1"/>
  <c r="I12" i="24"/>
  <c r="J36" i="24"/>
  <c r="I48" i="24"/>
  <c r="I41" i="24"/>
  <c r="I43" i="24"/>
  <c r="I50" i="24"/>
  <c r="H42" i="24"/>
  <c r="H49" i="24"/>
  <c r="G55" i="24"/>
  <c r="G52" i="24" s="1"/>
  <c r="G53" i="24"/>
  <c r="I44" i="24"/>
  <c r="I51" i="24"/>
  <c r="P22" i="24"/>
  <c r="P23" i="24"/>
  <c r="N21" i="24"/>
  <c r="F4" i="24" s="1"/>
  <c r="P24" i="24" l="1"/>
  <c r="P21" i="24"/>
  <c r="G4" i="24"/>
  <c r="F8" i="24"/>
  <c r="H55" i="24"/>
  <c r="H52" i="24" s="1"/>
  <c r="H53" i="24"/>
  <c r="J51" i="24"/>
  <c r="J44" i="24"/>
  <c r="I49" i="24"/>
  <c r="I53" i="24" s="1"/>
  <c r="I42" i="24"/>
  <c r="P30" i="24"/>
  <c r="J35" i="24"/>
  <c r="J41" i="24" s="1"/>
  <c r="J12" i="24"/>
  <c r="G7" i="24"/>
  <c r="J43" i="24"/>
  <c r="J50" i="24"/>
  <c r="J48" i="24" l="1"/>
  <c r="I55" i="24"/>
  <c r="I52" i="24" s="1"/>
  <c r="K12" i="24"/>
  <c r="J42" i="24"/>
  <c r="J49" i="24"/>
  <c r="P28" i="24"/>
  <c r="J55" i="24" l="1"/>
  <c r="G6" i="24"/>
  <c r="P29" i="24"/>
  <c r="G5" i="24"/>
  <c r="J53" i="24"/>
  <c r="L12" i="24"/>
  <c r="P12" i="24" s="1"/>
  <c r="J52" i="24" l="1"/>
  <c r="G8" i="24"/>
  <c r="B10" i="19" l="1"/>
  <c r="C9" i="19" l="1"/>
  <c r="C8" i="19"/>
  <c r="C6" i="19" l="1"/>
  <c r="C7" i="19"/>
  <c r="D10" i="19" l="1"/>
  <c r="C10" i="19"/>
  <c r="B10" i="37" l="1"/>
  <c r="C8" i="37"/>
  <c r="D14" i="5" s="1"/>
  <c r="C9" i="37" l="1"/>
  <c r="C7" i="37"/>
  <c r="D13" i="5" s="1"/>
  <c r="D15" i="5" l="1"/>
  <c r="C6" i="37"/>
  <c r="D12" i="5" s="1"/>
  <c r="D10" i="37"/>
  <c r="C10" i="37" l="1"/>
  <c r="B10" i="31" l="1"/>
  <c r="C10" i="22"/>
  <c r="C10" i="24"/>
  <c r="C10" i="40"/>
  <c r="C10" i="29"/>
  <c r="C10" i="31"/>
  <c r="K20" i="22" l="1"/>
  <c r="K15" i="40"/>
  <c r="J15" i="31"/>
  <c r="K15" i="24"/>
  <c r="K15" i="29"/>
  <c r="K26" i="35"/>
  <c r="F4" i="35"/>
  <c r="P20" i="35"/>
  <c r="M20" i="22"/>
  <c r="L15" i="31"/>
  <c r="M15" i="24"/>
  <c r="M35" i="24" s="1"/>
  <c r="M15" i="29"/>
  <c r="M29" i="29" s="1"/>
  <c r="M15" i="40"/>
  <c r="M26" i="35"/>
  <c r="L20" i="22"/>
  <c r="L15" i="24"/>
  <c r="L35" i="24" s="1"/>
  <c r="L15" i="29"/>
  <c r="K15" i="31"/>
  <c r="L15" i="40"/>
  <c r="L26" i="35"/>
  <c r="M18" i="40"/>
  <c r="L18" i="31"/>
  <c r="M23" i="22"/>
  <c r="M18" i="24"/>
  <c r="M38" i="24" s="1"/>
  <c r="M18" i="29"/>
  <c r="M32" i="29" s="1"/>
  <c r="M29" i="35"/>
  <c r="L17" i="24"/>
  <c r="L37" i="24" s="1"/>
  <c r="L22" i="22"/>
  <c r="K17" i="31"/>
  <c r="L17" i="40"/>
  <c r="L17" i="29"/>
  <c r="L28" i="35"/>
  <c r="L18" i="40"/>
  <c r="L18" i="24"/>
  <c r="L38" i="24" s="1"/>
  <c r="K18" i="31"/>
  <c r="L23" i="22"/>
  <c r="L18" i="29"/>
  <c r="L29" i="35"/>
  <c r="L16" i="40"/>
  <c r="L16" i="29"/>
  <c r="L16" i="24"/>
  <c r="L36" i="24" s="1"/>
  <c r="K16" i="31"/>
  <c r="L21" i="22"/>
  <c r="L27" i="35"/>
  <c r="M17" i="40"/>
  <c r="M22" i="22"/>
  <c r="M17" i="29"/>
  <c r="M31" i="29" s="1"/>
  <c r="L17" i="31"/>
  <c r="M17" i="24"/>
  <c r="M37" i="24" s="1"/>
  <c r="M28" i="35"/>
  <c r="K17" i="24"/>
  <c r="K17" i="29"/>
  <c r="K17" i="40"/>
  <c r="K22" i="22"/>
  <c r="J17" i="31"/>
  <c r="F6" i="35"/>
  <c r="K28" i="35"/>
  <c r="P22" i="35"/>
  <c r="M16" i="24"/>
  <c r="M36" i="24" s="1"/>
  <c r="M16" i="40"/>
  <c r="M21" i="22"/>
  <c r="L16" i="31"/>
  <c r="M16" i="29"/>
  <c r="M30" i="29" s="1"/>
  <c r="M27" i="35"/>
  <c r="K16" i="24"/>
  <c r="K21" i="22"/>
  <c r="K16" i="29"/>
  <c r="K16" i="40"/>
  <c r="J16" i="31"/>
  <c r="F5" i="35"/>
  <c r="P21" i="35"/>
  <c r="K27" i="35"/>
  <c r="K18" i="24"/>
  <c r="J18" i="31"/>
  <c r="K23" i="22"/>
  <c r="K18" i="29"/>
  <c r="K18" i="40"/>
  <c r="P23" i="35"/>
  <c r="F7" i="35"/>
  <c r="K29" i="35"/>
  <c r="L28" i="22" l="1"/>
  <c r="M28" i="22"/>
  <c r="L26" i="22"/>
  <c r="M29" i="22"/>
  <c r="M26" i="22"/>
  <c r="L27" i="22"/>
  <c r="M27" i="22"/>
  <c r="L29" i="22"/>
  <c r="M37" i="40"/>
  <c r="M35" i="40"/>
  <c r="L37" i="40"/>
  <c r="L36" i="40"/>
  <c r="L35" i="40"/>
  <c r="M36" i="40"/>
  <c r="L38" i="40"/>
  <c r="M38" i="40"/>
  <c r="L29" i="31"/>
  <c r="L31" i="31"/>
  <c r="K31" i="31"/>
  <c r="K29" i="31"/>
  <c r="K32" i="31"/>
  <c r="L30" i="31"/>
  <c r="L32" i="31"/>
  <c r="K30" i="31"/>
  <c r="B8" i="38"/>
  <c r="AD14" i="5"/>
  <c r="Y15" i="5"/>
  <c r="AE15" i="5"/>
  <c r="AA15" i="5"/>
  <c r="AC14" i="5"/>
  <c r="S6" i="5"/>
  <c r="AD13" i="5"/>
  <c r="Y13" i="5"/>
  <c r="AE13" i="5"/>
  <c r="D14" i="20" s="1"/>
  <c r="Y14" i="5"/>
  <c r="AE14" i="5"/>
  <c r="D15" i="20" s="1"/>
  <c r="AA14" i="5"/>
  <c r="S7" i="5"/>
  <c r="B7" i="38"/>
  <c r="B5" i="38"/>
  <c r="AA12" i="5"/>
  <c r="AE12" i="5"/>
  <c r="AC12" i="5"/>
  <c r="Y12" i="5"/>
  <c r="AD12" i="5"/>
  <c r="P26" i="35"/>
  <c r="K34" i="35"/>
  <c r="E4" i="35"/>
  <c r="AC13" i="5"/>
  <c r="M34" i="35"/>
  <c r="P15" i="29"/>
  <c r="E4" i="29"/>
  <c r="P15" i="24"/>
  <c r="E4" i="24"/>
  <c r="H4" i="24" s="1"/>
  <c r="K35" i="24"/>
  <c r="S5" i="5"/>
  <c r="O15" i="31"/>
  <c r="D4" i="31"/>
  <c r="F4" i="31" s="1"/>
  <c r="J29" i="31"/>
  <c r="AA13" i="5"/>
  <c r="L34" i="35"/>
  <c r="B6" i="38"/>
  <c r="P15" i="40"/>
  <c r="E4" i="40"/>
  <c r="H4" i="40" s="1"/>
  <c r="K35" i="40"/>
  <c r="K26" i="22"/>
  <c r="P20" i="22"/>
  <c r="F4" i="22"/>
  <c r="F8" i="35"/>
  <c r="L35" i="35"/>
  <c r="P16" i="40"/>
  <c r="E5" i="40"/>
  <c r="K36" i="40"/>
  <c r="M37" i="35"/>
  <c r="P18" i="29"/>
  <c r="E7" i="29"/>
  <c r="P16" i="29"/>
  <c r="E5" i="29"/>
  <c r="K27" i="22"/>
  <c r="F5" i="22"/>
  <c r="P21" i="22"/>
  <c r="K36" i="35"/>
  <c r="E6" i="35"/>
  <c r="H6" i="35" s="1"/>
  <c r="P28" i="35"/>
  <c r="L36" i="35"/>
  <c r="P29" i="35"/>
  <c r="K37" i="35"/>
  <c r="E7" i="35"/>
  <c r="H7" i="35" s="1"/>
  <c r="O16" i="31"/>
  <c r="J30" i="31"/>
  <c r="D5" i="31"/>
  <c r="K29" i="22"/>
  <c r="P23" i="22"/>
  <c r="F7" i="22"/>
  <c r="E5" i="24"/>
  <c r="P16" i="24"/>
  <c r="K36" i="24"/>
  <c r="P17" i="40"/>
  <c r="E6" i="40"/>
  <c r="H6" i="40" s="1"/>
  <c r="K37" i="40"/>
  <c r="E6" i="29"/>
  <c r="P17" i="29"/>
  <c r="M36" i="35"/>
  <c r="J32" i="31"/>
  <c r="O18" i="31"/>
  <c r="D7" i="31"/>
  <c r="F7" i="31" s="1"/>
  <c r="M35" i="35"/>
  <c r="O17" i="31"/>
  <c r="J31" i="31"/>
  <c r="D6" i="31"/>
  <c r="F6" i="31" s="1"/>
  <c r="P22" i="22"/>
  <c r="K28" i="22"/>
  <c r="F6" i="22"/>
  <c r="L37" i="35"/>
  <c r="P17" i="24"/>
  <c r="E6" i="24"/>
  <c r="H6" i="24" s="1"/>
  <c r="K37" i="24"/>
  <c r="E7" i="40"/>
  <c r="H7" i="40" s="1"/>
  <c r="K38" i="40"/>
  <c r="P18" i="40"/>
  <c r="E7" i="24"/>
  <c r="H7" i="24" s="1"/>
  <c r="P18" i="24"/>
  <c r="K38" i="24"/>
  <c r="E5" i="35"/>
  <c r="P27" i="35"/>
  <c r="K35" i="35"/>
  <c r="K32" i="40" l="1"/>
  <c r="L37" i="22"/>
  <c r="M35" i="22"/>
  <c r="L35" i="22"/>
  <c r="M34" i="22"/>
  <c r="M37" i="22"/>
  <c r="L34" i="22"/>
  <c r="M36" i="22"/>
  <c r="L36" i="22"/>
  <c r="K32" i="24"/>
  <c r="D16" i="20"/>
  <c r="B9" i="38"/>
  <c r="E4" i="22"/>
  <c r="H4" i="22" s="1"/>
  <c r="P26" i="22"/>
  <c r="K34" i="22"/>
  <c r="K41" i="24"/>
  <c r="K48" i="24"/>
  <c r="D13" i="20"/>
  <c r="K41" i="40"/>
  <c r="K48" i="40"/>
  <c r="J35" i="31"/>
  <c r="J42" i="31"/>
  <c r="K50" i="24"/>
  <c r="K43" i="24"/>
  <c r="J38" i="31"/>
  <c r="J45" i="31"/>
  <c r="H5" i="40"/>
  <c r="E8" i="40"/>
  <c r="P28" i="22"/>
  <c r="K36" i="22"/>
  <c r="E6" i="22"/>
  <c r="H6" i="22" s="1"/>
  <c r="K43" i="40"/>
  <c r="K50" i="40"/>
  <c r="P29" i="22"/>
  <c r="E7" i="22"/>
  <c r="H7" i="22" s="1"/>
  <c r="K37" i="22"/>
  <c r="F8" i="22"/>
  <c r="K44" i="24"/>
  <c r="K51" i="24"/>
  <c r="J37" i="31"/>
  <c r="J44" i="31"/>
  <c r="E5" i="22"/>
  <c r="K35" i="22"/>
  <c r="P27" i="22"/>
  <c r="E8" i="29"/>
  <c r="K49" i="35"/>
  <c r="K42" i="35"/>
  <c r="K41" i="35"/>
  <c r="K48" i="35"/>
  <c r="E8" i="35"/>
  <c r="H5" i="35"/>
  <c r="F5" i="31"/>
  <c r="D8" i="31"/>
  <c r="J26" i="31"/>
  <c r="J43" i="31"/>
  <c r="J36" i="31"/>
  <c r="K49" i="24"/>
  <c r="K42" i="24"/>
  <c r="K44" i="40"/>
  <c r="K51" i="40"/>
  <c r="K43" i="35"/>
  <c r="K50" i="35"/>
  <c r="E8" i="24"/>
  <c r="H5" i="24"/>
  <c r="K42" i="40"/>
  <c r="K49" i="40"/>
  <c r="K26" i="31" l="1"/>
  <c r="L32" i="40"/>
  <c r="K47" i="22"/>
  <c r="K40" i="22"/>
  <c r="L48" i="24"/>
  <c r="J4" i="24" s="1"/>
  <c r="K4" i="24" s="1"/>
  <c r="J49" i="31"/>
  <c r="J46" i="31" s="1"/>
  <c r="K42" i="31"/>
  <c r="H4" i="31" s="1"/>
  <c r="I4" i="31" s="1"/>
  <c r="F20" i="5" s="1"/>
  <c r="K35" i="31"/>
  <c r="L41" i="24"/>
  <c r="L41" i="40"/>
  <c r="L48" i="40"/>
  <c r="J4" i="40" s="1"/>
  <c r="K4" i="40" s="1"/>
  <c r="AD20" i="5" s="1"/>
  <c r="K53" i="24"/>
  <c r="H8" i="24"/>
  <c r="L49" i="24"/>
  <c r="J5" i="24" s="1"/>
  <c r="L42" i="24"/>
  <c r="L32" i="24"/>
  <c r="H8" i="40"/>
  <c r="K55" i="24"/>
  <c r="F8" i="31"/>
  <c r="K48" i="22"/>
  <c r="K31" i="22"/>
  <c r="K41" i="22"/>
  <c r="K50" i="22"/>
  <c r="K43" i="22"/>
  <c r="E8" i="22"/>
  <c r="H5" i="22"/>
  <c r="H8" i="22" s="1"/>
  <c r="K38" i="31"/>
  <c r="K45" i="31"/>
  <c r="H7" i="31" s="1"/>
  <c r="I7" i="31" s="1"/>
  <c r="F23" i="5" s="1"/>
  <c r="L43" i="35"/>
  <c r="L50" i="35"/>
  <c r="J7" i="35" s="1"/>
  <c r="K7" i="35" s="1"/>
  <c r="AC23" i="5" s="1"/>
  <c r="L48" i="35"/>
  <c r="J5" i="35" s="1"/>
  <c r="L41" i="35"/>
  <c r="L43" i="40"/>
  <c r="L50" i="40"/>
  <c r="J6" i="40" s="1"/>
  <c r="K6" i="40" s="1"/>
  <c r="AD22" i="5" s="1"/>
  <c r="L43" i="24"/>
  <c r="L50" i="24"/>
  <c r="J6" i="24" s="1"/>
  <c r="K6" i="24" s="1"/>
  <c r="K55" i="40"/>
  <c r="K36" i="31"/>
  <c r="K43" i="31"/>
  <c r="H5" i="31" s="1"/>
  <c r="L42" i="40"/>
  <c r="L49" i="40"/>
  <c r="P49" i="40" s="1"/>
  <c r="K44" i="31"/>
  <c r="H6" i="31" s="1"/>
  <c r="I6" i="31" s="1"/>
  <c r="F22" i="5" s="1"/>
  <c r="K37" i="31"/>
  <c r="K53" i="40"/>
  <c r="L44" i="40"/>
  <c r="L51" i="40"/>
  <c r="J7" i="40" s="1"/>
  <c r="K7" i="40" s="1"/>
  <c r="AD23" i="5" s="1"/>
  <c r="J47" i="31"/>
  <c r="L42" i="35"/>
  <c r="L49" i="35"/>
  <c r="J6" i="35" s="1"/>
  <c r="K6" i="35" s="1"/>
  <c r="AC22" i="5" s="1"/>
  <c r="L44" i="24"/>
  <c r="L51" i="24"/>
  <c r="J7" i="24" s="1"/>
  <c r="K7" i="24" s="1"/>
  <c r="K49" i="22"/>
  <c r="K42" i="22"/>
  <c r="D20" i="5" l="1"/>
  <c r="Y22" i="5"/>
  <c r="D22" i="5"/>
  <c r="Y23" i="5"/>
  <c r="C8" i="20" s="1"/>
  <c r="D23" i="5"/>
  <c r="O26" i="31"/>
  <c r="L31" i="22"/>
  <c r="P49" i="24"/>
  <c r="M42" i="24"/>
  <c r="AA20" i="5"/>
  <c r="M48" i="24"/>
  <c r="P48" i="24" s="1"/>
  <c r="M41" i="24"/>
  <c r="L4" i="24" s="1"/>
  <c r="L40" i="22"/>
  <c r="L47" i="22"/>
  <c r="P47" i="22" s="1"/>
  <c r="L42" i="31"/>
  <c r="O42" i="31" s="1"/>
  <c r="L35" i="31"/>
  <c r="M41" i="40"/>
  <c r="L4" i="40" s="1"/>
  <c r="M48" i="40"/>
  <c r="P48" i="40" s="1"/>
  <c r="Y20" i="5"/>
  <c r="P49" i="35"/>
  <c r="P50" i="35"/>
  <c r="M43" i="40"/>
  <c r="L6" i="40" s="1"/>
  <c r="M42" i="35"/>
  <c r="L6" i="35" s="1"/>
  <c r="L42" i="22"/>
  <c r="L49" i="22"/>
  <c r="P49" i="22" s="1"/>
  <c r="J5" i="40"/>
  <c r="L41" i="22"/>
  <c r="L48" i="22"/>
  <c r="P48" i="22" s="1"/>
  <c r="L53" i="40"/>
  <c r="K52" i="22"/>
  <c r="P32" i="40"/>
  <c r="P50" i="24"/>
  <c r="M43" i="24"/>
  <c r="L6" i="24" s="1"/>
  <c r="M43" i="35"/>
  <c r="L7" i="35" s="1"/>
  <c r="K54" i="22"/>
  <c r="J8" i="24"/>
  <c r="M42" i="40"/>
  <c r="K5" i="24"/>
  <c r="K52" i="40"/>
  <c r="L55" i="40"/>
  <c r="P48" i="35"/>
  <c r="M44" i="40"/>
  <c r="L7" i="40" s="1"/>
  <c r="M51" i="40"/>
  <c r="P32" i="24"/>
  <c r="L53" i="24"/>
  <c r="L50" i="22"/>
  <c r="P50" i="22" s="1"/>
  <c r="L43" i="22"/>
  <c r="M41" i="35"/>
  <c r="K5" i="35"/>
  <c r="AA23" i="5"/>
  <c r="M51" i="24"/>
  <c r="M44" i="24"/>
  <c r="L7" i="24" s="1"/>
  <c r="AA22" i="5"/>
  <c r="H8" i="31"/>
  <c r="L45" i="31"/>
  <c r="O45" i="31" s="1"/>
  <c r="L38" i="31"/>
  <c r="I5" i="31"/>
  <c r="F21" i="5" s="1"/>
  <c r="L36" i="31"/>
  <c r="L43" i="31"/>
  <c r="P50" i="40"/>
  <c r="L37" i="31"/>
  <c r="L44" i="31"/>
  <c r="O44" i="31" s="1"/>
  <c r="K49" i="31"/>
  <c r="K47" i="31"/>
  <c r="K52" i="24"/>
  <c r="L55" i="24"/>
  <c r="P31" i="22" l="1"/>
  <c r="J6" i="31"/>
  <c r="J7" i="31"/>
  <c r="J4" i="31"/>
  <c r="J4" i="22"/>
  <c r="K4" i="22" s="1"/>
  <c r="X20" i="5" s="1"/>
  <c r="E5" i="20"/>
  <c r="C5" i="20"/>
  <c r="K4" i="5"/>
  <c r="Y25" i="5" s="1"/>
  <c r="D4" i="5"/>
  <c r="M40" i="22"/>
  <c r="C13" i="20"/>
  <c r="M43" i="22"/>
  <c r="F4" i="5"/>
  <c r="M4" i="5"/>
  <c r="AA25" i="5" s="1"/>
  <c r="M41" i="22"/>
  <c r="J6" i="22"/>
  <c r="K6" i="22" s="1"/>
  <c r="J8" i="40"/>
  <c r="K5" i="40"/>
  <c r="D21" i="5" s="1"/>
  <c r="E8" i="20"/>
  <c r="L5" i="24"/>
  <c r="K8" i="24"/>
  <c r="M55" i="24"/>
  <c r="M52" i="24" s="1"/>
  <c r="L52" i="24"/>
  <c r="M53" i="40"/>
  <c r="P51" i="40"/>
  <c r="M42" i="22"/>
  <c r="E7" i="20"/>
  <c r="J7" i="22"/>
  <c r="K7" i="22" s="1"/>
  <c r="X23" i="5" s="1"/>
  <c r="B16" i="20"/>
  <c r="AA21" i="5"/>
  <c r="I8" i="31"/>
  <c r="J5" i="31"/>
  <c r="L52" i="40"/>
  <c r="M55" i="40"/>
  <c r="M52" i="40" s="1"/>
  <c r="F7" i="5"/>
  <c r="M7" i="5"/>
  <c r="AA28" i="5" s="1"/>
  <c r="C16" i="20"/>
  <c r="O43" i="31"/>
  <c r="L47" i="31"/>
  <c r="M6" i="5"/>
  <c r="AA27" i="5" s="1"/>
  <c r="F6" i="5"/>
  <c r="C15" i="20"/>
  <c r="K46" i="31"/>
  <c r="L49" i="31"/>
  <c r="L46" i="31" s="1"/>
  <c r="K51" i="22"/>
  <c r="L54" i="22"/>
  <c r="B15" i="20"/>
  <c r="P51" i="24"/>
  <c r="M53" i="24"/>
  <c r="L5" i="35"/>
  <c r="J5" i="22"/>
  <c r="L52" i="22"/>
  <c r="C7" i="20"/>
  <c r="L4" i="22" l="1"/>
  <c r="C22" i="5"/>
  <c r="B7" i="20"/>
  <c r="E21" i="20"/>
  <c r="E26" i="20" s="1"/>
  <c r="C21" i="20"/>
  <c r="C26" i="20" s="1"/>
  <c r="L6" i="22"/>
  <c r="B5" i="20"/>
  <c r="B14" i="20"/>
  <c r="F16" i="20"/>
  <c r="L7" i="22"/>
  <c r="C23" i="5"/>
  <c r="C6" i="20"/>
  <c r="E24" i="20"/>
  <c r="E29" i="20" s="1"/>
  <c r="K5" i="22"/>
  <c r="X21" i="5" s="1"/>
  <c r="J8" i="22"/>
  <c r="E6" i="20"/>
  <c r="K8" i="40"/>
  <c r="AD21" i="5"/>
  <c r="L5" i="40"/>
  <c r="F15" i="20"/>
  <c r="E23" i="20"/>
  <c r="E28" i="20" s="1"/>
  <c r="L51" i="22"/>
  <c r="M54" i="22"/>
  <c r="M51" i="22" s="1"/>
  <c r="F5" i="5"/>
  <c r="R5" i="5" s="1"/>
  <c r="M5" i="5"/>
  <c r="AA26" i="5" s="1"/>
  <c r="X27" i="5" l="1"/>
  <c r="X28" i="5"/>
  <c r="C6" i="5"/>
  <c r="C7" i="5"/>
  <c r="C14" i="20"/>
  <c r="B8" i="20"/>
  <c r="K5" i="5"/>
  <c r="Y26" i="5" s="1"/>
  <c r="D5" i="5"/>
  <c r="B23" i="20"/>
  <c r="R6" i="5"/>
  <c r="R7" i="5"/>
  <c r="E22" i="20"/>
  <c r="E27" i="20" s="1"/>
  <c r="K7" i="5"/>
  <c r="Y28" i="5" s="1"/>
  <c r="D7" i="5"/>
  <c r="K6" i="5"/>
  <c r="Y27" i="5" s="1"/>
  <c r="D6" i="5"/>
  <c r="L5" i="22"/>
  <c r="K8" i="22"/>
  <c r="C21" i="5"/>
  <c r="J5" i="5" l="1"/>
  <c r="X26" i="5" s="1"/>
  <c r="F14" i="20"/>
  <c r="P7" i="5"/>
  <c r="B28" i="20"/>
  <c r="C24" i="20"/>
  <c r="C29" i="20" s="1"/>
  <c r="B24" i="20"/>
  <c r="P6" i="5"/>
  <c r="C22" i="20"/>
  <c r="C27" i="20" s="1"/>
  <c r="C5" i="5"/>
  <c r="O7" i="5" s="1"/>
  <c r="P5" i="5"/>
  <c r="B6" i="20"/>
  <c r="C23" i="20"/>
  <c r="C28" i="20" s="1"/>
  <c r="O5" i="5" l="1"/>
  <c r="O6" i="5"/>
  <c r="B29" i="20"/>
  <c r="B22" i="20"/>
  <c r="B27" i="20" l="1"/>
  <c r="C91" i="28" l="1"/>
  <c r="C85" i="28"/>
  <c r="D85" i="28" l="1"/>
  <c r="C90" i="28"/>
  <c r="D91" i="28" l="1"/>
  <c r="D90" i="28"/>
  <c r="C89" i="28"/>
  <c r="C92" i="28" l="1"/>
  <c r="C86" i="28" s="1"/>
  <c r="D89" i="28"/>
  <c r="D92" i="28" l="1"/>
  <c r="D86" i="28" s="1"/>
  <c r="C87" i="28"/>
  <c r="D87" i="28" l="1"/>
  <c r="C74" i="28"/>
  <c r="C80" i="28"/>
  <c r="C79" i="28"/>
  <c r="C96" i="28"/>
  <c r="D74" i="28" l="1"/>
  <c r="C102" i="28"/>
  <c r="D80" i="28"/>
  <c r="C101" i="28"/>
  <c r="D79" i="28" l="1"/>
  <c r="D96" i="28"/>
  <c r="D101" i="28"/>
  <c r="D8" i="28" l="1"/>
  <c r="D102" i="28"/>
  <c r="D13" i="28"/>
  <c r="C100" i="28"/>
  <c r="C103" i="28" l="1"/>
  <c r="C97" i="28" s="1"/>
  <c r="D14" i="28"/>
  <c r="D100" i="28"/>
  <c r="D103" i="28" s="1"/>
  <c r="D78" i="28"/>
  <c r="C78" i="28"/>
  <c r="D97" i="28" l="1"/>
  <c r="C81" i="28"/>
  <c r="C75" i="28" s="1"/>
  <c r="D12" i="28"/>
  <c r="D15" i="28" s="1"/>
  <c r="D9" i="28" s="1"/>
  <c r="D10" i="28" s="1"/>
  <c r="D81" i="28"/>
  <c r="D75" i="28" s="1"/>
  <c r="C98" i="28"/>
  <c r="D76" i="28" l="1"/>
  <c r="D98" i="28"/>
  <c r="C76" i="28"/>
  <c r="C107" i="28" l="1"/>
  <c r="C112" i="28" l="1"/>
  <c r="C113" i="28"/>
  <c r="C8" i="28"/>
  <c r="C14" i="28" l="1"/>
  <c r="C13" i="28"/>
  <c r="C111" i="28" l="1"/>
  <c r="E74" i="28"/>
  <c r="C114" i="28" l="1"/>
  <c r="C108" i="28" s="1"/>
  <c r="C12" i="28"/>
  <c r="F74" i="28"/>
  <c r="G74" i="28" l="1"/>
  <c r="C15" i="28"/>
  <c r="C9" i="28" s="1"/>
  <c r="C109" i="28"/>
  <c r="C10" i="28" l="1"/>
  <c r="E79" i="28"/>
  <c r="E80" i="28"/>
  <c r="F79" i="28" l="1"/>
  <c r="F80" i="28"/>
  <c r="G80" i="28" l="1"/>
  <c r="G79" i="28"/>
  <c r="E78" i="28" l="1"/>
  <c r="E85" i="28" l="1"/>
  <c r="E81" i="28"/>
  <c r="E75" i="28" s="1"/>
  <c r="F75" i="28" s="1"/>
  <c r="F78" i="28"/>
  <c r="G78" i="28" l="1"/>
  <c r="F81" i="28"/>
  <c r="F76" i="28"/>
  <c r="E76" i="28"/>
  <c r="F85" i="28"/>
  <c r="G85" i="28" s="1"/>
  <c r="G81" i="28" l="1"/>
  <c r="G75" i="28" s="1"/>
  <c r="G76" i="28"/>
  <c r="E90" i="28"/>
  <c r="E91" i="28"/>
  <c r="F90" i="28" l="1"/>
  <c r="G90" i="28" s="1"/>
  <c r="F91" i="28"/>
  <c r="G91" i="28" s="1"/>
  <c r="E89" i="28" l="1"/>
  <c r="E92" i="28" l="1"/>
  <c r="E86" i="28" s="1"/>
  <c r="F86" i="28" s="1"/>
  <c r="F89" i="28"/>
  <c r="G89" i="28" s="1"/>
  <c r="F92" i="28" l="1"/>
  <c r="E87" i="28"/>
  <c r="E96" i="28"/>
  <c r="G92" i="28" l="1"/>
  <c r="G86" i="28" s="1"/>
  <c r="E101" i="28"/>
  <c r="F96" i="28"/>
  <c r="G96" i="28" s="1"/>
  <c r="G87" i="28"/>
  <c r="F87" i="28"/>
  <c r="F101" i="28" l="1"/>
  <c r="G101" i="28" s="1"/>
  <c r="E102" i="28" l="1"/>
  <c r="F102" i="28" l="1"/>
  <c r="G102" i="28" s="1"/>
  <c r="E100" i="28" l="1"/>
  <c r="E107" i="28" l="1"/>
  <c r="E103" i="28"/>
  <c r="E97" i="28" s="1"/>
  <c r="F97" i="28" s="1"/>
  <c r="F100" i="28"/>
  <c r="G100" i="28" s="1"/>
  <c r="E98" i="28" l="1"/>
  <c r="F107" i="28"/>
  <c r="E8" i="28"/>
  <c r="F103" i="28"/>
  <c r="G107" i="28" l="1"/>
  <c r="J21" i="29"/>
  <c r="L21" i="29"/>
  <c r="I21" i="29"/>
  <c r="I29" i="29" s="1"/>
  <c r="H21" i="29"/>
  <c r="G21" i="29"/>
  <c r="G29" i="29" s="1"/>
  <c r="F21" i="29"/>
  <c r="F29" i="29" s="1"/>
  <c r="K21" i="29"/>
  <c r="E21" i="29"/>
  <c r="E29" i="29" s="1"/>
  <c r="L29" i="29"/>
  <c r="J29" i="29"/>
  <c r="F8" i="28"/>
  <c r="G103" i="28"/>
  <c r="G97" i="28" s="1"/>
  <c r="G98" i="28" s="1"/>
  <c r="F98" i="28"/>
  <c r="E113" i="28"/>
  <c r="E112" i="28"/>
  <c r="E35" i="29" l="1"/>
  <c r="E42" i="29"/>
  <c r="P21" i="29"/>
  <c r="K29" i="29"/>
  <c r="H29" i="29"/>
  <c r="F4" i="29"/>
  <c r="G4" i="29" s="1"/>
  <c r="F112" i="28"/>
  <c r="E13" i="28"/>
  <c r="F13" i="28" s="1"/>
  <c r="G8" i="28"/>
  <c r="E12" i="5" s="1"/>
  <c r="F113" i="28"/>
  <c r="E14" i="28"/>
  <c r="F14" i="28" s="1"/>
  <c r="G113" i="28" l="1"/>
  <c r="G24" i="29"/>
  <c r="G32" i="29" s="1"/>
  <c r="J24" i="29"/>
  <c r="H24" i="29"/>
  <c r="L24" i="29"/>
  <c r="I24" i="29"/>
  <c r="I32" i="29" s="1"/>
  <c r="F24" i="29"/>
  <c r="F32" i="29" s="1"/>
  <c r="K24" i="29"/>
  <c r="E24" i="29"/>
  <c r="E32" i="29" s="1"/>
  <c r="F35" i="29"/>
  <c r="F42" i="29"/>
  <c r="G112" i="28"/>
  <c r="J23" i="29"/>
  <c r="J31" i="29" s="1"/>
  <c r="G23" i="29"/>
  <c r="G31" i="29" s="1"/>
  <c r="L23" i="29"/>
  <c r="L31" i="29" s="1"/>
  <c r="K23" i="29"/>
  <c r="F23" i="29"/>
  <c r="F31" i="29" s="1"/>
  <c r="I23" i="29"/>
  <c r="I31" i="29" s="1"/>
  <c r="H23" i="29"/>
  <c r="E23" i="29"/>
  <c r="E31" i="29" s="1"/>
  <c r="J32" i="29"/>
  <c r="L32" i="29"/>
  <c r="Z12" i="5"/>
  <c r="G35" i="29" l="1"/>
  <c r="G42" i="29"/>
  <c r="E37" i="29"/>
  <c r="E44" i="29"/>
  <c r="E38" i="29"/>
  <c r="E45" i="29"/>
  <c r="P23" i="29"/>
  <c r="K31" i="29"/>
  <c r="P24" i="29"/>
  <c r="K32" i="29"/>
  <c r="H32" i="29"/>
  <c r="F7" i="29"/>
  <c r="G7" i="29" s="1"/>
  <c r="F6" i="29"/>
  <c r="G6" i="29" s="1"/>
  <c r="H31" i="29"/>
  <c r="E111" i="28"/>
  <c r="F38" i="29" l="1"/>
  <c r="F45" i="29"/>
  <c r="F44" i="29"/>
  <c r="F37" i="29"/>
  <c r="H35" i="29"/>
  <c r="H42" i="29"/>
  <c r="E114" i="28"/>
  <c r="E108" i="28" s="1"/>
  <c r="F108" i="28" s="1"/>
  <c r="F111" i="28"/>
  <c r="E12" i="28"/>
  <c r="G111" i="28" l="1"/>
  <c r="F22" i="29"/>
  <c r="G22" i="29"/>
  <c r="L22" i="29"/>
  <c r="J22" i="29"/>
  <c r="H22" i="29"/>
  <c r="I22" i="29"/>
  <c r="K22" i="29"/>
  <c r="E22" i="29"/>
  <c r="I42" i="29"/>
  <c r="I35" i="29"/>
  <c r="G37" i="29"/>
  <c r="G44" i="29"/>
  <c r="G45" i="29"/>
  <c r="G38" i="29"/>
  <c r="E15" i="28"/>
  <c r="E9" i="28" s="1"/>
  <c r="F12" i="28"/>
  <c r="F15" i="28" s="1"/>
  <c r="F114" i="28"/>
  <c r="E109" i="28"/>
  <c r="G30" i="29" l="1"/>
  <c r="G12" i="29"/>
  <c r="H45" i="29"/>
  <c r="H38" i="29"/>
  <c r="J35" i="29"/>
  <c r="J42" i="29"/>
  <c r="E12" i="29"/>
  <c r="E30" i="29"/>
  <c r="F12" i="29"/>
  <c r="F30" i="29"/>
  <c r="H37" i="29"/>
  <c r="H44" i="29"/>
  <c r="J30" i="29"/>
  <c r="J12" i="29"/>
  <c r="L30" i="29"/>
  <c r="L12" i="29"/>
  <c r="K12" i="29"/>
  <c r="P22" i="29"/>
  <c r="K30" i="29"/>
  <c r="I30" i="29"/>
  <c r="I12" i="29"/>
  <c r="H30" i="29"/>
  <c r="F5" i="29"/>
  <c r="H12" i="29"/>
  <c r="F109" i="28"/>
  <c r="F9" i="28"/>
  <c r="F10" i="28" s="1"/>
  <c r="E10" i="28"/>
  <c r="G114" i="28"/>
  <c r="G108" i="28" s="1"/>
  <c r="G109" i="28" s="1"/>
  <c r="G12" i="28"/>
  <c r="E13" i="5" s="1"/>
  <c r="I38" i="29" l="1"/>
  <c r="I45" i="29"/>
  <c r="E36" i="29"/>
  <c r="E43" i="29"/>
  <c r="E47" i="29" s="1"/>
  <c r="I37" i="29"/>
  <c r="I44" i="29"/>
  <c r="E49" i="29"/>
  <c r="E46" i="29" s="1"/>
  <c r="K42" i="29"/>
  <c r="K35" i="29"/>
  <c r="P12" i="29"/>
  <c r="G5" i="29"/>
  <c r="G8" i="29" s="1"/>
  <c r="F8" i="29"/>
  <c r="G13" i="28"/>
  <c r="E14" i="5" s="1"/>
  <c r="G14" i="28"/>
  <c r="E15" i="5" s="1"/>
  <c r="Z13" i="5"/>
  <c r="J37" i="29" l="1"/>
  <c r="J44" i="29"/>
  <c r="L42" i="29"/>
  <c r="I4" i="29" s="1"/>
  <c r="J4" i="29" s="1"/>
  <c r="Z20" i="5" s="1"/>
  <c r="L35" i="29"/>
  <c r="F43" i="29"/>
  <c r="F36" i="29"/>
  <c r="J38" i="29"/>
  <c r="J45" i="29"/>
  <c r="G15" i="28"/>
  <c r="G9" i="28" s="1"/>
  <c r="G10" i="28" s="1"/>
  <c r="Z15" i="5"/>
  <c r="G43" i="29" l="1"/>
  <c r="G36" i="29"/>
  <c r="F47" i="29"/>
  <c r="F49" i="29"/>
  <c r="F46" i="29" s="1"/>
  <c r="M35" i="29"/>
  <c r="K4" i="29" s="1"/>
  <c r="M42" i="29"/>
  <c r="P42" i="29" s="1"/>
  <c r="K45" i="29"/>
  <c r="K38" i="29"/>
  <c r="E20" i="5"/>
  <c r="K37" i="29"/>
  <c r="K44" i="29"/>
  <c r="D5" i="20" l="1"/>
  <c r="L37" i="29"/>
  <c r="L44" i="29"/>
  <c r="I6" i="29" s="1"/>
  <c r="J6" i="29" s="1"/>
  <c r="L4" i="5"/>
  <c r="Z25" i="5" s="1"/>
  <c r="E4" i="5"/>
  <c r="L45" i="29"/>
  <c r="I7" i="29" s="1"/>
  <c r="J7" i="29" s="1"/>
  <c r="L38" i="29"/>
  <c r="H43" i="29"/>
  <c r="H36" i="29"/>
  <c r="G47" i="29"/>
  <c r="G49" i="29"/>
  <c r="G46" i="29" s="1"/>
  <c r="I36" i="29" l="1"/>
  <c r="I43" i="29"/>
  <c r="Z23" i="5"/>
  <c r="E23" i="5"/>
  <c r="M37" i="29"/>
  <c r="K6" i="29" s="1"/>
  <c r="M44" i="29"/>
  <c r="P44" i="29" s="1"/>
  <c r="H47" i="29"/>
  <c r="H49" i="29"/>
  <c r="H46" i="29" s="1"/>
  <c r="D21" i="20"/>
  <c r="F5" i="20"/>
  <c r="M45" i="29"/>
  <c r="P45" i="29" s="1"/>
  <c r="M38" i="29"/>
  <c r="K7" i="29" s="1"/>
  <c r="Z22" i="5"/>
  <c r="E22" i="5"/>
  <c r="AG14" i="5" l="1"/>
  <c r="D7" i="20"/>
  <c r="D26" i="20"/>
  <c r="L7" i="5"/>
  <c r="Z28" i="5" s="1"/>
  <c r="E7" i="5"/>
  <c r="H7" i="5" s="1"/>
  <c r="AG15" i="5"/>
  <c r="D8" i="20"/>
  <c r="E6" i="5"/>
  <c r="H6" i="5" s="1"/>
  <c r="L6" i="5"/>
  <c r="Z27" i="5" s="1"/>
  <c r="I47" i="29"/>
  <c r="I49" i="29"/>
  <c r="I46" i="29" s="1"/>
  <c r="J36" i="29"/>
  <c r="J43" i="29"/>
  <c r="K26" i="29" l="1"/>
  <c r="D24" i="20"/>
  <c r="F8" i="20"/>
  <c r="N7" i="5"/>
  <c r="N6" i="5"/>
  <c r="J47" i="29"/>
  <c r="J49" i="29"/>
  <c r="F7" i="20"/>
  <c r="D23" i="20"/>
  <c r="K43" i="29"/>
  <c r="K36" i="29"/>
  <c r="J46" i="29" l="1"/>
  <c r="L26" i="29"/>
  <c r="L36" i="29"/>
  <c r="L43" i="29"/>
  <c r="F23" i="20"/>
  <c r="G23" i="20" s="1"/>
  <c r="D28" i="20"/>
  <c r="K49" i="29"/>
  <c r="K46" i="29" s="1"/>
  <c r="K47" i="29"/>
  <c r="P26" i="29"/>
  <c r="D29" i="20"/>
  <c r="F24" i="20"/>
  <c r="G24" i="20" s="1"/>
  <c r="I5" i="29" l="1"/>
  <c r="L49" i="29"/>
  <c r="L46" i="29" s="1"/>
  <c r="L47" i="29"/>
  <c r="M36" i="29"/>
  <c r="M43" i="29"/>
  <c r="M49" i="29" l="1"/>
  <c r="M46" i="29" s="1"/>
  <c r="M47" i="29"/>
  <c r="P43" i="29"/>
  <c r="J5" i="29"/>
  <c r="I8" i="29"/>
  <c r="J8" i="29" l="1"/>
  <c r="K5" i="29"/>
  <c r="Z21" i="5"/>
  <c r="E21" i="5"/>
  <c r="L5" i="5" l="1"/>
  <c r="Z26" i="5" s="1"/>
  <c r="E5" i="5"/>
  <c r="AG13" i="5"/>
  <c r="D6" i="20"/>
  <c r="Q5" i="5" l="1"/>
  <c r="Q7" i="5"/>
  <c r="H5" i="5"/>
  <c r="Q6" i="5"/>
  <c r="F6" i="20"/>
  <c r="D22" i="20"/>
  <c r="N5" i="5" l="1"/>
  <c r="D27" i="20"/>
  <c r="F22" i="20"/>
  <c r="G22" i="20" s="1"/>
  <c r="J14" i="35" l="1"/>
  <c r="J34" i="35" s="1"/>
  <c r="I14" i="35" l="1"/>
  <c r="I34" i="35" l="1"/>
  <c r="G4" i="35"/>
  <c r="G8" i="35" l="1"/>
  <c r="H4" i="35"/>
  <c r="H8" i="35" s="1"/>
  <c r="I47" i="35"/>
  <c r="I40" i="35"/>
  <c r="J40" i="35" l="1"/>
  <c r="J47" i="35"/>
  <c r="J52" i="35" s="1"/>
  <c r="I52" i="35"/>
  <c r="I54" i="35"/>
  <c r="K31" i="35" l="1"/>
  <c r="I51" i="35"/>
  <c r="J54" i="35"/>
  <c r="K40" i="35"/>
  <c r="K47" i="35"/>
  <c r="L31" i="35" l="1"/>
  <c r="J51" i="35"/>
  <c r="K54" i="35"/>
  <c r="L47" i="35"/>
  <c r="P47" i="35" s="1"/>
  <c r="L40" i="35"/>
  <c r="K52" i="35"/>
  <c r="M40" i="35" l="1"/>
  <c r="P31" i="35"/>
  <c r="L52" i="35"/>
  <c r="L54" i="35"/>
  <c r="K51" i="35"/>
  <c r="J4" i="35"/>
  <c r="M54" i="35" l="1"/>
  <c r="M51" i="35" s="1"/>
  <c r="L51" i="35"/>
  <c r="K4" i="35"/>
  <c r="AC20" i="5" s="1"/>
  <c r="J8" i="35"/>
  <c r="K8" i="35" l="1"/>
  <c r="L4" i="35"/>
  <c r="C20" i="5"/>
  <c r="B13" i="20" l="1"/>
  <c r="AG12" i="5"/>
  <c r="C4" i="5"/>
  <c r="H4" i="5" s="1"/>
  <c r="J4" i="5"/>
  <c r="X25" i="5" s="1"/>
  <c r="N4" i="5" l="1"/>
  <c r="F13" i="20"/>
  <c r="B21" i="20"/>
  <c r="B26" i="20" l="1"/>
  <c r="F21" i="20"/>
  <c r="G2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Allison Stewart</author>
  </authors>
  <commentList>
    <comment ref="A25" authorId="0" shapeId="0" xr:uid="{63D4616F-B640-4A84-977A-B81BB139C9EA}">
      <text>
        <r>
          <rPr>
            <b/>
            <sz val="9"/>
            <color indexed="81"/>
            <rFont val="Tahoma"/>
            <family val="2"/>
          </rPr>
          <t>Allison Stewart:</t>
        </r>
        <r>
          <rPr>
            <sz val="9"/>
            <color indexed="81"/>
            <rFont val="Tahoma"/>
            <family val="2"/>
          </rPr>
          <t xml:space="preserve">
PPC + PCR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Allison Stewart</author>
  </authors>
  <commentList>
    <comment ref="A25" authorId="0" shapeId="0" xr:uid="{0E527C46-0C18-4A6E-9ABE-1F87E393FC81}">
      <text>
        <r>
          <rPr>
            <b/>
            <sz val="9"/>
            <color indexed="81"/>
            <rFont val="Tahoma"/>
            <family val="2"/>
          </rPr>
          <t>Allison Stewart:</t>
        </r>
        <r>
          <rPr>
            <sz val="9"/>
            <color indexed="81"/>
            <rFont val="Tahoma"/>
            <family val="2"/>
          </rPr>
          <t xml:space="preserve">
PPC + PCR</t>
        </r>
      </text>
    </comment>
  </commentList>
</comments>
</file>

<file path=xl/sharedStrings.xml><?xml version="1.0" encoding="utf-8"?>
<sst xmlns="http://schemas.openxmlformats.org/spreadsheetml/2006/main" count="812" uniqueCount="271">
  <si>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</si>
  <si>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</si>
  <si>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</si>
  <si>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</si>
  <si>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</si>
  <si>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</si>
  <si>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</si>
  <si>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</si>
  <si>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</si>
  <si>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</si>
  <si>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</si>
  <si>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</si>
  <si>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</si>
  <si>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</si>
  <si>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</si>
  <si>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</si>
  <si>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</si>
  <si>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</si>
  <si>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</si>
  <si>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</si>
  <si>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</si>
  <si>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</si>
  <si>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</si>
  <si>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</si>
  <si>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</si>
  <si>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DSIM($/kWh)</t>
  </si>
  <si>
    <t>2. PTD</t>
  </si>
  <si>
    <t xml:space="preserve">INPUTS </t>
  </si>
  <si>
    <t>ACTUAL</t>
  </si>
  <si>
    <t>3. Actual/Forecasted Revenues - Program Costs Only</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</si>
  <si>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</si>
  <si>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</si>
  <si>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</si>
  <si>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</si>
  <si>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</si>
  <si>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</si>
  <si>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</si>
  <si>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</si>
  <si>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</si>
  <si>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</si>
  <si>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</si>
  <si>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</si>
  <si>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</si>
  <si>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</si>
  <si>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</si>
  <si>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</si>
  <si>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</si>
  <si>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</si>
  <si>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</si>
  <si>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</si>
  <si>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</si>
  <si>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</si>
  <si>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</si>
  <si>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</si>
  <si>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2. Actual Revenues - TD Only</t>
  </si>
  <si>
    <t>1. Actual/Forecasted TD</t>
  </si>
  <si>
    <t>1. Forecasted kWh Sales Impact</t>
  </si>
  <si>
    <t>3. kWh Sales Impact</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</si>
  <si>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</si>
  <si>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</si>
  <si>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</si>
  <si>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</si>
  <si>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</si>
  <si>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</si>
  <si>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</si>
  <si>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</si>
  <si>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</si>
  <si>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</si>
  <si>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</si>
  <si>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</si>
  <si>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</si>
  <si>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</si>
  <si>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</si>
  <si>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</si>
  <si>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</si>
  <si>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</si>
  <si>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</si>
  <si>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</si>
  <si>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</si>
  <si>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</si>
  <si>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</si>
  <si>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OA-cycle 2</t>
  </si>
  <si>
    <t>OAR-cycle 2</t>
  </si>
  <si>
    <t>6. Actual EO rate component of the tariff rate</t>
  </si>
  <si>
    <t>5. Total Earnings Opportunity plus Carrying Costs</t>
  </si>
  <si>
    <t>1. Total Earnings Opportunity</t>
  </si>
  <si>
    <t>2. EO TD Ex Post Gross Adjustment</t>
  </si>
  <si>
    <t>4. Carrying Costs @ AFUDC Rate</t>
  </si>
  <si>
    <t>EO-cycle 2</t>
  </si>
  <si>
    <t>3. EO TD NTG Adjustment</t>
  </si>
  <si>
    <t>EOR-cycle 2</t>
  </si>
  <si>
    <t>Non-Residential SGS</t>
  </si>
  <si>
    <t>Non-Residential LGS</t>
  </si>
  <si>
    <t>Non-Residential LPS</t>
  </si>
  <si>
    <t>Total Non-Residential</t>
  </si>
  <si>
    <t>Cycle 3 Projected Throughput Disincentive (PTD) TD Calculation</t>
  </si>
  <si>
    <t>PPC-cycle 3</t>
  </si>
  <si>
    <t>PTD-cycle 3</t>
  </si>
  <si>
    <t>EO-cycle 3</t>
  </si>
  <si>
    <t>OA-cycle 3</t>
  </si>
  <si>
    <t>PCR-cycle 3</t>
  </si>
  <si>
    <t>TDR-cycle 3</t>
  </si>
  <si>
    <t>EOR-cycle 3</t>
  </si>
  <si>
    <t>OAR-cycle 3</t>
  </si>
  <si>
    <t>6. Short-Term Interest Rate</t>
  </si>
  <si>
    <t>6. Actual OA rate component of the tariff rate</t>
  </si>
  <si>
    <t>Cycle 3</t>
  </si>
  <si>
    <t>Total DSIM</t>
  </si>
  <si>
    <t>NOA ($/kWh)</t>
  </si>
  <si>
    <t>NEO ($/kWh)</t>
  </si>
  <si>
    <t>NTD ($/kWh)</t>
  </si>
  <si>
    <t>NPC ($/kWh)</t>
  </si>
  <si>
    <t>Rate Schedule</t>
  </si>
  <si>
    <t>Non-Residential - SGS</t>
  </si>
  <si>
    <t>Non-Residential - LGS</t>
  </si>
  <si>
    <t>Non-Residential - LPS</t>
  </si>
  <si>
    <t>Cycle 3 Program Costs Reconciliation (PCR) Calculation</t>
  </si>
  <si>
    <t>1. Allocated Actual Program Costs</t>
  </si>
  <si>
    <t>Cycle 3 Throughput Disincentive TD Reconciliation (TDR)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</si>
  <si>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</si>
  <si>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</si>
  <si>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</si>
  <si>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</si>
  <si>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</si>
  <si>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</si>
  <si>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</si>
  <si>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</si>
  <si>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Res</t>
  </si>
  <si>
    <t>SGS</t>
  </si>
  <si>
    <t>LGS</t>
  </si>
  <si>
    <t>LPS</t>
  </si>
  <si>
    <t>5. Total Earnings Opportunity plus Carrying Costs - Source: Sum of Columns 1. through 4.</t>
  </si>
  <si>
    <t>1.  Actual monthly EO - Source: Sum of Line 3.
    Forecasted monthly EO - Source: Sum of Line 3.</t>
  </si>
  <si>
    <t>Cycle 3 Earnings Opportunity (EO) Calculation</t>
  </si>
  <si>
    <t>Cycle 3 - Total</t>
  </si>
  <si>
    <t>6. Amortization Over 12 Month Recovery Period</t>
  </si>
  <si>
    <t>Cycle 3 - Program Year 1 (including EO TD Adjustments through October 2021) (Amortize February 2022-January 2023)</t>
  </si>
  <si>
    <t>Cycle 3 Earnings Opportunity Reconciliation (EOR) Calculation</t>
  </si>
  <si>
    <t>1. &amp; 3. Actual monthly Ordered Adjustments - Source: None</t>
  </si>
  <si>
    <t>Cycle 3 - Program Year 1 EO TD Adjustments November 2021 - April 2022 (Amortize August 2022 - July 2023)</t>
  </si>
  <si>
    <t>Cycle 3 Ordered Adjustment (OA) Calculation</t>
  </si>
  <si>
    <t>1. Ordered Adjustment - Program Costs</t>
  </si>
  <si>
    <t>2. Ordered Adjustment - Throughput Disincentive</t>
  </si>
  <si>
    <t>3. Carrying Costs on OA</t>
  </si>
  <si>
    <t>Cycle 3 Ordered Adjustments Reconciliation (OAR) Calculation</t>
  </si>
  <si>
    <t>Cycle 3 - Program Year 1 EO TD Adjustments May 2022 - November 2022 (Amortize February 2023 - January 2024)</t>
  </si>
  <si>
    <t>Allocation</t>
  </si>
  <si>
    <t>Cycle 3 - Program Year 2 (including EO TD Adjustments through December 2022) (Amortize August 2023-July 2024)</t>
  </si>
  <si>
    <t>NOA = Net Ordered Adjustment for the upcoming EP plus the succeeding EP (OA + OAR)</t>
  </si>
  <si>
    <t xml:space="preserve">PE = Projected Energy, in kWh to be delivered during the upcoming RP plus the succeeding RP </t>
  </si>
  <si>
    <t>3. Actual/Forecasted EO Amortization - Source:  EO Cycle 3 tab column G divided by remaining months on EO Cycle 3 tab.</t>
  </si>
  <si>
    <t>Tab</t>
  </si>
  <si>
    <t>Summary Description</t>
  </si>
  <si>
    <t>Summary of Sources</t>
  </si>
  <si>
    <t>Tariff Tables</t>
  </si>
  <si>
    <t>Program Costs, Throughput Disincentive, Earnings Opportunity and Ordered Adjustments from subsidiary tabs listed below</t>
  </si>
  <si>
    <t>DSIM Cycle Tables</t>
  </si>
  <si>
    <t>Analysis of DSIM rates by Customer Class by MEEIA Cycle and Cost Components</t>
  </si>
  <si>
    <t>Tariff Tables tab</t>
  </si>
  <si>
    <t>PCR Cycle 3</t>
  </si>
  <si>
    <t>The Company analyzes monthly DSIM rider revenues billed by MEEIA Cycle, customer class and DSIM cost component per the DSIM tariffs (PPC, PCR, PTD, TDR, EO, EOR, OA and OAR). Each month the Company analyzes actual program costs by program which are mapped or allocated to customer classes.  Monthly DSIM rider revenues billed are compared to actual Program Costs to determine current over or under recovery which is accumulated by customer class.  Interest is calculated on the over or under recovered Program Costs at the short-term borrowing rates defined in the DSIM tariffs.</t>
  </si>
  <si>
    <t>PTD Cycle 3</t>
  </si>
  <si>
    <t>TDR Cycle 3</t>
  </si>
  <si>
    <t>EO Cycle 3</t>
  </si>
  <si>
    <t>EOR Cycle 3</t>
  </si>
  <si>
    <t>The Company analyzes monthly DSIM rider revenues billed by customer class and DSIM cost component per the DSIM tariffs (PPC, PCR, PTD, TDR, EO, EOR, OA and OAR). Pursuant to the DSIM tariffs Earnings Opportunity, including EO TD Adjustments are amortized over 12 months. Interest is calculated on the over or under recovered Earnings Opportunity at the short-term borrowing rates defined in the DSIM tariffs.</t>
  </si>
  <si>
    <t>OA Cycle 3</t>
  </si>
  <si>
    <t>The Company analyzes monthly DSIM rider revenues billed by customer class and DSIM cost component per the DSIM tariffs (PPC, PCR, PTD, TDR, EO, EOR, OA and OAR). Interest is calculated on the over or under recovered Ordered Adjustments at the short-term borrowing rates defined in the DSIM tariffs.</t>
  </si>
  <si>
    <t>OAR Cycle 3</t>
  </si>
  <si>
    <t>1. Ordered Adjustment - Program Costs - Source: None</t>
  </si>
  <si>
    <t>2. Ordered Adjustment - Throughput Disincentive - Source: None</t>
  </si>
  <si>
    <t>3. Carrying Costs on OA - Source: None</t>
  </si>
  <si>
    <t>Check</t>
  </si>
  <si>
    <t>For next rider filing, reversal of Forecast to input in column C</t>
  </si>
  <si>
    <t>Cycle 3 - Program Year 3 (including EO TD Adjustments through October 2023) (Amortize February 2024 -January 2025)</t>
  </si>
  <si>
    <t>Cycle 3 - Program Year 1 EO TD Adjustments December 2022 (Amortize February 2024 - January 2025)</t>
  </si>
  <si>
    <t>PPC-cycle 4</t>
  </si>
  <si>
    <t>PTD-cycle 4</t>
  </si>
  <si>
    <t>EO-cycle 4</t>
  </si>
  <si>
    <t>OA-cycle 4</t>
  </si>
  <si>
    <t>PCR-cycle 4</t>
  </si>
  <si>
    <t>TDR-cycle 4</t>
  </si>
  <si>
    <t>EOR-cycle 4</t>
  </si>
  <si>
    <t>OAR-cycle 4</t>
  </si>
  <si>
    <t>Cycle 4</t>
  </si>
  <si>
    <t>PCR Cycle 4</t>
  </si>
  <si>
    <t>Cycle 4 Program Costs Reconciliation (PCR) Calculation</t>
  </si>
  <si>
    <t>Cycle 3 - Program Year 3 EO TD Adjustments November 2023 through April 2024 (Amortize August 2024 - July 2025)</t>
  </si>
  <si>
    <t>Cycle 3 - Program Year 4 (Amortize August 2024 -July 2025)</t>
  </si>
  <si>
    <t>4. Total monthly interest - Source: calculated</t>
  </si>
  <si>
    <t>5. Total monthly interest - Source: calculated</t>
  </si>
  <si>
    <t>PPC Cycle 4</t>
  </si>
  <si>
    <t>The Company creates a forecast of program costs and throughput disincentive, among other items, based on modeled assumptions used for the MEEIA 4 filing (EO-2023-0370). Program costs by customer class is summarized from that forecast. Projected billed kWh sales by customer class (net of opt outs) are extracted from the Company budget.</t>
  </si>
  <si>
    <t>PTD Cycle 4</t>
  </si>
  <si>
    <t>Cycle 3 - Program Year 3 EO TD Adjustments May 2024 through October 2024 (Amortize February 2025 - January 2026)</t>
  </si>
  <si>
    <t>Cycle 4 Earnings Opportunity (EO) Calculation</t>
  </si>
  <si>
    <t>Cycle 4 - Total</t>
  </si>
  <si>
    <t xml:space="preserve">2. EO TD Ex Post Gross Adjustment -  Source: </t>
  </si>
  <si>
    <t xml:space="preserve">3. EO TD NTG Adjustment -  Source: </t>
  </si>
  <si>
    <t xml:space="preserve">4. Carrying Costs @ AFUDC Rate -  Source: </t>
  </si>
  <si>
    <t>2. Forecasted Throughput Disincentive -Sum of 3.</t>
  </si>
  <si>
    <t>Cycle 4 Projected Throughput Disincentive (PTD) TD Calculation</t>
  </si>
  <si>
    <t>2. Forecasted program costs by customer class - Source: sum of 3.</t>
  </si>
  <si>
    <t>Cycle 4 Projected Program Costs (PPC) Calculation</t>
  </si>
  <si>
    <t xml:space="preserve">The Company updates a forecast of program costs and throughput disincentive, among other items, based on program implementer forecast, when available, or modeled assumptions used for the MEEIA 4 filing (EO-2023-0370). Throughput Disincentive by customer class is summarized from that forecast. </t>
  </si>
  <si>
    <t>EO Cycle 4</t>
  </si>
  <si>
    <t>TDR Cycle 4</t>
  </si>
  <si>
    <t>The Company analyzes monthly DSIM rider revenues billed by customer class and DSIM cost component per the DSIM tariffs (PPC, PCR, PTD, TDR, EO, EOR, OA and OAR). Pursuant to DSIM tariffs the Company calculates monthly Throughput Disincentive for Cycle 4 based on cumulative reported deemed kWh savings by MEEIA program and customer class, monthly loadshapes per program, current margin rates per customer class and Net to Gross (NTG) Factors in the tariff. Interest is calculated on the over or under recovered Throughput Disincentive at the short-term borrowing rates defined in the DSIM tariffs.</t>
  </si>
  <si>
    <t>Cycle 3 - Program Year 5 through April 2025 (Amortize August 2025 -July 2026)</t>
  </si>
  <si>
    <t>Cycle 4 Throughput Disincentive TD Reconciliation (TDR) Calculation</t>
  </si>
  <si>
    <t>1. &amp; 4. Actual monthly TD - Source: Missouri West Cycle 3 Monthly TD Calc 032025 04282025.xlsx
    Forecasted monthly TD - Source: Missouri West Cycle 3 Monthly TD Calc 032025 04282025.xlsx</t>
  </si>
  <si>
    <t>3. Actual monthly TD - Source: Missouri West Cycle 3 Monthly TD Calc 032025 04282025.xlsx
    Forecasted monthly TD - Source: Missouri West Cycle 3 Monthly TD Calc 032025 04282025.xlsx</t>
  </si>
  <si>
    <t>1. Forecasted kWh savings by customer classes: Residential, Small General Service, Large General Service and Large Power Service  - Source: Missouri West Cycle 3 Monthly TD Calc 032025 04282025.xlsx</t>
  </si>
  <si>
    <t>3. Forecasted Throughput Disincentive - Source: Missouri West Cycle 3 Monthly TD Calc 032025 04282025.xlsx</t>
  </si>
  <si>
    <t>Cycle 4 - Program Year 1 through April 2026 (Amortize August 2026-July 2027)</t>
  </si>
  <si>
    <t>Cycle 4 - Program Year 2 through April 2027 (Amortize August 2027-July 2028)</t>
  </si>
  <si>
    <t>Cycle 4 - Program Year 3 through April 2028 (Amortize August 2028-July 2029)</t>
  </si>
  <si>
    <t>Cycle 3 - Program Year 3 EO TD Adjustments November 2024 through December 2024 (Amortize August 2025 - July 2026)</t>
  </si>
  <si>
    <t>3. EO TD NTG Adjustment -  Source: Missouri West Cycle 3 PY1 EO TD Adj Calc.xlsx, Missouri West Cycle 3 PY2 EO TD Adj Calc.xlsx, Missouri West Cycle 3 PY3 EO TD Adj Calc 2025 20250528.xlsx</t>
  </si>
  <si>
    <t>4. Carrying Costs @ AFUDC Rate -  Source: Missouri West Cycle 3 PY1 EO TD Adj Calc.xlsx, Missouri West Cycle 3 PY2 EO TD Adj Calc.xlsx, Missouri West Cycle 3 PY3 EO TD Adj Calc 2025 20250528.xlsx</t>
  </si>
  <si>
    <t>2. EO TD Ex Post Gross Adjustment -  Source: Missouri West Cycle 3 PY1 EO TD Adj Calc.xlsx, Missouri West Cycle 3 PY2 EO TD Adj Calc.xlsx, Missouri West Cycle 3 PY3 EO TD Adj Calc 2025 20250528.xlsx</t>
  </si>
  <si>
    <t>Actual Cycle 3 reported results were rebased with the Missouri West rate case ER-2024-0189 June 30, 2024 true-up date.</t>
  </si>
  <si>
    <t>The Company analyzes monthly DSIM rider revenues billed by customer class and DSIM cost component per the DSIM tariffs (PPC, PCR, PTD, TDR, EO, EOR, OA and OAR). Pursuant to DSIM tariffs the Company calculates monthly Throughput Disincentive for Cycle 3 based on cumulative reported deemed kWh savings by MEEIA program and customer class, monthly loadshapes per program, current margin rates per customer class and Net to Gross (NTG) Factors in the tariff. 
Cycle 3 Throughput Disincentive was rebased after June 2024 concurrent with Missouri West rate case ER-2024-0189 June 30, 2024 true-up date. Additionally, the net margin revenue rates were reset with the new rates effective in January 2025. 
Interest is calculated on the over or under recovered Throughput Disincentive at the short-term borrowing rates defined in the DSIM tariffs.</t>
  </si>
  <si>
    <t>Earnings Opportunity awards are calculated for Cycle 3 program years 1-3 following the finalization of the Evaluation, Measurement &amp; Verification (EM&amp;V) by applying the EO Matrix in the DSIM tariffs to the evaluated, net verified kWh and kW savings and other factors.  Earnings Opportunity awards are calculated for Cycle 3 program years 4-5 by applying the EO Matrix in the DSIM tariffs based on each program year's respective spend and demand response events. Additionally, the EO TD Ex Post Gross and Net to Gross Adjustments are calculated by recomputing Throughput Disincentive using the EM&amp;V reported kWh savings with carrying costs.  These calculated amounts are amortized into the DSIM rates over 12 months. This update includes Cycle 3 Earnings Opportunity for program year 3 (2022) based on the final EM&amp;V results approved in  EO TD Adjustments with carrying costs through December 2024 plus continued amortization of previously reported amounts from prior updates as appropriate.</t>
  </si>
  <si>
    <t>Earnings Opportunity awards are calculated for Cycle 4 program years 1-3 as follows:
- Demand response program earnings opportunity awards are calculated following the finalization of the Evalution, Measurement &amp; Verification (EM&amp;V) by applying the EO Matrix in the DSIM tariffs to the evaulated, net verified MW participation savings.
- All other programs' earnings opportunity awards are calculated by applying the EO Matrix in the DSIM tariffs based on each program's incentive program costs or total program costs, as applicable.
These calculated amounts are amortized into the DSIM rates over 12 months.</t>
  </si>
  <si>
    <t>Cycle 3 - Program Year 5 May 2025 through October 2025 (Amortize February 2026 -January 2027)</t>
  </si>
  <si>
    <t>3. Cycle 4 - July 2026 - June 2027</t>
  </si>
  <si>
    <t>Cumulative Over/Under Carryover From 12/01/2025 Filing</t>
  </si>
  <si>
    <t>Reverse November 2025 - January 2026 Forecast From 12/01/2025 Filing</t>
  </si>
  <si>
    <t>Evergy Missouri West, Inc. - DSIM Rider Update Filed 06/01/2026</t>
  </si>
  <si>
    <t>Projections for Cycle 3 July 2026 - June 2027 DSIM</t>
  </si>
  <si>
    <t>3. Cycle 3 PY5 Extension Post-6/30/2025 True-Up - July 2026 - June 2027</t>
  </si>
  <si>
    <t>Cycle 3 - Program Year 5 November 2025 through April 2026 (Amortize August 2026 -July 2027)</t>
  </si>
  <si>
    <t>Cycle 4 Ordered Adjustments Reconciliation (OAR) Calculation</t>
  </si>
  <si>
    <t>OAR Cycle 4</t>
  </si>
  <si>
    <t>3. Actual monthly billed revenues by customer classes: Residential, Small General Service, Large General Service and Large Power Service (program cost revenues only) - Source: Missouri West MEEIA 2026 Revenue Analysis Nov25-Apr26.xlsx
    Forecasted monthly billed revenues by customer classes: Residential, Small General Service, Large General Service and Large Power Service (program cost revenues only) - Source: calculated = Forecasted billed kWh sales X tariff rate</t>
  </si>
  <si>
    <t>2. Actual monthly billed revenues by customer classes: Residential, Small General Service, Large General Service and Large Power Service (TD revenues only) - Source: Missouri West MEEIA 2026 Revenue Analysis Nov25-Apr26.xlsx
   Forecasted monthly billed revenues by customer classes: Residential, Small General Service, Large General Service and Large Power Service (TD revenues only) - Source: calculated = Forecasted billed kWh sales X tariff rate</t>
  </si>
  <si>
    <t>2. Actual monthly billed revenues by customer classes: Residential, Small General Service, Large General Service and Large Power Service (EO revenues only) - Source: Missouri West MEEIA 2026 Revenue Analysis Nov25-Apr26.xlsx
Forecasted monthly billed revenues by customer classes: Residential, Small General Service, Large General Service and Large Power Service (EO revenues only) - Source: calculated = Forecasted billed kWh sales X tariff rate</t>
  </si>
  <si>
    <t>2. Actual monthly billed revenues by customer classes: Residential, Small General Service, Large General Service and Large Power Service (ordered adjustments revenues only) - Source: Missouri West MEEIA 2026 Revenue Analysis Nov25-Apr26.xlsx
Forecasted monthly billed revenues by customer classes: Residential, Small General Service, Large General Service and Large Power Service (ordered adjustments revenues only) - Source: calculated = Forecasted billed kWh sales X tariff rate</t>
  </si>
  <si>
    <t>5. Monthly Short-Term Borrowing Rate - Source: EMW 2026 ST Int Rate Schedules Nov25-Apr26.xlsx</t>
  </si>
  <si>
    <t>6. Monthly Short-Term Borrowing Rate - Source: EMW 2026 ST Int Rate Schedules Nov25-Apr26.xlsx</t>
  </si>
  <si>
    <t>1. Total Earnings Opportunity - Source: Q0030_MO West EO Calculated Cycle 3 PY1.xlsx, Q0030_MO West EO Calculated Cycle 3 PY2.xlsx, Missouri West EO Calculated Cycle 3 PY3.xlsx, Missouri West EO Calculated Cycle 3 PY4.xlsx, Missouri West EO Calculated Cycle 3 PY5.xlsb, CONF_Metro EO PY5 2024 10062025.xlsb, CONF_EO PY5 2024 01072026.xlsb</t>
  </si>
  <si>
    <t>6. Amortization Over 12 Month Recovery Period - Source: Column 5  
- Program Year 3 EO TD Adjustments November 2024 through December 2024 divided by 12 times 1 month in forecast period
- Program Year 5 through April 2025 divided by 12 times 1 month in forecast period
- Program Year 5 May 2025 through October 2025 divided by 12 times 7 months in forecast period
- Program Year 5 November 2025 through April 2026 divided by 12 times 11 months in forecast period</t>
  </si>
  <si>
    <t>1. Total Earnings Opportunity - Source: 042026 C4PY1 Spend (incl EO) Alloc Calc 05082026 FINAL.xlsb</t>
  </si>
  <si>
    <t>6. Amortization Over 12 Month Recovery Period - Source: Column 5
- Program Year 1 through April 2026 divided by 12 times 11 months in forecast period</t>
  </si>
  <si>
    <t>1. Forecasted kWh savings by customer classes: Residential, Small General Service, Large General Service and Large Power Service - Source: Missouri West C4 Monthly TD Calc incl forecast- 042026 05152026.xlsx</t>
  </si>
  <si>
    <t>3. Forecasted Throughput Disincentive - Source: Missouri West C4 Monthly TD Calc incl forecast- 042026 05152026.xlsx</t>
  </si>
  <si>
    <t>1. &amp; 4. Actual monthly TD - Source: Missouri West C4 Monthly TD Calc incl forecast- 042026 05152026.xlsx
    Forecasted monthly TD - Source: Missouri West C4 Monthly TD Calc incl forecast- 042026 05152026.xlsx</t>
  </si>
  <si>
    <t>3. Actual monthly TD - Source: Missouri West C4 Monthly TD Calc incl forecast- 042026 05152026.xlsx
    Forecasted monthly TD - Source: Missouri West C4 Monthly TD Calc incl forecast- 042026 05152026.xlsx</t>
  </si>
  <si>
    <t>1. Actual monthly program costs allocated to customer classes: Residential, Small General Service, Large General Service and Large Power Service - Source: 12 2025 MO West C3 Spend Allocations Worksheet FINAL.xlsx
    Forecasted monthly program costs allocated to customer classes: Residential, Small General Service, Large General Service and Large Power Service - Source: n/a</t>
  </si>
  <si>
    <t>None - There were no additional Ordered Adjustments for Cycle 3 for the period July 2026 through June 2027 as of June 1, 2026.</t>
  </si>
  <si>
    <t>Calculation of DSIM Rates by Customer Class Effective August 1, 2026 through July 31, 2027</t>
  </si>
  <si>
    <t>Projected Program Costs for Cycle 4 for the period July 2026 through June 2027 and projected billed kWh sales for the period August 2026 through July 2027</t>
  </si>
  <si>
    <t>Program Cost Reconciliation for Cycle 3 for the period November 2025 through April 2026 compares the DSIM revenues billed for the Cycle 3 cost components to actual program costs incurred plus the carryforward of under or over recovered Cycle 3 Program Costs.</t>
  </si>
  <si>
    <t>Program Cost Reconciliation for Cycle 4 for the period November 2025 through April 2026 compares the DSIM revenues billed for the Cycle 4 cost components to actual planning and program costs incurred plus the carryforward of under or over recovered Cycle 4 planning costs.</t>
  </si>
  <si>
    <t>Throughput Disincentive Reconciliation for Cycle 3 for the period November 2025 through April 2026 compares the DSIM revenues billed for the Cycle 3 cost components to calculated Throughput Disincentive for Cycle 3 and the carryforward of under or over recovered Cycle 3 Throughput Disincentive.</t>
  </si>
  <si>
    <t>Throughput Disincentive Reconciliation for Cycle 4 for the period November 2025 through April 2026 compares the DSIM revenues billed for the Cycle 4 cost components to calculated Throughput Disincentive for Cycle 4 and the carryforward of under or over recovered Cycle 4 Throughput Disincentive.</t>
  </si>
  <si>
    <t>Earnings Opportunity Reconciliation for Cycle 3 for the period November 2025 through April 2026 compares the DSIM revenues billed for the Cycle 3 cost components to amortization of EO Cycle 3 above and the carryforward of under or over recovered Cycle 3 Earnings Opportunity.</t>
  </si>
  <si>
    <t>Ordered Adjustments Reconciliation for Cycle 3 for the period November 2025 through April 2026 compares the DSIM revenues billed for the Cycle 3 cost components to the carryforward of under or over recovered Cycle 3 Ordered Adjustments.</t>
  </si>
  <si>
    <t>Ordered Adjustments Reconciliation for Cycle 4 for the period November 2025 through April 2026 compares the DSIM revenues billed for the Cycle 4 cost components to the carryforward of under or over recovered Cycle 4 Ordered Adjustments.</t>
  </si>
  <si>
    <t>Projected Throughput Disincentive for Cycle 3 for the period July 2026 through June 2027</t>
  </si>
  <si>
    <t>Projected Throughput Disincentive for Cycle 4 for the period July 2026 through June 2027</t>
  </si>
  <si>
    <t>Earnings Opportunity Cycle 3, including EO TD Ex Post Gross and Net to Gross Adjustments (EO TD Adjustments) for the period July 2026 through June 2027</t>
  </si>
  <si>
    <t>Earnings Opportunity Cycle 4 calculated for the period July 2026 through June 2027</t>
  </si>
  <si>
    <t>Ordered Adjustments for Cycle 3 for the period July 2026 through June 2027</t>
  </si>
  <si>
    <t>3. Forecasted program costs by customer class - Source: EMW MEEIA RIDER FORECAST PROGRAM COSTS- 20260518.xlsx</t>
  </si>
  <si>
    <t>1. Actual monthly program costs allocated to customer classes: Residential, Small General Service, Large General Service and Large Power Service - Source: 112025 C4 Spend (incl EO) Alloc Calc FINAL 12082025.xlsb, 122025 C4 Spend (incl EO) Alloc Calc FINAL 01092026.xlsb, 012026 C4PY1 Spend (incl EO) Alloc Calc FINAL 02092026.xlsb, 012026 C4PY2 Spend (incl EO) Alloc Calc FINAL 02092026.xlsb, 022026 C4PY1 Spend (incl EO) Alloc Calc 03102026 FINAL.xlsb, 022026 C4PY2 Spend (incl EO) Alloc Calc 03102026 FINAL.xlsb, 032026 C4PY1 Spend (incl EO) Alloc Calc 04092026 FINAL.xlsb, 032026 C4PY2 Spend (incl EO) Alloc Calc 04092026 FINAL.xlsb, 042026 C4PY1 Spend (incl EO) Alloc Calc 05082026 FINAL.xlsb, 042026 C4PY2 Spend (incl EO) Alloc Calc 05082026 FINAL.xlsb
    Forecasted monthly program costs allocated to customer classes: Residential, Small General Service, Large General Service and Large Power Service - Source: EMW MEEIA RIDER FORECAST PROGRAM COSTS- 20260518.xlsx</t>
  </si>
  <si>
    <t>Schedule SH-2_Missouri West MEEIA Rider Calcs_August 2026 rate update linked FINAL.zip</t>
  </si>
  <si>
    <t>1. &amp; 3. Actual monthly Ordered Adjustments - Source: OA plus Int calc- Q0003_ Program Costs 042023-032025 combined MO jurisdictionsv2.xlsb</t>
  </si>
  <si>
    <t>1. Forecasted kWh by  Residential, Small General Service, Large General Service and Large Power Service (Reduced for Opt-Out) - Source: Billed kWh Budget 2025+- EMW 20260601.xlsx</t>
  </si>
  <si>
    <t>2. Actual monthly kWh billed sales by customer classes: Residential, Small General Service, Large General Service and Large Power Service (reduced for opt-out) - Source: Missouri West MEEIA 2026 Revenue Analysis Nov25-Apr26.xlsx
    Forecasted monthly kWh billed sales by customer classes: Residential, Small General Service, Large General Service and Large Power Service (reduced for opt-out) - Source: Billed kWh Budget 2025+- EMW 20260601.xlsx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</si>
</sst>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_(* #,##0.0000000_);_(* \(#,##0.0000000\);_(* &quot;-&quot;??_);_(@_)"/>
    <numFmt numFmtId="177" formatCode="0.0%"/>
    <numFmt numFmtId="178" formatCode="_(&quot;$&quot;* #,##0.00000_);_(&quot;$&quot;* \(#,##0.00000\);_(&quot;$&quot;* &quot;-&quot;_);_(@_)"/>
    <numFmt numFmtId="179" formatCode="_(&quot;$&quot;* #,##0.0000000_);_(&quot;$&quot;* \(#,##0.0000000\);_(&quot;$&quot;* &quot;-&quot;???????_);_(@_)"/>
    <numFmt numFmtId="180" formatCode="_(&quot;$&quot;* #,##0.00_);_(&quot;$&quot;* \(#,##0.00\);_(&quot;$&quot;* &quot;-&quot;_);_(@_)"/>
  </numFmts>
  <fonts count="54">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9"/>
      <color indexed="81"/>
      <name val="Tahoma"/>
      <family val="2"/>
    </font>
    <font>
      <b/>
      <sz val="9"/>
      <color indexed="81"/>
      <name val="Tahoma"/>
      <family val="2"/>
    </font>
    <font>
      <sz val="10"/>
      <color rgb="FF008000"/>
      <name val="Courier New"/>
      <family val="3"/>
    </font>
    <font>
      <sz val="11"/>
      <color rgb="FFFF00FF"/>
      <name val="Calibri"/>
      <family val="2"/>
      <scheme val="minor"/>
    </font>
    <font>
      <b/>
      <sz val="10"/>
      <color rgb="FFFF00FF"/>
      <name val="Courier New"/>
      <family val="3"/>
    </font>
    <font>
      <sz val="10"/>
      <color rgb="FF0000FF"/>
      <name val="Courier New"/>
      <family val="3"/>
    </font>
    <font>
      <sz val="11"/>
      <color rgb="FF008000"/>
      <name val="Calibri"/>
      <family val="2"/>
      <scheme val="minor"/>
    </font>
    <font>
      <sz val="11"/>
      <color rgb="FF0000FF"/>
      <name val="Calibri"/>
      <family val="2"/>
      <scheme val="minor"/>
    </font>
    <font>
      <b/>
      <sz val="11"/>
      <color rgb="FF0000FF"/>
      <name val="Calibri"/>
      <family val="2"/>
      <scheme val="minor"/>
    </font>
    <font>
      <i/>
      <sz val="11"/>
      <color rgb="FF0000FF"/>
      <name val="Calibri"/>
      <family val="2"/>
      <scheme val="minor"/>
    </font>
    <font>
      <b/>
      <sz val="11"/>
      <color rgb="FF0000CC"/>
      <name val="Calibri"/>
      <family val="2"/>
      <scheme val="minor"/>
    </font>
    <font>
      <sz val="11"/>
      <color rgb="FF0000CC"/>
      <name val="Calibri"/>
      <family val="2"/>
      <scheme val="minor"/>
    </font>
    <font>
      <sz val="11"/>
      <color rgb="FF00B050"/>
      <name val="Calibri"/>
      <family val="2"/>
      <scheme val="minor"/>
    </font>
    <font>
      <sz val="10"/>
      <color rgb="FFFF00FF"/>
      <name val="Courier New"/>
      <family val="3"/>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FFEB9C"/>
        <bgColor indexed="64"/>
      </patternFill>
    </fill>
  </fills>
  <borders count="8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diagonal/>
    </border>
    <border>
      <left style="thin">
        <color indexed="64"/>
      </left>
      <right/>
      <top style="thin">
        <color indexed="64"/>
      </top>
      <bottom style="thin">
        <color indexed="64"/>
      </bottom>
      <diagonal/>
    </border>
    <border>
      <left style="thin">
        <color indexed="64"/>
      </left>
      <right style="thin">
        <color indexed="64"/>
      </right>
      <top style="thin">
        <color rgb="FF3F3F3F"/>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style="thin">
        <color rgb="FF7F7F7F"/>
      </right>
      <top style="thin">
        <color rgb="FF7F7F7F"/>
      </top>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534">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41" fontId="5" fillId="5" borderId="13" xfId="6" applyNumberFormat="1" applyBorder="1"/>
    <xf numFmtId="41" fontId="5" fillId="5" borderId="1" xfId="6" applyNumberFormat="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0" fillId="0" borderId="9" xfId="0" applyNumberFormat="1" applyFill="1" applyBorder="1"/>
    <xf numFmtId="0" fontId="0" fillId="0" borderId="9" xfId="0" applyFill="1" applyBorder="1"/>
    <xf numFmtId="165" fontId="14" fillId="0" borderId="13" xfId="13" applyNumberFormat="1" applyFill="1" applyBorder="1"/>
    <xf numFmtId="171" fontId="0" fillId="0" borderId="9" xfId="0" applyNumberForma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7" fontId="6" fillId="0" borderId="33" xfId="1" applyNumberFormat="1" applyFont="1" applyFill="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44" fontId="0" fillId="0" borderId="10" xfId="0"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3" fontId="4" fillId="4" borderId="53" xfId="5" applyNumberFormat="1" applyBorder="1"/>
    <xf numFmtId="165" fontId="4" fillId="4" borderId="54" xfId="5" applyNumberFormat="1" applyBorder="1"/>
    <xf numFmtId="165" fontId="5" fillId="5" borderId="21" xfId="11" applyNumberFormat="1" applyFont="1" applyFill="1" applyBorder="1"/>
    <xf numFmtId="41" fontId="5" fillId="5" borderId="31" xfId="6" applyNumberFormat="1" applyBorder="1"/>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1" fontId="5" fillId="5" borderId="59" xfId="6" applyNumberFormat="1" applyBorder="1"/>
    <xf numFmtId="43" fontId="0" fillId="0" borderId="0" xfId="1" applyFont="1"/>
    <xf numFmtId="171" fontId="0" fillId="0" borderId="0" xfId="0" applyNumberFormat="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0" fontId="5" fillId="5" borderId="1" xfId="2" applyNumberFormat="1" applyFont="1" applyFill="1" applyBorder="1"/>
    <xf numFmtId="10" fontId="14" fillId="7" borderId="1" xfId="2" applyNumberFormat="1" applyFont="1" applyFill="1" applyBorder="1"/>
    <xf numFmtId="165" fontId="6" fillId="0" borderId="0" xfId="1" applyNumberFormat="1" applyFon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8" fillId="0" borderId="0" xfId="0" applyNumberFormat="1" applyFont="1"/>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3" fillId="7" borderId="74" xfId="12" applyNumberFormat="1" applyBorder="1"/>
    <xf numFmtId="165" fontId="13" fillId="7" borderId="75" xfId="12" applyNumberFormat="1" applyBorder="1"/>
    <xf numFmtId="165" fontId="13" fillId="7" borderId="76" xfId="12" applyNumberFormat="1" applyBorder="1"/>
    <xf numFmtId="42" fontId="14" fillId="7" borderId="77" xfId="13" applyNumberFormat="1" applyBorder="1"/>
    <xf numFmtId="42" fontId="14" fillId="7" borderId="78" xfId="13" applyNumberFormat="1" applyBorder="1"/>
    <xf numFmtId="42" fontId="14" fillId="7" borderId="0" xfId="13" applyNumberFormat="1" applyBorder="1"/>
    <xf numFmtId="42" fontId="5" fillId="5" borderId="14" xfId="6" applyNumberFormat="1" applyBorder="1"/>
    <xf numFmtId="0" fontId="8" fillId="0" borderId="0" xfId="0" applyFont="1" applyAlignment="1">
      <alignment horizontal="left"/>
    </xf>
    <xf numFmtId="42" fontId="14" fillId="0" borderId="0" xfId="13" applyNumberFormat="1" applyFill="1" applyBorder="1"/>
    <xf numFmtId="42" fontId="33" fillId="7" borderId="70" xfId="13" applyNumberFormat="1" applyFont="1" applyBorder="1"/>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7" fontId="0" fillId="0" borderId="0" xfId="2" applyNumberFormat="1" applyFont="1"/>
    <xf numFmtId="0" fontId="8" fillId="0" borderId="79" xfId="0" applyFont="1" applyBorder="1" applyAlignment="1">
      <alignment horizontal="center" wrapText="1"/>
    </xf>
    <xf numFmtId="167" fontId="14" fillId="7" borderId="81" xfId="13" applyNumberFormat="1" applyBorder="1"/>
    <xf numFmtId="43" fontId="0" fillId="0" borderId="0" xfId="0" applyNumberFormat="1"/>
    <xf numFmtId="43" fontId="8" fillId="0" borderId="0" xfId="1" applyFont="1" applyAlignment="1">
      <alignment horizontal="center" wrapText="1"/>
    </xf>
    <xf numFmtId="0" fontId="8" fillId="0" borderId="0" xfId="0" applyFont="1" applyAlignment="1">
      <alignment wrapText="1"/>
    </xf>
    <xf numFmtId="165" fontId="0" fillId="0" borderId="0" xfId="0" applyNumberFormat="1" applyFill="1" applyBorder="1"/>
    <xf numFmtId="165" fontId="5" fillId="0" borderId="23" xfId="6"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82" xfId="13" applyNumberFormat="1" applyBorder="1"/>
    <xf numFmtId="167" fontId="6" fillId="0" borderId="56" xfId="1" applyNumberFormat="1" applyFont="1" applyFill="1" applyBorder="1"/>
    <xf numFmtId="44" fontId="6" fillId="0" borderId="56" xfId="7" applyNumberFormat="1" applyFill="1" applyBorder="1"/>
    <xf numFmtId="0" fontId="0" fillId="39" borderId="3" xfId="0" applyFill="1" applyBorder="1" applyAlignment="1">
      <alignment horizontal="center" wrapText="1"/>
    </xf>
    <xf numFmtId="170" fontId="36" fillId="0" borderId="6" xfId="0" applyNumberFormat="1" applyFont="1" applyFill="1" applyBorder="1" applyAlignment="1">
      <alignment vertical="center"/>
    </xf>
    <xf numFmtId="170" fontId="38" fillId="0" borderId="0" xfId="0" applyNumberFormat="1" applyFont="1" applyFill="1" applyAlignment="1"/>
    <xf numFmtId="0" fontId="38" fillId="0" borderId="0" xfId="0" applyFont="1"/>
    <xf numFmtId="165" fontId="7" fillId="0" borderId="9" xfId="8" applyNumberFormat="1" applyBorder="1"/>
    <xf numFmtId="165" fontId="5" fillId="0" borderId="9" xfId="2" applyNumberFormat="1" applyFont="1" applyFill="1" applyBorder="1"/>
    <xf numFmtId="165" fontId="6" fillId="6" borderId="51" xfId="7" applyNumberFormat="1" applyBorder="1"/>
    <xf numFmtId="0" fontId="8" fillId="0" borderId="0" xfId="0" applyFont="1" applyAlignment="1">
      <alignment horizontal="left" vertical="center" wrapText="1"/>
    </xf>
    <xf numFmtId="170" fontId="36" fillId="0" borderId="4" xfId="0" applyNumberFormat="1" applyFont="1" applyFill="1" applyBorder="1" applyAlignment="1">
      <alignment vertical="center"/>
    </xf>
    <xf numFmtId="44" fontId="33" fillId="0" borderId="0" xfId="1" applyNumberFormat="1" applyFont="1" applyAlignment="1">
      <alignment horizontal="right"/>
    </xf>
    <xf numFmtId="0" fontId="8" fillId="0" borderId="0" xfId="0" applyFont="1" applyFill="1" applyAlignment="1">
      <alignment wrapText="1"/>
    </xf>
    <xf numFmtId="0" fontId="8" fillId="0" borderId="0" xfId="0" applyFont="1" applyAlignment="1">
      <alignment horizontal="left"/>
    </xf>
    <xf numFmtId="0" fontId="8" fillId="0" borderId="0" xfId="0" applyFont="1" applyFill="1" applyAlignment="1"/>
    <xf numFmtId="0" fontId="8" fillId="0" borderId="0" xfId="0" applyFont="1" applyAlignment="1">
      <alignment horizontal="left" vertical="center" wrapText="1"/>
    </xf>
    <xf numFmtId="0" fontId="8" fillId="0" borderId="0" xfId="0" applyFont="1" applyAlignment="1">
      <alignment horizontal="left"/>
    </xf>
    <xf numFmtId="44" fontId="8" fillId="0" borderId="0" xfId="0" applyNumberFormat="1" applyFont="1" applyFill="1" applyAlignment="1">
      <alignment horizontal="center" wrapText="1"/>
    </xf>
    <xf numFmtId="0" fontId="0" fillId="0" borderId="0" xfId="0" applyAlignment="1">
      <alignment wrapText="1"/>
    </xf>
    <xf numFmtId="0" fontId="8" fillId="0" borderId="70" xfId="0" applyFont="1" applyBorder="1"/>
    <xf numFmtId="0" fontId="8" fillId="0" borderId="70" xfId="0" applyFont="1" applyBorder="1" applyAlignment="1">
      <alignment wrapText="1"/>
    </xf>
    <xf numFmtId="0" fontId="8" fillId="0" borderId="70" xfId="0" applyFont="1" applyBorder="1" applyAlignment="1">
      <alignment vertical="top"/>
    </xf>
    <xf numFmtId="0" fontId="0" fillId="0" borderId="0" xfId="0" applyAlignment="1">
      <alignment vertical="top"/>
    </xf>
    <xf numFmtId="0" fontId="8" fillId="0" borderId="0" xfId="0" applyFont="1" applyAlignment="1">
      <alignment vertical="top"/>
    </xf>
    <xf numFmtId="0" fontId="0" fillId="0" borderId="0" xfId="0" applyAlignment="1">
      <alignment vertical="top" wrapText="1"/>
    </xf>
    <xf numFmtId="42" fontId="42" fillId="0" borderId="6" xfId="0" applyNumberFormat="1" applyFont="1" applyBorder="1" applyAlignment="1">
      <alignment horizontal="right"/>
    </xf>
    <xf numFmtId="0" fontId="44" fillId="0" borderId="0" xfId="0" applyFont="1" applyFill="1" applyBorder="1" applyAlignment="1">
      <alignment horizontal="center" vertical="center" wrapText="1"/>
    </xf>
    <xf numFmtId="172" fontId="45" fillId="0" borderId="6" xfId="0" applyNumberFormat="1" applyFont="1" applyFill="1" applyBorder="1" applyAlignment="1">
      <alignment horizontal="right"/>
    </xf>
    <xf numFmtId="172" fontId="45" fillId="0" borderId="6" xfId="0" quotePrefix="1" applyNumberFormat="1" applyFont="1" applyFill="1" applyBorder="1" applyAlignment="1">
      <alignment horizontal="right"/>
    </xf>
    <xf numFmtId="172" fontId="45" fillId="0" borderId="6" xfId="0" applyNumberFormat="1" applyFont="1" applyBorder="1" applyAlignment="1">
      <alignment horizontal="right"/>
    </xf>
    <xf numFmtId="172" fontId="42" fillId="0" borderId="6" xfId="0" applyNumberFormat="1" applyFont="1" applyBorder="1" applyAlignment="1">
      <alignment horizontal="right"/>
    </xf>
    <xf numFmtId="172" fontId="42" fillId="0" borderId="6" xfId="0" applyNumberFormat="1" applyFont="1" applyFill="1" applyBorder="1" applyAlignment="1">
      <alignment horizontal="right"/>
    </xf>
    <xf numFmtId="178" fontId="42" fillId="0" borderId="6" xfId="0" applyNumberFormat="1" applyFont="1" applyBorder="1" applyAlignment="1">
      <alignment horizontal="right"/>
    </xf>
    <xf numFmtId="175" fontId="42" fillId="0" borderId="6" xfId="1" applyNumberFormat="1" applyFont="1" applyBorder="1" applyAlignment="1">
      <alignment horizontal="right" vertical="center"/>
    </xf>
    <xf numFmtId="175" fontId="43" fillId="0" borderId="0" xfId="0" applyNumberFormat="1" applyFont="1"/>
    <xf numFmtId="0" fontId="44" fillId="0" borderId="0" xfId="0" applyFont="1" applyFill="1" applyBorder="1" applyAlignment="1">
      <alignment vertical="center" wrapText="1"/>
    </xf>
    <xf numFmtId="0" fontId="47" fillId="0" borderId="9" xfId="0" applyFont="1" applyFill="1" applyBorder="1"/>
    <xf numFmtId="0" fontId="49" fillId="0" borderId="9" xfId="8" applyFont="1" applyFill="1" applyBorder="1"/>
    <xf numFmtId="44" fontId="47" fillId="0" borderId="9" xfId="0" applyNumberFormat="1" applyFont="1" applyFill="1" applyBorder="1"/>
    <xf numFmtId="165" fontId="48" fillId="7" borderId="43" xfId="13" applyNumberFormat="1" applyFont="1" applyBorder="1"/>
    <xf numFmtId="165" fontId="48" fillId="7" borderId="44" xfId="13" applyNumberFormat="1" applyFont="1" applyBorder="1"/>
    <xf numFmtId="43" fontId="43" fillId="0" borderId="0" xfId="1" applyFont="1"/>
    <xf numFmtId="165" fontId="48" fillId="7" borderId="72" xfId="13" applyNumberFormat="1" applyFont="1" applyBorder="1"/>
    <xf numFmtId="171" fontId="46" fillId="0" borderId="0" xfId="2" applyNumberFormat="1" applyFont="1" applyBorder="1"/>
    <xf numFmtId="171" fontId="46" fillId="0" borderId="9" xfId="2" applyNumberFormat="1" applyFont="1" applyBorder="1"/>
    <xf numFmtId="171" fontId="46" fillId="0" borderId="10" xfId="0" applyNumberFormat="1" applyFont="1" applyBorder="1"/>
    <xf numFmtId="165" fontId="48" fillId="0" borderId="13" xfId="13" applyNumberFormat="1" applyFont="1" applyFill="1" applyBorder="1"/>
    <xf numFmtId="0" fontId="8" fillId="0" borderId="0" xfId="0" applyFont="1" applyFill="1" applyAlignment="1">
      <alignment horizontal="left"/>
    </xf>
    <xf numFmtId="0" fontId="0" fillId="0" borderId="10" xfId="0" applyFill="1" applyBorder="1"/>
    <xf numFmtId="171" fontId="47" fillId="0" borderId="0" xfId="2" applyNumberFormat="1" applyFont="1" applyBorder="1"/>
    <xf numFmtId="171" fontId="47" fillId="0" borderId="9" xfId="2" applyNumberFormat="1" applyFont="1" applyBorder="1"/>
    <xf numFmtId="171" fontId="47" fillId="0" borderId="10" xfId="0" applyNumberFormat="1" applyFont="1" applyBorder="1"/>
    <xf numFmtId="167" fontId="0" fillId="0" borderId="0" xfId="0" applyNumberFormat="1"/>
    <xf numFmtId="41" fontId="0" fillId="0" borderId="0" xfId="0" applyNumberFormat="1" applyFill="1" applyBorder="1"/>
    <xf numFmtId="43" fontId="8" fillId="0" borderId="0" xfId="1" applyFont="1" applyFill="1" applyAlignment="1">
      <alignment horizontal="center"/>
    </xf>
    <xf numFmtId="165" fontId="13" fillId="40" borderId="75" xfId="12" applyNumberFormat="1" applyFill="1" applyBorder="1"/>
    <xf numFmtId="165" fontId="50" fillId="7" borderId="43" xfId="13" applyNumberFormat="1" applyFont="1" applyBorder="1"/>
    <xf numFmtId="165" fontId="50" fillId="7" borderId="72" xfId="13" applyNumberFormat="1" applyFont="1" applyBorder="1"/>
    <xf numFmtId="165" fontId="50" fillId="7" borderId="44" xfId="13" applyNumberFormat="1" applyFont="1" applyBorder="1"/>
    <xf numFmtId="165" fontId="50" fillId="0" borderId="13" xfId="13" applyNumberFormat="1" applyFont="1" applyFill="1" applyBorder="1"/>
    <xf numFmtId="0" fontId="8" fillId="0" borderId="0" xfId="0" applyFont="1" applyAlignment="1">
      <alignment horizontal="left" vertical="center" wrapText="1"/>
    </xf>
    <xf numFmtId="0" fontId="8" fillId="0" borderId="0" xfId="0" applyFont="1" applyAlignment="1">
      <alignment horizontal="left"/>
    </xf>
    <xf numFmtId="167" fontId="0" fillId="0" borderId="0" xfId="1" applyNumberFormat="1" applyFont="1"/>
    <xf numFmtId="3" fontId="0" fillId="0" borderId="0" xfId="0" applyNumberFormat="1"/>
    <xf numFmtId="44" fontId="0" fillId="0" borderId="0" xfId="0" applyNumberFormat="1" applyFill="1"/>
    <xf numFmtId="0" fontId="8" fillId="0" borderId="0" xfId="0" quotePrefix="1" applyFont="1" applyFill="1"/>
    <xf numFmtId="165" fontId="7" fillId="0" borderId="0" xfId="8" applyNumberFormat="1" applyBorder="1"/>
    <xf numFmtId="164" fontId="0" fillId="0" borderId="12" xfId="0" applyNumberFormat="1" applyFill="1" applyBorder="1"/>
    <xf numFmtId="165" fontId="14" fillId="0" borderId="23" xfId="13" applyNumberFormat="1" applyFill="1" applyBorder="1"/>
    <xf numFmtId="171" fontId="0" fillId="0" borderId="0" xfId="2" applyNumberFormat="1" applyFont="1" applyFill="1" applyBorder="1"/>
    <xf numFmtId="165" fontId="5" fillId="0" borderId="26" xfId="6" applyNumberFormat="1" applyFill="1" applyBorder="1"/>
    <xf numFmtId="0" fontId="51" fillId="39" borderId="3" xfId="0" applyFont="1" applyFill="1" applyBorder="1" applyAlignment="1">
      <alignment horizontal="center" wrapText="1"/>
    </xf>
    <xf numFmtId="165" fontId="5" fillId="0" borderId="82" xfId="11" applyNumberFormat="1" applyFont="1" applyFill="1" applyBorder="1"/>
    <xf numFmtId="165" fontId="50" fillId="0" borderId="23" xfId="13" applyNumberFormat="1" applyFont="1" applyFill="1" applyBorder="1"/>
    <xf numFmtId="43" fontId="8" fillId="0" borderId="0" xfId="1" applyFont="1" applyAlignment="1">
      <alignment horizontal="center"/>
    </xf>
    <xf numFmtId="180" fontId="0" fillId="0" borderId="0" xfId="0" applyNumberFormat="1"/>
    <xf numFmtId="180" fontId="13" fillId="7" borderId="17" xfId="12" applyNumberFormat="1"/>
    <xf numFmtId="180" fontId="13" fillId="7" borderId="71" xfId="12" applyNumberFormat="1" applyBorder="1"/>
    <xf numFmtId="180" fontId="14" fillId="7" borderId="70" xfId="13" applyNumberFormat="1" applyBorder="1"/>
    <xf numFmtId="165" fontId="47" fillId="0" borderId="58" xfId="6" applyNumberFormat="1" applyFont="1" applyFill="1" applyBorder="1"/>
    <xf numFmtId="41" fontId="47" fillId="0" borderId="58" xfId="6" applyNumberFormat="1" applyFont="1" applyFill="1" applyBorder="1"/>
    <xf numFmtId="165" fontId="47" fillId="0" borderId="60" xfId="11" applyNumberFormat="1" applyFont="1" applyFill="1" applyBorder="1"/>
    <xf numFmtId="165" fontId="48" fillId="0" borderId="58" xfId="13" applyNumberFormat="1" applyFont="1" applyFill="1" applyBorder="1"/>
    <xf numFmtId="0" fontId="51" fillId="39" borderId="64" xfId="0" quotePrefix="1" applyFont="1" applyFill="1" applyBorder="1" applyAlignment="1">
      <alignment horizontal="center" wrapText="1"/>
    </xf>
    <xf numFmtId="0" fontId="9" fillId="0" borderId="0" xfId="0" applyFont="1" applyFill="1" applyAlignment="1">
      <alignment horizontal="left"/>
    </xf>
    <xf numFmtId="165" fontId="47" fillId="0" borderId="13" xfId="6" applyNumberFormat="1" applyFont="1" applyFill="1" applyBorder="1"/>
    <xf numFmtId="41" fontId="47" fillId="0" borderId="13" xfId="6" applyNumberFormat="1" applyFont="1" applyFill="1" applyBorder="1"/>
    <xf numFmtId="165" fontId="47" fillId="0" borderId="15" xfId="11" applyNumberFormat="1" applyFont="1" applyFill="1" applyBorder="1"/>
    <xf numFmtId="165" fontId="48" fillId="0" borderId="42" xfId="13" applyNumberFormat="1" applyFont="1" applyFill="1" applyBorder="1"/>
    <xf numFmtId="165" fontId="48" fillId="0" borderId="73" xfId="13" applyNumberFormat="1" applyFont="1" applyFill="1" applyBorder="1"/>
    <xf numFmtId="0" fontId="8" fillId="0" borderId="70" xfId="0" quotePrefix="1" applyFont="1" applyFill="1" applyBorder="1" applyAlignment="1">
      <alignment horizontal="center" wrapText="1"/>
    </xf>
    <xf numFmtId="165" fontId="48" fillId="0" borderId="61" xfId="13" applyNumberFormat="1" applyFont="1" applyFill="1" applyBorder="1"/>
    <xf numFmtId="171" fontId="38" fillId="0" borderId="0" xfId="2" applyNumberFormat="1" applyFont="1" applyBorder="1"/>
    <xf numFmtId="165" fontId="4" fillId="41" borderId="14" xfId="6" applyNumberFormat="1" applyFont="1" applyFill="1" applyBorder="1"/>
    <xf numFmtId="165" fontId="4" fillId="41" borderId="13" xfId="6" applyNumberFormat="1" applyFont="1" applyFill="1" applyBorder="1"/>
    <xf numFmtId="165" fontId="4" fillId="41" borderId="1" xfId="6" applyNumberFormat="1" applyFont="1" applyFill="1" applyBorder="1"/>
    <xf numFmtId="3" fontId="4" fillId="41" borderId="53" xfId="5" applyNumberFormat="1" applyFill="1" applyBorder="1"/>
    <xf numFmtId="41" fontId="5" fillId="36" borderId="3" xfId="6" applyNumberFormat="1" applyFill="1" applyBorder="1"/>
    <xf numFmtId="3" fontId="4" fillId="4" borderId="53" xfId="5" applyNumberFormat="1" applyFont="1" applyBorder="1"/>
    <xf numFmtId="0" fontId="0" fillId="0" borderId="0" xfId="0"/>
    <xf numFmtId="164" fontId="0" fillId="0" borderId="0" xfId="0" applyNumberFormat="1"/>
    <xf numFmtId="0" fontId="8" fillId="0" borderId="0" xfId="0" applyFont="1"/>
    <xf numFmtId="44" fontId="0" fillId="0" borderId="0" xfId="0" applyNumberFormat="1"/>
    <xf numFmtId="10" fontId="0" fillId="0" borderId="0" xfId="2" applyNumberFormat="1" applyFont="1"/>
    <xf numFmtId="44" fontId="8" fillId="0" borderId="0" xfId="0" applyNumberFormat="1" applyFont="1"/>
    <xf numFmtId="0" fontId="0" fillId="0" borderId="9" xfId="0" applyBorder="1"/>
    <xf numFmtId="0" fontId="0" fillId="0" borderId="10" xfId="0"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65"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165" fontId="0" fillId="0" borderId="0" xfId="0" applyNumberFormat="1"/>
    <xf numFmtId="0" fontId="8" fillId="0" borderId="0" xfId="0" applyFont="1" applyAlignment="1">
      <alignment horizontal="center"/>
    </xf>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70" fontId="5" fillId="5" borderId="23" xfId="6" applyNumberFormat="1" applyBorder="1"/>
    <xf numFmtId="41" fontId="5" fillId="5" borderId="13" xfId="6" applyNumberFormat="1" applyBorder="1"/>
    <xf numFmtId="41" fontId="5" fillId="5" borderId="1" xfId="6"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0" fontId="7" fillId="0" borderId="9" xfId="8" applyBorder="1"/>
    <xf numFmtId="0" fontId="0" fillId="0" borderId="9" xfId="0" applyFill="1" applyBorder="1"/>
    <xf numFmtId="171" fontId="0" fillId="0" borderId="9" xfId="0"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46" xfId="11" applyNumberFormat="1" applyFont="1" applyFill="1" applyBorder="1"/>
    <xf numFmtId="165" fontId="14" fillId="7" borderId="23" xfId="13" applyNumberFormat="1" applyBorder="1"/>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165" fontId="5" fillId="0" borderId="11" xfId="6" applyNumberFormat="1" applyFill="1" applyBorder="1"/>
    <xf numFmtId="0" fontId="0" fillId="39" borderId="19" xfId="0" applyFill="1" applyBorder="1" applyAlignment="1">
      <alignment horizontal="center" wrapText="1"/>
    </xf>
    <xf numFmtId="43" fontId="8" fillId="0" borderId="0" xfId="1" applyNumberFormat="1" applyFont="1" applyAlignment="1">
      <alignment horizontal="center"/>
    </xf>
    <xf numFmtId="165" fontId="4" fillId="4" borderId="52" xfId="5" applyNumberFormat="1" applyBorder="1"/>
    <xf numFmtId="41"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44" fontId="0" fillId="0" borderId="10" xfId="0"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43" fontId="0" fillId="0" borderId="0" xfId="1" applyFont="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164" fontId="0" fillId="0" borderId="69" xfId="0" applyNumberForma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65" fontId="14" fillId="7" borderId="70" xfId="13" applyNumberFormat="1" applyBorder="1"/>
    <xf numFmtId="0" fontId="8" fillId="0" borderId="0" xfId="0" applyFont="1" applyAlignment="1">
      <alignment horizontal="left"/>
    </xf>
    <xf numFmtId="0" fontId="0" fillId="0" borderId="0" xfId="0" applyAlignment="1">
      <alignment wrapText="1"/>
    </xf>
    <xf numFmtId="0" fontId="0" fillId="0" borderId="0" xfId="0" applyAlignment="1">
      <alignment vertical="top"/>
    </xf>
    <xf numFmtId="0" fontId="8" fillId="0" borderId="70" xfId="0" applyFont="1" applyBorder="1" applyAlignment="1">
      <alignment vertical="top"/>
    </xf>
    <xf numFmtId="165" fontId="48" fillId="7" borderId="43" xfId="13" applyNumberFormat="1" applyFont="1" applyBorder="1"/>
    <xf numFmtId="165" fontId="48" fillId="7" borderId="44" xfId="13" applyNumberFormat="1" applyFont="1" applyBorder="1"/>
    <xf numFmtId="165" fontId="48" fillId="7" borderId="72" xfId="13" applyNumberFormat="1" applyFont="1" applyBorder="1"/>
    <xf numFmtId="165" fontId="48" fillId="0" borderId="13" xfId="13" applyNumberFormat="1" applyFont="1" applyFill="1" applyBorder="1"/>
    <xf numFmtId="180" fontId="14" fillId="7" borderId="70" xfId="13" applyNumberFormat="1" applyBorder="1"/>
    <xf numFmtId="180" fontId="0" fillId="0" borderId="0" xfId="0" applyNumberFormat="1"/>
    <xf numFmtId="180" fontId="13" fillId="7" borderId="17" xfId="12" applyNumberFormat="1"/>
    <xf numFmtId="180" fontId="13" fillId="7" borderId="71" xfId="12" applyNumberFormat="1" applyBorder="1"/>
    <xf numFmtId="0" fontId="51" fillId="39" borderId="64" xfId="0" quotePrefix="1" applyFont="1" applyFill="1" applyBorder="1" applyAlignment="1">
      <alignment horizontal="center" wrapText="1"/>
    </xf>
    <xf numFmtId="165" fontId="48" fillId="0" borderId="58" xfId="13" applyNumberFormat="1" applyFont="1" applyFill="1" applyBorder="1"/>
    <xf numFmtId="165" fontId="48" fillId="0" borderId="73" xfId="13" applyNumberFormat="1" applyFont="1" applyFill="1" applyBorder="1"/>
    <xf numFmtId="165" fontId="48" fillId="0" borderId="42" xfId="13" applyNumberFormat="1" applyFont="1" applyFill="1" applyBorder="1"/>
    <xf numFmtId="0" fontId="0" fillId="0" borderId="0" xfId="0"/>
    <xf numFmtId="171" fontId="0" fillId="0" borderId="0" xfId="2" applyNumberFormat="1" applyFont="1" applyBorder="1"/>
    <xf numFmtId="165" fontId="5" fillId="37" borderId="1" xfId="6" applyNumberFormat="1" applyFill="1" applyBorder="1"/>
    <xf numFmtId="41" fontId="52" fillId="0" borderId="80" xfId="6" applyNumberFormat="1" applyFont="1" applyFill="1" applyBorder="1"/>
    <xf numFmtId="170" fontId="42" fillId="0" borderId="5" xfId="0" applyNumberFormat="1" applyFont="1" applyFill="1" applyBorder="1" applyAlignment="1">
      <alignment vertical="center"/>
    </xf>
    <xf numFmtId="0" fontId="8" fillId="0" borderId="0" xfId="0" applyFont="1" applyAlignment="1">
      <alignment horizontal="left"/>
    </xf>
    <xf numFmtId="43" fontId="0" fillId="0" borderId="0" xfId="1" applyFont="1" applyBorder="1"/>
    <xf numFmtId="43" fontId="0" fillId="0" borderId="9" xfId="1" applyFont="1" applyBorder="1"/>
    <xf numFmtId="43" fontId="0" fillId="0" borderId="10" xfId="1" applyFont="1" applyBorder="1"/>
    <xf numFmtId="167" fontId="0" fillId="0" borderId="0" xfId="1" applyNumberFormat="1" applyFont="1" applyBorder="1"/>
    <xf numFmtId="167" fontId="0" fillId="0" borderId="9" xfId="1" applyNumberFormat="1" applyFont="1" applyBorder="1"/>
    <xf numFmtId="167" fontId="0" fillId="0" borderId="10" xfId="1" applyNumberFormat="1" applyFont="1" applyBorder="1"/>
    <xf numFmtId="0" fontId="8" fillId="0" borderId="0" xfId="0" applyFont="1" applyFill="1" applyAlignment="1">
      <alignment horizontal="right"/>
    </xf>
    <xf numFmtId="165" fontId="0" fillId="0" borderId="10" xfId="0" applyNumberFormat="1" applyFill="1" applyBorder="1"/>
    <xf numFmtId="0" fontId="0" fillId="0" borderId="0" xfId="0" applyAlignment="1">
      <alignment wrapText="1"/>
    </xf>
    <xf numFmtId="164" fontId="0" fillId="0" borderId="7" xfId="0" applyNumberFormat="1" applyFill="1" applyBorder="1"/>
    <xf numFmtId="164" fontId="0" fillId="0" borderId="8" xfId="0" applyNumberFormat="1" applyFill="1" applyBorder="1"/>
    <xf numFmtId="164" fontId="0" fillId="0" borderId="39" xfId="0" applyNumberFormat="1" applyFill="1" applyBorder="1"/>
    <xf numFmtId="172" fontId="53" fillId="0" borderId="6" xfId="0" applyNumberFormat="1" applyFont="1" applyBorder="1" applyAlignment="1">
      <alignment horizontal="right"/>
    </xf>
    <xf numFmtId="172" fontId="53" fillId="0" borderId="6" xfId="0" applyNumberFormat="1" applyFont="1" applyFill="1" applyBorder="1" applyAlignment="1">
      <alignment horizontal="right"/>
    </xf>
    <xf numFmtId="0" fontId="8" fillId="0" borderId="0" xfId="0" applyFont="1" applyFill="1" applyAlignment="1">
      <alignment horizontal="left" vertical="center" wrapText="1"/>
    </xf>
    <xf numFmtId="0" fontId="0" fillId="0" borderId="70" xfId="0" applyFill="1" applyBorder="1" applyAlignment="1">
      <alignment vertical="top" wrapText="1"/>
    </xf>
    <xf numFmtId="176" fontId="43" fillId="0" borderId="0" xfId="1" applyNumberFormat="1" applyFont="1" applyFill="1"/>
    <xf numFmtId="179" fontId="38" fillId="0" borderId="0" xfId="0" applyNumberFormat="1" applyFont="1" applyFill="1"/>
    <xf numFmtId="179" fontId="0" fillId="0" borderId="0" xfId="0" applyNumberFormat="1" applyFill="1"/>
    <xf numFmtId="0" fontId="8" fillId="0" borderId="70" xfId="0" applyFont="1" applyFill="1" applyBorder="1" applyAlignment="1">
      <alignment horizontal="center" wrapText="1"/>
    </xf>
    <xf numFmtId="0" fontId="7" fillId="0" borderId="10" xfId="8" applyFill="1" applyBorder="1"/>
    <xf numFmtId="0" fontId="7" fillId="0" borderId="9" xfId="8" applyFill="1" applyBorder="1"/>
    <xf numFmtId="164" fontId="51" fillId="0" borderId="12" xfId="0" applyNumberFormat="1" applyFont="1" applyFill="1" applyBorder="1"/>
    <xf numFmtId="44" fontId="0" fillId="0" borderId="34" xfId="0" applyNumberFormat="1" applyFill="1" applyBorder="1"/>
    <xf numFmtId="44" fontId="0" fillId="0" borderId="35" xfId="0" applyNumberFormat="1" applyFill="1" applyBorder="1"/>
    <xf numFmtId="0" fontId="8" fillId="0" borderId="0" xfId="0" applyFont="1" applyFill="1" applyAlignment="1">
      <alignment horizontal="center"/>
    </xf>
    <xf numFmtId="44" fontId="7" fillId="0" borderId="10" xfId="8" applyNumberFormat="1" applyFill="1" applyBorder="1"/>
    <xf numFmtId="171" fontId="0" fillId="0" borderId="9" xfId="2" applyNumberFormat="1" applyFont="1" applyFill="1" applyBorder="1"/>
    <xf numFmtId="0" fontId="50" fillId="0" borderId="0" xfId="0" quotePrefix="1" applyFont="1" applyFill="1"/>
    <xf numFmtId="165" fontId="7" fillId="0" borderId="9" xfId="8" applyNumberFormat="1" applyFill="1" applyBorder="1"/>
    <xf numFmtId="0" fontId="8" fillId="0" borderId="0" xfId="0" applyFont="1" applyFill="1" applyAlignment="1">
      <alignment horizontal="left" wrapText="1"/>
    </xf>
    <xf numFmtId="0" fontId="9" fillId="0" borderId="0" xfId="0" applyFont="1" applyAlignment="1">
      <alignment horizontal="center" wrapText="1"/>
    </xf>
    <xf numFmtId="0" fontId="8" fillId="0" borderId="0" xfId="0" applyFont="1" applyAlignment="1">
      <alignment horizontal="left" wrapText="1"/>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9" fillId="0" borderId="0" xfId="0" applyFont="1" applyFill="1" applyAlignment="1">
      <alignment horizontal="center" wrapText="1"/>
    </xf>
    <xf numFmtId="0" fontId="8" fillId="0" borderId="0" xfId="0" applyFont="1" applyFill="1" applyAlignment="1">
      <alignment horizontal="left"/>
    </xf>
    <xf numFmtId="0" fontId="50" fillId="0" borderId="0" xfId="0" quotePrefix="1" applyFont="1" applyFill="1" applyAlignment="1">
      <alignment vertical="top" wrapText="1"/>
    </xf>
    <xf numFmtId="0" fontId="0" fillId="0" borderId="0" xfId="0" applyFill="1" applyAlignment="1">
      <alignment vertical="top" wrapText="1"/>
    </xf>
    <xf numFmtId="0" fontId="0" fillId="0" borderId="0" xfId="0" applyFill="1" applyAlignment="1">
      <alignment wrapText="1"/>
    </xf>
    <xf numFmtId="0" fontId="8" fillId="38" borderId="19" xfId="0" applyFont="1" applyFill="1" applyBorder="1" applyAlignment="1">
      <alignment horizontal="center"/>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0" borderId="0" xfId="0" applyFont="1" applyFill="1" applyAlignment="1">
      <alignment horizontal="left" vertical="top"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0000FF"/>
      <color rgb="FFFFFF99"/>
      <color rgb="FF008000"/>
      <color rgb="FF9C6500"/>
      <color rgb="FFFFEB9C"/>
      <color rgb="FF6600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externalLink" Target="externalLinks/externalLink2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externalLink" Target="externalLinks/externalLink26.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4" Type="http://schemas.openxmlformats.org/officeDocument/2006/relationships/externalLink" Target="externalLinks/externalLink28.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externalLink" Target="externalLinks/externalLink27.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styles" Target="styles.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EMW%20MEEIA%20RIDER%20FORECAST%20PROGRAM%20COSTS-%2020260518.xlsx" TargetMode="External"/><Relationship Id="rId2" Type="http://schemas.microsoft.com/office/2019/04/relationships/externalLinkLongPath" Target="EMW%20MEEIA%20RIDER%20FORECAST%20PROGRAM%20COSTS-%2020260518.xlsx?F1A6FA1A" TargetMode="External"/><Relationship Id="rId1" Type="http://schemas.openxmlformats.org/officeDocument/2006/relationships/externalLinkPath" Target="file:///\\F1A6FA1A\EMW%20MEEIA%20RIDER%20FORECAST%20PROGRAM%20COSTS-%2020260518.xlsx"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022026%20C4PY2%20Spend%20(incl%20EO)%20Alloc%20Calc%2003102026%20FINAL.xlsb" TargetMode="External"/><Relationship Id="rId2" Type="http://schemas.microsoft.com/office/2019/04/relationships/externalLinkLongPath" Target="022026%20C4PY2%20Spend%20(incl%20EO)%20Alloc%20Calc%2003102026%20FINAL.xlsb?F1A6FA1A" TargetMode="External"/><Relationship Id="rId1" Type="http://schemas.openxmlformats.org/officeDocument/2006/relationships/externalLinkPath" Target="file:///\\F1A6FA1A\022026%20C4PY2%20Spend%20(incl%20EO)%20Alloc%20Calc%2003102026%20FINAL.xlsb" TargetMode="External"/></Relationships>
</file>

<file path=xl/externalLinks/_rels/externalLink11.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032026%20C4PY1%20Spend%20(incl%20EO)%20Alloc%20Calc%2004092026%20FINAL.xlsb" TargetMode="External"/><Relationship Id="rId2" Type="http://schemas.microsoft.com/office/2019/04/relationships/externalLinkLongPath" Target="032026%20C4PY1%20Spend%20(incl%20EO)%20Alloc%20Calc%2004092026%20FINAL.xlsb?F1A6FA1A" TargetMode="External"/><Relationship Id="rId1" Type="http://schemas.openxmlformats.org/officeDocument/2006/relationships/externalLinkPath" Target="file:///\\F1A6FA1A\032026%20C4PY1%20Spend%20(incl%20EO)%20Alloc%20Calc%2004092026%20FINAL.xlsb"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032026%20C4PY2%20Spend%20(incl%20EO)%20Alloc%20Calc%2004092026%20FINAL.xlsb" TargetMode="External"/><Relationship Id="rId2" Type="http://schemas.microsoft.com/office/2019/04/relationships/externalLinkLongPath" Target="032026%20C4PY2%20Spend%20(incl%20EO)%20Alloc%20Calc%2004092026%20FINAL.xlsb?F1A6FA1A" TargetMode="External"/><Relationship Id="rId1" Type="http://schemas.openxmlformats.org/officeDocument/2006/relationships/externalLinkPath" Target="file:///\\F1A6FA1A\032026%20C4PY2%20Spend%20(incl%20EO)%20Alloc%20Calc%2004092026%20FINAL.xlsb" TargetMode="External"/></Relationships>
</file>

<file path=xl/externalLinks/_rels/externalLink13.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042026%20C4PY1%20Spend%20(incl%20EO)%20Alloc%20Calc%2005082026%20FINAL.xlsb" TargetMode="External"/><Relationship Id="rId2" Type="http://schemas.microsoft.com/office/2019/04/relationships/externalLinkLongPath" Target="042026%20C4PY1%20Spend%20(incl%20EO)%20Alloc%20Calc%2005082026%20FINAL.xlsb?F1A6FA1A" TargetMode="External"/><Relationship Id="rId1" Type="http://schemas.openxmlformats.org/officeDocument/2006/relationships/externalLinkPath" Target="file:///\\F1A6FA1A\042026%20C4PY1%20Spend%20(incl%20EO)%20Alloc%20Calc%2005082026%20FINAL.xlsb" TargetMode="External"/></Relationships>
</file>

<file path=xl/externalLinks/_rels/externalLink14.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042026%20C4PY2%20Spend%20(incl%20EO)%20Alloc%20Calc%2005082026%20FINAL.xlsb" TargetMode="External"/><Relationship Id="rId2" Type="http://schemas.microsoft.com/office/2019/04/relationships/externalLinkLongPath" Target="042026%20C4PY2%20Spend%20(incl%20EO)%20Alloc%20Calc%2005082026%20FINAL.xlsb?F1A6FA1A" TargetMode="External"/><Relationship Id="rId1" Type="http://schemas.openxmlformats.org/officeDocument/2006/relationships/externalLinkPath" Target="file:///\\F1A6FA1A\042026%20C4PY2%20Spend%20(incl%20EO)%20Alloc%20Calc%2005082026%20FINAL.xlsb" TargetMode="External"/></Relationships>
</file>

<file path=xl/externalLinks/_rels/externalLink15.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Missouri%20West%20Cycle%203%20Monthly%20TD%20Calc%20032025%2004282025.xlsx" TargetMode="External"/><Relationship Id="rId2" Type="http://schemas.microsoft.com/office/2019/04/relationships/externalLinkLongPath" Target="Missouri%20West%20Cycle%203%20Monthly%20TD%20Calc%20032025%2004282025.xlsx?F1A6FA1A" TargetMode="External"/><Relationship Id="rId1" Type="http://schemas.openxmlformats.org/officeDocument/2006/relationships/externalLinkPath" Target="file:///\\F1A6FA1A\Missouri%20West%20Cycle%203%20Monthly%20TD%20Calc%20032025%2004282025.xlsx" TargetMode="External"/></Relationships>
</file>

<file path=xl/externalLinks/_rels/externalLink16.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Missouri%20West%20C4%20Monthly%20TD%20Calc%20incl%20forecast-%20042026%2005152026.xlsx" TargetMode="External"/><Relationship Id="rId2" Type="http://schemas.microsoft.com/office/2019/04/relationships/externalLinkLongPath" Target="Missouri%20West%20C4%20Monthly%20TD%20Calc%20incl%20forecast-%20042026%2005152026.xlsx?F1A6FA1A" TargetMode="External"/><Relationship Id="rId1" Type="http://schemas.openxmlformats.org/officeDocument/2006/relationships/externalLinkPath" Target="file:///\\F1A6FA1A\Missouri%20West%20C4%20Monthly%20TD%20Calc%20incl%20forecast-%20042026%2005152026.xlsx" TargetMode="External"/></Relationships>
</file>

<file path=xl/externalLinks/_rels/externalLink17.xml.rels><?xml version="1.0" encoding="UTF-8" standalone="yes"?>
<Relationships xmlns="http://schemas.openxmlformats.org/package/2006/relationships"><Relationship Id="rId2" Type="http://schemas.microsoft.com/office/2019/04/relationships/externalLinkLongPath" Target="Missouri%20West%20EO%20Calculated%20Cycle%203%20PY1.xlsx?F1A6FA1A" TargetMode="External"/><Relationship Id="rId1" Type="http://schemas.openxmlformats.org/officeDocument/2006/relationships/externalLinkPath" Target="file:///\\F1A6FA1A\Missouri%20West%20EO%20Calculated%20Cycle%203%20PY1.xlsx" TargetMode="External"/></Relationships>
</file>

<file path=xl/externalLinks/_rels/externalLink18.xml.rels><?xml version="1.0" encoding="UTF-8" standalone="yes"?>
<Relationships xmlns="http://schemas.openxmlformats.org/package/2006/relationships"><Relationship Id="rId2" Type="http://schemas.microsoft.com/office/2019/04/relationships/externalLinkLongPath" Target="Missouri%20West%20Cycle%203%20PY1%20EO%20TD%20Adj%20Calc.xlsx?F1A6FA1A" TargetMode="External"/><Relationship Id="rId1" Type="http://schemas.openxmlformats.org/officeDocument/2006/relationships/externalLinkPath" Target="file:///\\F1A6FA1A\Missouri%20West%20Cycle%203%20PY1%20EO%20TD%20Adj%20Calc.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Missouri%20West%20EO%20Calculated%20Cycle%203%20PY2.xlsx?F1A6FA1A" TargetMode="External"/><Relationship Id="rId1" Type="http://schemas.openxmlformats.org/officeDocument/2006/relationships/externalLinkPath" Target="file:///\\F1A6FA1A\Missouri%20West%20EO%20Calculated%20Cycle%203%20PY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12%202025%20MO%20West%20C3%20Spend%20Allocations%20Worksheet%20FINAL.xlsx" TargetMode="External"/><Relationship Id="rId2" Type="http://schemas.microsoft.com/office/2019/04/relationships/externalLinkLongPath" Target="12%202025%20MO%20West%20C3%20Spend%20Allocations%20Worksheet%20FINAL.xlsx?F1A6FA1A" TargetMode="External"/><Relationship Id="rId1" Type="http://schemas.openxmlformats.org/officeDocument/2006/relationships/externalLinkPath" Target="file:///\\F1A6FA1A\12%202025%20MO%20West%20C3%20Spend%20Allocations%20Worksheet%20FINAL.xlsx"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Missouri%20West%20Cycle%203%20PY2%20EO%20TD%20Adj%20Calc.xlsx?F1A6FA1A" TargetMode="External"/><Relationship Id="rId1" Type="http://schemas.openxmlformats.org/officeDocument/2006/relationships/externalLinkPath" Target="file:///\\F1A6FA1A\Missouri%20West%20Cycle%203%20PY2%20EO%20TD%20Adj%20Calc.xlsx" TargetMode="External"/></Relationships>
</file>

<file path=xl/externalLinks/_rels/externalLink21.xml.rels><?xml version="1.0" encoding="UTF-8" standalone="yes"?>
<Relationships xmlns="http://schemas.openxmlformats.org/package/2006/relationships"><Relationship Id="rId2" Type="http://schemas.microsoft.com/office/2019/04/relationships/externalLinkLongPath" Target="Missouri%20West%20EO%20Calculated%20Cycle%203%20PY3.xlsx?F1A6FA1A" TargetMode="External"/><Relationship Id="rId1" Type="http://schemas.openxmlformats.org/officeDocument/2006/relationships/externalLinkPath" Target="file:///\\F1A6FA1A\Missouri%20West%20EO%20Calculated%20Cycle%203%20PY3.xlsx" TargetMode="External"/></Relationships>
</file>

<file path=xl/externalLinks/_rels/externalLink22.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0601%20Filing/Missouri%20West%20Cycle%203%20PY3%20EO%20TD%20Adj%20Calc%202025%2020250528.xlsx" TargetMode="External"/><Relationship Id="rId2" Type="http://schemas.microsoft.com/office/2019/04/relationships/externalLinkLongPath" Target="Missouri%20West%20Cycle%203%20PY3%20EO%20TD%20Adj%20Calc%202025%2020250528.xlsx?F1A6FA1A" TargetMode="External"/><Relationship Id="rId1" Type="http://schemas.openxmlformats.org/officeDocument/2006/relationships/externalLinkPath" Target="file:///\\F1A6FA1A\Missouri%20West%20Cycle%203%20PY3%20EO%20TD%20Adj%20Calc%202025%2020250528.xlsx" TargetMode="External"/></Relationships>
</file>

<file path=xl/externalLinks/_rels/externalLink23.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1201%20Filing/Missouri%20West%20EO%20Calculated%20Cycle%203%20PY4.xlsb" TargetMode="External"/><Relationship Id="rId2" Type="http://schemas.microsoft.com/office/2019/04/relationships/externalLinkLongPath" Target="Missouri%20West%20EO%20Calculated%20Cycle%203%20PY4.xlsb?F1A6FA1A" TargetMode="External"/><Relationship Id="rId1" Type="http://schemas.openxmlformats.org/officeDocument/2006/relationships/externalLinkPath" Target="file:///\\F1A6FA1A\Missouri%20West%20EO%20Calculated%20Cycle%203%20PY4.xlsb" TargetMode="External"/></Relationships>
</file>

<file path=xl/externalLinks/_rels/externalLink24.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Missouri%20West%20EO%20Calculated%20Cycle%203%20PY5.xlsb" TargetMode="External"/><Relationship Id="rId2" Type="http://schemas.microsoft.com/office/2019/04/relationships/externalLinkLongPath" Target="Missouri%20West%20EO%20Calculated%20Cycle%203%20PY5.xlsb?F1A6FA1A" TargetMode="External"/><Relationship Id="rId1" Type="http://schemas.openxmlformats.org/officeDocument/2006/relationships/externalLinkPath" Target="file:///\\F1A6FA1A\Missouri%20West%20EO%20Calculated%20Cycle%203%20PY5.xlsb" TargetMode="External"/></Relationships>
</file>

<file path=xl/externalLinks/_rels/externalLink25.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1201%20Filing/CONF_West%20EO%20PY5%202024%2010062025.xlsb" TargetMode="External"/><Relationship Id="rId2" Type="http://schemas.microsoft.com/office/2019/04/relationships/externalLinkLongPath" Target="CONF_West%20EO%20PY5%202024%2010062025.xlsb?F1A6FA1A" TargetMode="External"/><Relationship Id="rId1" Type="http://schemas.openxmlformats.org/officeDocument/2006/relationships/externalLinkPath" Target="file:///\\F1A6FA1A\CONF_West%20EO%20PY5%202024%2010062025.xlsb"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https://gppower.sharepoint.com/sites/FinAcct/Shared%20Documents/NetworkDrives/Old%20Genactg%20shared/Migrated%20CorpAcctg/Energy%20Efficiency/MEEIA/Missouri%20West%20MEEIA%20DSIM%20Rider/20260601%20Filing/CONF_EO%20PY5%202024%2001072026.xlsb" TargetMode="External"/><Relationship Id="rId1" Type="http://schemas.openxmlformats.org/officeDocument/2006/relationships/externalLinkPath" Target="CONF_EO%20PY5%202024%2001072026.xlsb" TargetMode="External"/></Relationships>
</file>

<file path=xl/externalLinks/_rels/externalLink27.xml.rels><?xml version="1.0" encoding="UTF-8" standalone="yes"?>
<Relationships xmlns="http://schemas.openxmlformats.org/package/2006/relationships"><Relationship Id="rId2" Type="http://schemas.microsoft.com/office/2019/04/relationships/externalLinkLongPath" Target="OA%20plus%20Int%20calc-%20Q0003_%20Program%20Costs%20042023-032025%20combined%20MO%20jurisdictionsv2.xlsb?F1A6FA1A" TargetMode="External"/><Relationship Id="rId1" Type="http://schemas.openxmlformats.org/officeDocument/2006/relationships/externalLinkPath" Target="file:///\\F1A6FA1A\OA%20plus%20Int%20calc-%20Q0003_%20Program%20Costs%20042023-032025%20combined%20MO%20jurisdictionsv2.xlsb" TargetMode="External"/></Relationships>
</file>

<file path=xl/externalLinks/_rels/externalLink28.xml.rels><?xml version="1.0" encoding="UTF-8" standalone="yes"?>
<Relationships xmlns="http://schemas.openxmlformats.org/package/2006/relationships"><Relationship Id="rId2" Type="http://schemas.microsoft.com/office/2019/04/relationships/externalLinkLongPath" Target="Billed%20kWh%20Budget%202025+-%20EMW%2020260601.xlsx?F1A6FA1A" TargetMode="External"/><Relationship Id="rId1" Type="http://schemas.openxmlformats.org/officeDocument/2006/relationships/externalLinkPath" Target="file:///\\F1A6FA1A\Billed%20kWh%20Budget%202025+-%20EMW%2020260601.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Missouri%20West%20MEEIA%202026%20Revenue%20Analysis%20Nov25-Apr26.xlsx" TargetMode="External"/><Relationship Id="rId2" Type="http://schemas.microsoft.com/office/2019/04/relationships/externalLinkLongPath" Target="Missouri%20West%20MEEIA%202026%20Revenue%20Analysis%20Nov25-Apr26.xlsx?F1A6FA1A" TargetMode="External"/><Relationship Id="rId1" Type="http://schemas.openxmlformats.org/officeDocument/2006/relationships/externalLinkPath" Target="file:///\\F1A6FA1A\Missouri%20West%20MEEIA%202026%20Revenue%20Analysis%20Nov25-Apr26.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EMW%202026%20ST%20Int%20Rate%20Schedules%20Nov25-Apr26.xlsx" TargetMode="External"/><Relationship Id="rId2" Type="http://schemas.microsoft.com/office/2019/04/relationships/externalLinkLongPath" Target="EMW%202026%20ST%20Int%20Rate%20Schedules%20Nov25-Apr26.xlsx?F1A6FA1A" TargetMode="External"/><Relationship Id="rId1" Type="http://schemas.openxmlformats.org/officeDocument/2006/relationships/externalLinkPath" Target="file:///\\F1A6FA1A\EMW%202026%20ST%20Int%20Rate%20Schedules%20Nov25-Apr26.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112025%20C4%20Spend%20(incl%20EO)%20Alloc%20Calc%20FINAL%2012082025.xlsb" TargetMode="External"/><Relationship Id="rId2" Type="http://schemas.microsoft.com/office/2019/04/relationships/externalLinkLongPath" Target="112025%20C4%20Spend%20(incl%20EO)%20Alloc%20Calc%20FINAL%2012082025.xlsb?F1A6FA1A" TargetMode="External"/><Relationship Id="rId1" Type="http://schemas.openxmlformats.org/officeDocument/2006/relationships/externalLinkPath" Target="file:///\\F1A6FA1A\112025%20C4%20Spend%20(incl%20EO)%20Alloc%20Calc%20FINAL%2012082025.xlsb"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122025%20C4%20Spend%20(incl%20EO)%20Alloc%20Calc%20FINAL%2001092026.xlsb" TargetMode="External"/><Relationship Id="rId2" Type="http://schemas.microsoft.com/office/2019/04/relationships/externalLinkLongPath" Target="122025%20C4%20Spend%20(incl%20EO)%20Alloc%20Calc%20FINAL%2001092026.xlsb?F1A6FA1A" TargetMode="External"/><Relationship Id="rId1" Type="http://schemas.openxmlformats.org/officeDocument/2006/relationships/externalLinkPath" Target="file:///\\F1A6FA1A\122025%20C4%20Spend%20(incl%20EO)%20Alloc%20Calc%20FINAL%2001092026.xlsb"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012026%20C4PY1%20Spend%20(incl%20EO)%20Alloc%20Calc%20FINAL%2002092026.xlsb" TargetMode="External"/><Relationship Id="rId2" Type="http://schemas.microsoft.com/office/2019/04/relationships/externalLinkLongPath" Target="012026%20C4PY1%20Spend%20(incl%20EO)%20Alloc%20Calc%20FINAL%2002092026.xlsb?F1A6FA1A" TargetMode="External"/><Relationship Id="rId1" Type="http://schemas.openxmlformats.org/officeDocument/2006/relationships/externalLinkPath" Target="file:///\\F1A6FA1A\012026%20C4PY1%20Spend%20(incl%20EO)%20Alloc%20Calc%20FINAL%2002092026.xlsb"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012026%20C4PY2%20Spend%20(incl%20EO)%20Alloc%20Calc%20FINAL%2002092026.xlsb" TargetMode="External"/><Relationship Id="rId2" Type="http://schemas.microsoft.com/office/2019/04/relationships/externalLinkLongPath" Target="012026%20C4PY2%20Spend%20(incl%20EO)%20Alloc%20Calc%20FINAL%2002092026.xlsb?F1A6FA1A" TargetMode="External"/><Relationship Id="rId1" Type="http://schemas.openxmlformats.org/officeDocument/2006/relationships/externalLinkPath" Target="file:///\\F1A6FA1A\012026%20C4PY2%20Spend%20(incl%20EO)%20Alloc%20Calc%20FINAL%2002092026.xlsb"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60601%20Filing/022026%20C4PY1%20Spend%20(incl%20EO)%20Alloc%20Calc%2003102026%20FINAL.xlsb" TargetMode="External"/><Relationship Id="rId2" Type="http://schemas.microsoft.com/office/2019/04/relationships/externalLinkLongPath" Target="022026%20C4PY1%20Spend%20(incl%20EO)%20Alloc%20Calc%2003102026%20FINAL.xlsb?F1A6FA1A" TargetMode="External"/><Relationship Id="rId1" Type="http://schemas.openxmlformats.org/officeDocument/2006/relationships/externalLinkPath" Target="file:///\\F1A6FA1A\022026%20C4PY1%20Spend%20(incl%20EO)%20Alloc%20Calc%2003102026%20FINA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MO CONTRACT_DETAIL IMPORT"/>
    </sheetNames>
    <sheetDataSet>
      <sheetData sheetId="0">
        <row r="211">
          <cell r="W211">
            <v>414470.24</v>
          </cell>
          <cell r="X211">
            <v>411680.07</v>
          </cell>
          <cell r="AZ211">
            <v>2316084.4500000002</v>
          </cell>
          <cell r="BA211">
            <v>1454901.2</v>
          </cell>
        </row>
        <row r="212">
          <cell r="W212">
            <v>151238.38</v>
          </cell>
          <cell r="X212">
            <v>413502.62</v>
          </cell>
          <cell r="AZ212">
            <v>1592694.02</v>
          </cell>
          <cell r="BA212">
            <v>378901.58</v>
          </cell>
        </row>
        <row r="214">
          <cell r="W214">
            <v>141336.13</v>
          </cell>
          <cell r="X214">
            <v>693722.3899999999</v>
          </cell>
          <cell r="AZ214">
            <v>2421966.1</v>
          </cell>
          <cell r="BA214">
            <v>715355.96</v>
          </cell>
        </row>
        <row r="215">
          <cell r="W215">
            <v>118699.9</v>
          </cell>
          <cell r="X215">
            <v>899119.31</v>
          </cell>
          <cell r="AZ215">
            <v>2995596.7</v>
          </cell>
          <cell r="BA215">
            <v>972874.58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OWest"/>
      <sheetName val="Pivot - SI Project MOWest"/>
      <sheetName val="SI0000 Alloc"/>
      <sheetName val="SI Project Data"/>
      <sheetName val="Spending-Alloc Rates"/>
    </sheetNames>
    <sheetDataSet>
      <sheetData sheetId="0"/>
      <sheetData sheetId="1">
        <row r="56">
          <cell r="N56">
            <v>-87557.46</v>
          </cell>
          <cell r="O56">
            <v>98494.86</v>
          </cell>
          <cell r="Q56">
            <v>244432.5</v>
          </cell>
          <cell r="R56">
            <v>183889.93</v>
          </cell>
        </row>
      </sheetData>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OWest"/>
      <sheetName val="Pivot - SI Project MOWest"/>
      <sheetName val="SI0000 Alloc"/>
      <sheetName val="SI Project Data"/>
      <sheetName val="Spending-Alloc Rates"/>
      <sheetName val="Historical Cost by YTD Mth ck"/>
      <sheetName val="Historical Cost by Qtr-PY"/>
      <sheetName val="Historical Cost by Qtr-CalYr"/>
      <sheetName val="Historical Mthly Cost Alloc"/>
      <sheetName val="Spend EO- Metro"/>
      <sheetName val="Pivot - SI Project Metro"/>
    </sheetNames>
    <sheetDataSet>
      <sheetData sheetId="0"/>
      <sheetData sheetId="1">
        <row r="56">
          <cell r="N56">
            <v>1052.23</v>
          </cell>
          <cell r="O56">
            <v>343.55</v>
          </cell>
          <cell r="Q56">
            <v>578.64</v>
          </cell>
          <cell r="R56">
            <v>580.33000000000004</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OWest"/>
      <sheetName val="Pivot - SI Project MOWest"/>
      <sheetName val="SI0000 Alloc"/>
      <sheetName val="SI Project Data"/>
      <sheetName val="Spending-Alloc Rates"/>
      <sheetName val="Historical Cost by YTD Mth ck"/>
      <sheetName val="Historical Cost by Qtr-PY"/>
      <sheetName val="Historical Cost by Qtr-CalYr"/>
      <sheetName val="Historical Mthly Cost Alloc"/>
      <sheetName val="Spend EO- Metro"/>
      <sheetName val="Pivot - SI Project Metro"/>
    </sheetNames>
    <sheetDataSet>
      <sheetData sheetId="0"/>
      <sheetData sheetId="1">
        <row r="56">
          <cell r="N56">
            <v>391760.1</v>
          </cell>
          <cell r="O56">
            <v>35527.699999999997</v>
          </cell>
          <cell r="Q56">
            <v>-143785.99</v>
          </cell>
          <cell r="R56">
            <v>-57729.42</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OWest"/>
      <sheetName val="Pivot - SI Project MOWest"/>
      <sheetName val="SI0000 Alloc"/>
      <sheetName val="SI Project Data"/>
      <sheetName val="Spending-Alloc Rates"/>
    </sheetNames>
    <sheetDataSet>
      <sheetData sheetId="0">
        <row r="13">
          <cell r="O13">
            <v>87166.040000000008</v>
          </cell>
          <cell r="P13">
            <v>71719.09</v>
          </cell>
          <cell r="R13">
            <v>73340.039999999994</v>
          </cell>
          <cell r="S13">
            <v>23401.09</v>
          </cell>
        </row>
      </sheetData>
      <sheetData sheetId="1">
        <row r="56">
          <cell r="N56">
            <v>1944.32</v>
          </cell>
          <cell r="O56">
            <v>590.75</v>
          </cell>
          <cell r="Q56">
            <v>1006.51</v>
          </cell>
          <cell r="R56">
            <v>1047.49</v>
          </cell>
        </row>
      </sheetData>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OWest"/>
      <sheetName val="Pivot - SI Project MOWest"/>
      <sheetName val="SI0000 Alloc"/>
      <sheetName val="SI Project Data"/>
      <sheetName val="Spending-Alloc Rates"/>
    </sheetNames>
    <sheetDataSet>
      <sheetData sheetId="0"/>
      <sheetData sheetId="1">
        <row r="56">
          <cell r="N56">
            <v>470669.1</v>
          </cell>
          <cell r="O56">
            <v>89864.14</v>
          </cell>
          <cell r="Q56">
            <v>145719.13</v>
          </cell>
          <cell r="R56">
            <v>94652.77</v>
          </cell>
        </row>
      </sheetData>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Program Descriptions"/>
      <sheetName val="Monthly TD Calc-PY1-3"/>
      <sheetName val="Monthly TD Calc-PY4"/>
      <sheetName val="Monthly TD Calc-PY5"/>
      <sheetName val="Summary Monthly TD Calc"/>
    </sheetNames>
    <sheetDataSet>
      <sheetData sheetId="0"/>
      <sheetData sheetId="1"/>
      <sheetData sheetId="2">
        <row r="461">
          <cell r="BW461">
            <v>0</v>
          </cell>
          <cell r="BX461">
            <v>0</v>
          </cell>
          <cell r="BY461">
            <v>0</v>
          </cell>
          <cell r="BZ461">
            <v>0</v>
          </cell>
          <cell r="CA461">
            <v>0</v>
          </cell>
          <cell r="CB461">
            <v>0</v>
          </cell>
          <cell r="CC461">
            <v>0</v>
          </cell>
          <cell r="CD461">
            <v>0</v>
          </cell>
        </row>
        <row r="462">
          <cell r="BW462">
            <v>0</v>
          </cell>
          <cell r="BX462">
            <v>0</v>
          </cell>
          <cell r="BY462">
            <v>0</v>
          </cell>
          <cell r="BZ462">
            <v>0</v>
          </cell>
          <cell r="CA462">
            <v>0</v>
          </cell>
          <cell r="CB462">
            <v>0</v>
          </cell>
          <cell r="CC462">
            <v>0</v>
          </cell>
          <cell r="CD462">
            <v>0</v>
          </cell>
        </row>
        <row r="464">
          <cell r="BW464">
            <v>0</v>
          </cell>
          <cell r="BX464">
            <v>0</v>
          </cell>
          <cell r="BY464">
            <v>0</v>
          </cell>
          <cell r="BZ464">
            <v>0</v>
          </cell>
          <cell r="CA464">
            <v>0</v>
          </cell>
          <cell r="CB464">
            <v>0</v>
          </cell>
          <cell r="CC464">
            <v>0</v>
          </cell>
          <cell r="CD464">
            <v>0</v>
          </cell>
        </row>
        <row r="465">
          <cell r="BW465">
            <v>0</v>
          </cell>
          <cell r="BX465">
            <v>0</v>
          </cell>
          <cell r="BY465">
            <v>0</v>
          </cell>
          <cell r="BZ465">
            <v>0</v>
          </cell>
          <cell r="CA465">
            <v>0</v>
          </cell>
          <cell r="CB465">
            <v>0</v>
          </cell>
          <cell r="CC465">
            <v>0</v>
          </cell>
          <cell r="CD465">
            <v>0</v>
          </cell>
        </row>
        <row r="563">
          <cell r="BW563">
            <v>0</v>
          </cell>
          <cell r="BX563">
            <v>0</v>
          </cell>
          <cell r="BY563">
            <v>0</v>
          </cell>
          <cell r="BZ563">
            <v>0</v>
          </cell>
          <cell r="CA563">
            <v>0</v>
          </cell>
          <cell r="CB563">
            <v>0</v>
          </cell>
          <cell r="CC563">
            <v>0</v>
          </cell>
          <cell r="CD563">
            <v>0</v>
          </cell>
        </row>
        <row r="564">
          <cell r="BW564">
            <v>0</v>
          </cell>
          <cell r="BX564">
            <v>0</v>
          </cell>
          <cell r="BY564">
            <v>0</v>
          </cell>
          <cell r="BZ564">
            <v>0</v>
          </cell>
          <cell r="CA564">
            <v>0</v>
          </cell>
          <cell r="CB564">
            <v>0</v>
          </cell>
          <cell r="CC564">
            <v>0</v>
          </cell>
          <cell r="CD564">
            <v>0</v>
          </cell>
        </row>
        <row r="566">
          <cell r="BW566">
            <v>0</v>
          </cell>
          <cell r="BX566">
            <v>0</v>
          </cell>
          <cell r="BY566">
            <v>0</v>
          </cell>
          <cell r="BZ566">
            <v>0</v>
          </cell>
          <cell r="CA566">
            <v>0</v>
          </cell>
          <cell r="CB566">
            <v>0</v>
          </cell>
          <cell r="CC566">
            <v>0</v>
          </cell>
          <cell r="CD566">
            <v>0</v>
          </cell>
        </row>
        <row r="567">
          <cell r="BW567">
            <v>0</v>
          </cell>
          <cell r="BX567">
            <v>0</v>
          </cell>
          <cell r="BY567">
            <v>0</v>
          </cell>
          <cell r="BZ567">
            <v>0</v>
          </cell>
          <cell r="CA567">
            <v>0</v>
          </cell>
          <cell r="CB567">
            <v>0</v>
          </cell>
          <cell r="CC567">
            <v>0</v>
          </cell>
          <cell r="CD567">
            <v>0</v>
          </cell>
        </row>
      </sheetData>
      <sheetData sheetId="3">
        <row r="469">
          <cell r="BW469">
            <v>0</v>
          </cell>
          <cell r="BX469">
            <v>0</v>
          </cell>
          <cell r="BY469">
            <v>0</v>
          </cell>
          <cell r="BZ469">
            <v>0</v>
          </cell>
          <cell r="CA469">
            <v>0</v>
          </cell>
          <cell r="CB469">
            <v>0</v>
          </cell>
          <cell r="CC469">
            <v>0</v>
          </cell>
          <cell r="CD469">
            <v>0</v>
          </cell>
        </row>
        <row r="470">
          <cell r="BW470">
            <v>0</v>
          </cell>
          <cell r="BX470">
            <v>0</v>
          </cell>
          <cell r="BY470">
            <v>0</v>
          </cell>
          <cell r="BZ470">
            <v>0</v>
          </cell>
          <cell r="CA470">
            <v>0</v>
          </cell>
          <cell r="CB470">
            <v>0</v>
          </cell>
          <cell r="CC470">
            <v>0</v>
          </cell>
          <cell r="CD470">
            <v>0</v>
          </cell>
        </row>
        <row r="472">
          <cell r="BW472">
            <v>0</v>
          </cell>
          <cell r="BX472">
            <v>0</v>
          </cell>
          <cell r="BY472">
            <v>0</v>
          </cell>
          <cell r="BZ472">
            <v>0</v>
          </cell>
          <cell r="CA472">
            <v>0</v>
          </cell>
          <cell r="CB472">
            <v>0</v>
          </cell>
          <cell r="CC472">
            <v>0</v>
          </cell>
          <cell r="CD472">
            <v>0</v>
          </cell>
        </row>
        <row r="473">
          <cell r="BW473">
            <v>0</v>
          </cell>
          <cell r="BX473">
            <v>0</v>
          </cell>
          <cell r="BY473">
            <v>0</v>
          </cell>
          <cell r="BZ473">
            <v>0</v>
          </cell>
          <cell r="CA473">
            <v>0</v>
          </cell>
          <cell r="CB473">
            <v>0</v>
          </cell>
          <cell r="CC473">
            <v>0</v>
          </cell>
          <cell r="CD473">
            <v>0</v>
          </cell>
        </row>
        <row r="575">
          <cell r="BW575">
            <v>0</v>
          </cell>
          <cell r="BX575">
            <v>0</v>
          </cell>
          <cell r="BY575">
            <v>0</v>
          </cell>
          <cell r="BZ575">
            <v>0</v>
          </cell>
          <cell r="CA575">
            <v>0</v>
          </cell>
          <cell r="CB575">
            <v>0</v>
          </cell>
          <cell r="CC575">
            <v>0</v>
          </cell>
          <cell r="CD575">
            <v>0</v>
          </cell>
        </row>
        <row r="576">
          <cell r="BW576">
            <v>0</v>
          </cell>
          <cell r="BX576">
            <v>0</v>
          </cell>
          <cell r="BY576">
            <v>0</v>
          </cell>
          <cell r="BZ576">
            <v>0</v>
          </cell>
          <cell r="CA576">
            <v>0</v>
          </cell>
          <cell r="CB576">
            <v>0</v>
          </cell>
          <cell r="CC576">
            <v>0</v>
          </cell>
          <cell r="CD576">
            <v>0</v>
          </cell>
        </row>
        <row r="578">
          <cell r="BW578">
            <v>0</v>
          </cell>
          <cell r="BX578">
            <v>0</v>
          </cell>
          <cell r="BY578">
            <v>0</v>
          </cell>
          <cell r="BZ578">
            <v>0</v>
          </cell>
          <cell r="CA578">
            <v>0</v>
          </cell>
          <cell r="CB578">
            <v>0</v>
          </cell>
          <cell r="CC578">
            <v>0</v>
          </cell>
          <cell r="CD578">
            <v>0</v>
          </cell>
        </row>
        <row r="579">
          <cell r="BW579">
            <v>0</v>
          </cell>
          <cell r="BX579">
            <v>0</v>
          </cell>
          <cell r="BY579">
            <v>0</v>
          </cell>
          <cell r="BZ579">
            <v>0</v>
          </cell>
          <cell r="CA579">
            <v>0</v>
          </cell>
          <cell r="CB579">
            <v>0</v>
          </cell>
          <cell r="CC579">
            <v>0</v>
          </cell>
          <cell r="CD579">
            <v>0</v>
          </cell>
        </row>
      </sheetData>
      <sheetData sheetId="4">
        <row r="577">
          <cell r="BW577">
            <v>514469.69248379796</v>
          </cell>
          <cell r="BX577">
            <v>557966.03421994462</v>
          </cell>
          <cell r="BY577">
            <v>561911.46364113956</v>
          </cell>
          <cell r="BZ577">
            <v>504580.87245460798</v>
          </cell>
          <cell r="CA577">
            <v>544606.19895476592</v>
          </cell>
          <cell r="CB577">
            <v>519975.37585522007</v>
          </cell>
          <cell r="CC577">
            <v>569448.59727654757</v>
          </cell>
          <cell r="CD577">
            <v>671243.4594059753</v>
          </cell>
        </row>
        <row r="578">
          <cell r="BW578">
            <v>789441.93028546812</v>
          </cell>
          <cell r="BX578">
            <v>791832.81474329787</v>
          </cell>
          <cell r="BY578">
            <v>830454.50546697376</v>
          </cell>
          <cell r="BZ578">
            <v>750771.15273600724</v>
          </cell>
          <cell r="CA578">
            <v>831923.5366674019</v>
          </cell>
          <cell r="CB578">
            <v>794156.35140484432</v>
          </cell>
          <cell r="CC578">
            <v>832798.32883624791</v>
          </cell>
          <cell r="CD578">
            <v>799483.49167752918</v>
          </cell>
        </row>
        <row r="580">
          <cell r="BW580">
            <v>678127.97035735392</v>
          </cell>
          <cell r="BX580">
            <v>680065.87843559938</v>
          </cell>
          <cell r="BY580">
            <v>712770.00450926623</v>
          </cell>
          <cell r="BZ580">
            <v>644320.21219431201</v>
          </cell>
          <cell r="CA580">
            <v>713996.55501918739</v>
          </cell>
          <cell r="CB580">
            <v>681946.96936054493</v>
          </cell>
          <cell r="CC580">
            <v>714787.91942515655</v>
          </cell>
          <cell r="CD580">
            <v>686609.14609806472</v>
          </cell>
        </row>
        <row r="581">
          <cell r="BW581">
            <v>428819.4220627693</v>
          </cell>
          <cell r="BX581">
            <v>430049.54404003924</v>
          </cell>
          <cell r="BY581">
            <v>451336.11787093006</v>
          </cell>
          <cell r="BZ581">
            <v>408047.18300182046</v>
          </cell>
          <cell r="CA581">
            <v>452304.31808731862</v>
          </cell>
          <cell r="CB581">
            <v>431511.09568299807</v>
          </cell>
          <cell r="CC581">
            <v>452764.4758587571</v>
          </cell>
          <cell r="CD581">
            <v>434763.5627336739</v>
          </cell>
        </row>
        <row r="711">
          <cell r="BW711">
            <v>14403.89</v>
          </cell>
          <cell r="BX711">
            <v>14176.76</v>
          </cell>
          <cell r="BY711">
            <v>12816.14</v>
          </cell>
          <cell r="BZ711">
            <v>11764.97</v>
          </cell>
          <cell r="CA711">
            <v>13858.83</v>
          </cell>
          <cell r="CB711">
            <v>13806.930000000002</v>
          </cell>
          <cell r="CC711">
            <v>15418.099999999999</v>
          </cell>
          <cell r="CD711">
            <v>31957.970000000005</v>
          </cell>
        </row>
        <row r="712">
          <cell r="BW712">
            <v>28183.410000000003</v>
          </cell>
          <cell r="BX712">
            <v>28035.98</v>
          </cell>
          <cell r="BY712">
            <v>29239.369999999995</v>
          </cell>
          <cell r="BZ712">
            <v>26590.2</v>
          </cell>
          <cell r="CA712">
            <v>29563.15</v>
          </cell>
          <cell r="CB712">
            <v>28425.32</v>
          </cell>
          <cell r="CC712">
            <v>29883.5</v>
          </cell>
          <cell r="CD712">
            <v>46411.420000000006</v>
          </cell>
        </row>
        <row r="714">
          <cell r="BW714">
            <v>18182.070000000003</v>
          </cell>
          <cell r="BX714">
            <v>17464.96</v>
          </cell>
          <cell r="BY714">
            <v>19315.809999999998</v>
          </cell>
          <cell r="BZ714">
            <v>16975.469999999998</v>
          </cell>
          <cell r="CA714">
            <v>19095.16</v>
          </cell>
          <cell r="CB714">
            <v>18781.13</v>
          </cell>
          <cell r="CC714">
            <v>19828.979999999996</v>
          </cell>
          <cell r="CD714">
            <v>25632.629999999997</v>
          </cell>
        </row>
        <row r="715">
          <cell r="BW715">
            <v>4209.0200000000004</v>
          </cell>
          <cell r="BX715">
            <v>4038.1299999999992</v>
          </cell>
          <cell r="BY715">
            <v>4080.4500000000003</v>
          </cell>
          <cell r="BZ715">
            <v>3915.6600000000003</v>
          </cell>
          <cell r="CA715">
            <v>4397.9599999999991</v>
          </cell>
          <cell r="CB715">
            <v>4315.28</v>
          </cell>
          <cell r="CC715">
            <v>4481.8</v>
          </cell>
          <cell r="CD715">
            <v>6602.84</v>
          </cell>
        </row>
      </sheetData>
      <sheetData sheetId="5">
        <row r="3">
          <cell r="AT3">
            <v>41228.879999999997</v>
          </cell>
          <cell r="AU3">
            <v>38549.210000000006</v>
          </cell>
          <cell r="AV3">
            <v>27440.659999999996</v>
          </cell>
          <cell r="AW3">
            <v>14378.250000000002</v>
          </cell>
          <cell r="AX3">
            <v>14403.89</v>
          </cell>
          <cell r="AY3">
            <v>14176.76</v>
          </cell>
          <cell r="AZ3">
            <v>12816.14</v>
          </cell>
          <cell r="BA3">
            <v>11764.97</v>
          </cell>
          <cell r="BB3">
            <v>13858.83</v>
          </cell>
          <cell r="BC3">
            <v>13806.930000000002</v>
          </cell>
          <cell r="BD3">
            <v>15413.89</v>
          </cell>
          <cell r="BE3">
            <v>31950.520000000004</v>
          </cell>
        </row>
        <row r="4">
          <cell r="AT4">
            <v>47696.689999999995</v>
          </cell>
          <cell r="AU4">
            <v>48815.94000000001</v>
          </cell>
          <cell r="AV4">
            <v>45396.47</v>
          </cell>
          <cell r="AW4">
            <v>29738.389999999996</v>
          </cell>
          <cell r="AX4">
            <v>28183.410000000003</v>
          </cell>
          <cell r="AY4">
            <v>28035.98</v>
          </cell>
          <cell r="AZ4">
            <v>29239.369999999995</v>
          </cell>
          <cell r="BA4">
            <v>26590.2</v>
          </cell>
          <cell r="BB4">
            <v>29563.15</v>
          </cell>
          <cell r="BC4">
            <v>28425.32</v>
          </cell>
          <cell r="BD4">
            <v>29883.5</v>
          </cell>
          <cell r="BE4">
            <v>46411.420000000006</v>
          </cell>
        </row>
        <row r="6">
          <cell r="AT6">
            <v>26243.29</v>
          </cell>
          <cell r="AU6">
            <v>26853.790000000005</v>
          </cell>
          <cell r="AV6">
            <v>25230.44</v>
          </cell>
          <cell r="AW6">
            <v>19403.54</v>
          </cell>
          <cell r="AX6">
            <v>18182.070000000003</v>
          </cell>
          <cell r="AY6">
            <v>17464.96</v>
          </cell>
          <cell r="AZ6">
            <v>19315.809999999998</v>
          </cell>
          <cell r="BA6">
            <v>16975.469999999998</v>
          </cell>
          <cell r="BB6">
            <v>19095.16</v>
          </cell>
          <cell r="BC6">
            <v>18781.13</v>
          </cell>
          <cell r="BD6">
            <v>19828.979999999996</v>
          </cell>
          <cell r="BE6">
            <v>25632.629999999997</v>
          </cell>
        </row>
        <row r="7">
          <cell r="AT7">
            <v>6841.5700000000006</v>
          </cell>
          <cell r="AU7">
            <v>7041.2599999999993</v>
          </cell>
          <cell r="AV7">
            <v>6523.670000000001</v>
          </cell>
          <cell r="AW7">
            <v>4469.7000000000007</v>
          </cell>
          <cell r="AX7">
            <v>4209.0200000000004</v>
          </cell>
          <cell r="AY7">
            <v>4038.1299999999992</v>
          </cell>
          <cell r="AZ7">
            <v>4080.4500000000003</v>
          </cell>
          <cell r="BA7">
            <v>3915.6600000000003</v>
          </cell>
          <cell r="BB7">
            <v>4397.9599999999991</v>
          </cell>
          <cell r="BC7">
            <v>4315.28</v>
          </cell>
          <cell r="BD7">
            <v>4481.8</v>
          </cell>
          <cell r="BE7">
            <v>6602.84</v>
          </cell>
        </row>
        <row r="18">
          <cell r="AT18">
            <v>830295.10057608143</v>
          </cell>
          <cell r="AU18">
            <v>774557.94441162422</v>
          </cell>
          <cell r="AV18">
            <v>561940.32239909854</v>
          </cell>
          <cell r="AW18">
            <v>538772.01752119826</v>
          </cell>
          <cell r="AX18">
            <v>514469.69248379796</v>
          </cell>
          <cell r="AY18">
            <v>557966.03421994462</v>
          </cell>
          <cell r="AZ18">
            <v>561911.46364113956</v>
          </cell>
          <cell r="BA18">
            <v>504580.87245460798</v>
          </cell>
          <cell r="BB18">
            <v>544606.19895476592</v>
          </cell>
          <cell r="BC18">
            <v>519975.37585522007</v>
          </cell>
          <cell r="BD18">
            <v>569345.5072765887</v>
          </cell>
          <cell r="BE18">
            <v>671140.36940601643</v>
          </cell>
        </row>
        <row r="19">
          <cell r="AT19">
            <v>821354.44914000644</v>
          </cell>
          <cell r="AU19">
            <v>836559.29240124091</v>
          </cell>
          <cell r="AV19">
            <v>780568.02519116621</v>
          </cell>
          <cell r="AW19">
            <v>834069.87606990465</v>
          </cell>
          <cell r="AX19">
            <v>789441.93028546812</v>
          </cell>
          <cell r="AY19">
            <v>791832.81474329787</v>
          </cell>
          <cell r="AZ19">
            <v>830454.50546697376</v>
          </cell>
          <cell r="BA19">
            <v>750771.15273600724</v>
          </cell>
          <cell r="BB19">
            <v>831923.5366674019</v>
          </cell>
          <cell r="BC19">
            <v>794156.35140484432</v>
          </cell>
          <cell r="BD19">
            <v>832798.32883624791</v>
          </cell>
          <cell r="BE19">
            <v>799483.49167752918</v>
          </cell>
        </row>
        <row r="21">
          <cell r="AT21">
            <v>705447.37211405986</v>
          </cell>
          <cell r="AU21">
            <v>718421.69828542764</v>
          </cell>
          <cell r="AV21">
            <v>670606.13192617882</v>
          </cell>
          <cell r="AW21">
            <v>716298.2542908492</v>
          </cell>
          <cell r="AX21">
            <v>678127.97035735392</v>
          </cell>
          <cell r="AY21">
            <v>680065.87843559938</v>
          </cell>
          <cell r="AZ21">
            <v>712770.00450926623</v>
          </cell>
          <cell r="BA21">
            <v>644320.21219431201</v>
          </cell>
          <cell r="BB21">
            <v>713996.55501918739</v>
          </cell>
          <cell r="BC21">
            <v>681946.96936054493</v>
          </cell>
          <cell r="BD21">
            <v>714787.91942515655</v>
          </cell>
          <cell r="BE21">
            <v>686609.14609806472</v>
          </cell>
        </row>
        <row r="22">
          <cell r="AT22">
            <v>446627.5839995158</v>
          </cell>
          <cell r="AU22">
            <v>454907.47581466864</v>
          </cell>
          <cell r="AV22">
            <v>424266.69095159735</v>
          </cell>
          <cell r="AW22">
            <v>453162.19655985344</v>
          </cell>
          <cell r="AX22">
            <v>428819.4220627693</v>
          </cell>
          <cell r="AY22">
            <v>430049.54404003924</v>
          </cell>
          <cell r="AZ22">
            <v>451336.11787093006</v>
          </cell>
          <cell r="BA22">
            <v>408047.18300182046</v>
          </cell>
          <cell r="BB22">
            <v>452304.31808731862</v>
          </cell>
          <cell r="BC22">
            <v>431511.09568299807</v>
          </cell>
          <cell r="BD22">
            <v>452764.4758587571</v>
          </cell>
          <cell r="BE22">
            <v>434763.5627336739</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Program Descriptions"/>
      <sheetName val="Monthly TD Calc"/>
      <sheetName val="Summary Monthly TD Calc"/>
    </sheetNames>
    <sheetDataSet>
      <sheetData sheetId="0"/>
      <sheetData sheetId="1"/>
      <sheetData sheetId="2"/>
      <sheetData sheetId="3">
        <row r="3">
          <cell r="L3">
            <v>340.32</v>
          </cell>
          <cell r="M3">
            <v>545.65000000000009</v>
          </cell>
          <cell r="N3">
            <v>791.82999999999993</v>
          </cell>
          <cell r="O3">
            <v>703.90000000000009</v>
          </cell>
          <cell r="P3">
            <v>1826.6100000000001</v>
          </cell>
          <cell r="Q3">
            <v>2590.6799999999998</v>
          </cell>
          <cell r="R3">
            <v>3484.5999999999995</v>
          </cell>
          <cell r="S3">
            <v>21789.279999999999</v>
          </cell>
          <cell r="T3">
            <v>31216.48</v>
          </cell>
          <cell r="U3">
            <v>29851.839999999997</v>
          </cell>
          <cell r="V3">
            <v>20089.32</v>
          </cell>
          <cell r="W3">
            <v>3245.0499999999997</v>
          </cell>
          <cell r="X3">
            <v>3324.67</v>
          </cell>
          <cell r="Y3">
            <v>3744.44</v>
          </cell>
          <cell r="Z3">
            <v>4196.7</v>
          </cell>
          <cell r="AA3">
            <v>3634.5799999999995</v>
          </cell>
          <cell r="AB3">
            <v>3567.55</v>
          </cell>
          <cell r="AC3">
            <v>2989.75</v>
          </cell>
          <cell r="AD3">
            <v>3795.85</v>
          </cell>
          <cell r="AE3">
            <v>22926.249999999996</v>
          </cell>
        </row>
        <row r="4">
          <cell r="L4">
            <v>2879.2700000000004</v>
          </cell>
          <cell r="M4">
            <v>4589.7699999999995</v>
          </cell>
          <cell r="N4">
            <v>6873.9800000000005</v>
          </cell>
          <cell r="O4">
            <v>6183.13</v>
          </cell>
          <cell r="P4">
            <v>6849.97</v>
          </cell>
          <cell r="Q4">
            <v>6283.2000000000007</v>
          </cell>
          <cell r="R4">
            <v>7151.83</v>
          </cell>
          <cell r="S4">
            <v>23885.200000000001</v>
          </cell>
          <cell r="T4">
            <v>29569.979999999996</v>
          </cell>
          <cell r="U4">
            <v>27918.97</v>
          </cell>
          <cell r="V4">
            <v>20957.98</v>
          </cell>
          <cell r="W4">
            <v>7274.6</v>
          </cell>
          <cell r="X4">
            <v>7790.46</v>
          </cell>
          <cell r="Y4">
            <v>8176.6</v>
          </cell>
          <cell r="Z4">
            <v>9202.89</v>
          </cell>
          <cell r="AA4">
            <v>8051.47</v>
          </cell>
          <cell r="AB4">
            <v>9466.93</v>
          </cell>
          <cell r="AC4">
            <v>8123.83</v>
          </cell>
          <cell r="AD4">
            <v>8780.24</v>
          </cell>
          <cell r="AE4">
            <v>29159.78</v>
          </cell>
        </row>
        <row r="5">
          <cell r="L5">
            <v>234.16</v>
          </cell>
          <cell r="M5">
            <v>1094.1400000000001</v>
          </cell>
          <cell r="N5">
            <v>2492.2399999999998</v>
          </cell>
          <cell r="O5">
            <v>2646.25</v>
          </cell>
          <cell r="P5">
            <v>5845.47</v>
          </cell>
          <cell r="Q5">
            <v>5087.8599999999997</v>
          </cell>
          <cell r="R5">
            <v>7681.47</v>
          </cell>
          <cell r="S5">
            <v>26613.599999999999</v>
          </cell>
          <cell r="T5">
            <v>31174.06</v>
          </cell>
          <cell r="U5">
            <v>29208.32</v>
          </cell>
          <cell r="V5">
            <v>17648.77</v>
          </cell>
          <cell r="W5">
            <v>4913.03</v>
          </cell>
          <cell r="X5">
            <v>5113.93</v>
          </cell>
          <cell r="Y5">
            <v>4133.28</v>
          </cell>
          <cell r="Z5">
            <v>4925.4399999999996</v>
          </cell>
          <cell r="AA5">
            <v>4391.7700000000004</v>
          </cell>
          <cell r="AB5">
            <v>9271.44</v>
          </cell>
          <cell r="AC5">
            <v>7759.77</v>
          </cell>
          <cell r="AD5">
            <v>11233.51</v>
          </cell>
          <cell r="AE5">
            <v>38612.400000000001</v>
          </cell>
        </row>
        <row r="6">
          <cell r="L6">
            <v>168.71</v>
          </cell>
          <cell r="M6">
            <v>229.92</v>
          </cell>
          <cell r="N6">
            <v>300.77999999999997</v>
          </cell>
          <cell r="O6">
            <v>370.31</v>
          </cell>
          <cell r="P6">
            <v>776.57</v>
          </cell>
          <cell r="Q6">
            <v>648.54999999999995</v>
          </cell>
          <cell r="R6">
            <v>928.47</v>
          </cell>
          <cell r="S6">
            <v>3638.68</v>
          </cell>
          <cell r="T6">
            <v>4318.5200000000004</v>
          </cell>
          <cell r="U6">
            <v>4075.87</v>
          </cell>
          <cell r="V6">
            <v>2441.9299999999998</v>
          </cell>
          <cell r="W6">
            <v>615.89</v>
          </cell>
          <cell r="X6">
            <v>653.1</v>
          </cell>
          <cell r="Y6">
            <v>564.83000000000004</v>
          </cell>
          <cell r="Z6">
            <v>638.28</v>
          </cell>
          <cell r="AA6">
            <v>622.97</v>
          </cell>
          <cell r="AB6">
            <v>1306.3800000000001</v>
          </cell>
          <cell r="AC6">
            <v>1091.02</v>
          </cell>
          <cell r="AD6">
            <v>1550.26</v>
          </cell>
          <cell r="AE6">
            <v>6006.13</v>
          </cell>
        </row>
        <row r="17">
          <cell r="L17">
            <v>5293.4882024015142</v>
          </cell>
          <cell r="M17">
            <v>8508.1988613820467</v>
          </cell>
          <cell r="N17">
            <v>12357.533497488561</v>
          </cell>
          <cell r="O17">
            <v>10979.340003656564</v>
          </cell>
          <cell r="P17">
            <v>28248.760553751985</v>
          </cell>
          <cell r="Q17">
            <v>40211.402654150355</v>
          </cell>
          <cell r="R17">
            <v>52673.828793154542</v>
          </cell>
          <cell r="S17">
            <v>215363.01140776984</v>
          </cell>
          <cell r="T17">
            <v>310075.1688329223</v>
          </cell>
          <cell r="U17">
            <v>296981.9309694093</v>
          </cell>
          <cell r="V17">
            <v>202969.16703856643</v>
          </cell>
          <cell r="W17">
            <v>49522.592102264891</v>
          </cell>
          <cell r="X17">
            <v>51285.23855355374</v>
          </cell>
          <cell r="Y17">
            <v>57687.417739254408</v>
          </cell>
          <cell r="Z17">
            <v>64762.645606449907</v>
          </cell>
          <cell r="AA17">
            <v>56170.600391473912</v>
          </cell>
          <cell r="AB17">
            <v>55273.737247480305</v>
          </cell>
          <cell r="AC17">
            <v>46492.132426909142</v>
          </cell>
          <cell r="AD17">
            <v>57476.611098689733</v>
          </cell>
          <cell r="AE17">
            <v>226751.05768924425</v>
          </cell>
        </row>
        <row r="18">
          <cell r="L18">
            <v>66055.914965384291</v>
          </cell>
          <cell r="M18">
            <v>105052.68679992094</v>
          </cell>
          <cell r="N18">
            <v>157773.69069019196</v>
          </cell>
          <cell r="O18">
            <v>141812.21076589948</v>
          </cell>
          <cell r="P18">
            <v>161668.26409787277</v>
          </cell>
          <cell r="Q18">
            <v>149762.90145471541</v>
          </cell>
          <cell r="R18">
            <v>176888.59693571492</v>
          </cell>
          <cell r="S18">
            <v>375437.6132106536</v>
          </cell>
          <cell r="T18">
            <v>461762.50266830873</v>
          </cell>
          <cell r="U18">
            <v>433421.01896146004</v>
          </cell>
          <cell r="V18">
            <v>318369.06892600568</v>
          </cell>
          <cell r="W18">
            <v>174204.9256034322</v>
          </cell>
          <cell r="X18">
            <v>186220.43952771134</v>
          </cell>
          <cell r="Y18">
            <v>194219.17264137269</v>
          </cell>
          <cell r="Z18">
            <v>219660.82033295225</v>
          </cell>
          <cell r="AA18">
            <v>191669.08394992093</v>
          </cell>
          <cell r="AB18">
            <v>235157.86560781128</v>
          </cell>
          <cell r="AC18">
            <v>199475.34491406346</v>
          </cell>
          <cell r="AD18">
            <v>222041.11922757197</v>
          </cell>
          <cell r="AE18">
            <v>470717.68007641984</v>
          </cell>
        </row>
        <row r="19">
          <cell r="L19">
            <v>9931.9567261426582</v>
          </cell>
          <cell r="M19">
            <v>48395.359289605105</v>
          </cell>
          <cell r="N19">
            <v>104239.68090831941</v>
          </cell>
          <cell r="O19">
            <v>113907.30241596357</v>
          </cell>
          <cell r="P19">
            <v>248173.30241440903</v>
          </cell>
          <cell r="Q19">
            <v>209816.61089545614</v>
          </cell>
          <cell r="R19">
            <v>314533.09418129572</v>
          </cell>
          <cell r="S19">
            <v>815137.30237556633</v>
          </cell>
          <cell r="T19">
            <v>958695.34848394513</v>
          </cell>
          <cell r="U19">
            <v>893688.46178199619</v>
          </cell>
          <cell r="V19">
            <v>536471.08437327633</v>
          </cell>
          <cell r="W19">
            <v>206064.19856562707</v>
          </cell>
          <cell r="X19">
            <v>216911.7674620563</v>
          </cell>
          <cell r="Y19">
            <v>182821.23598073065</v>
          </cell>
          <cell r="Z19">
            <v>206009.78539701513</v>
          </cell>
          <cell r="AA19">
            <v>189042.73454153587</v>
          </cell>
          <cell r="AB19">
            <v>393624.8154208574</v>
          </cell>
          <cell r="AC19">
            <v>320002.49408565293</v>
          </cell>
          <cell r="AD19">
            <v>459978.43142765504</v>
          </cell>
          <cell r="AE19">
            <v>1182643.6007783196</v>
          </cell>
        </row>
        <row r="20">
          <cell r="L20">
            <v>20284.060585899671</v>
          </cell>
          <cell r="M20">
            <v>28729.257468016815</v>
          </cell>
          <cell r="N20">
            <v>38877.201680587481</v>
          </cell>
          <cell r="O20">
            <v>45003.98061699509</v>
          </cell>
          <cell r="P20">
            <v>93707.29642971982</v>
          </cell>
          <cell r="Q20">
            <v>76180.584650062723</v>
          </cell>
          <cell r="R20">
            <v>110327.43240342173</v>
          </cell>
          <cell r="S20">
            <v>286935.71030664933</v>
          </cell>
          <cell r="T20">
            <v>337915.32581364416</v>
          </cell>
          <cell r="U20">
            <v>315047.29103145347</v>
          </cell>
          <cell r="V20">
            <v>190186.29651024687</v>
          </cell>
          <cell r="W20">
            <v>73451.11621928461</v>
          </cell>
          <cell r="X20">
            <v>78522.224442339633</v>
          </cell>
          <cell r="Y20">
            <v>70578.371063696541</v>
          </cell>
          <cell r="Z20">
            <v>82502.866572291445</v>
          </cell>
          <cell r="AA20">
            <v>75707.896468530686</v>
          </cell>
          <cell r="AB20">
            <v>157638.99546628224</v>
          </cell>
          <cell r="AC20">
            <v>128154.70401791715</v>
          </cell>
          <cell r="AD20">
            <v>184212.31341546547</v>
          </cell>
          <cell r="AE20">
            <v>473625.49798084359</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1 Final EM&amp;V"/>
      <sheetName val="Tariff Table"/>
      <sheetName val="EMV Results"/>
    </sheetNames>
    <sheetDataSet>
      <sheetData sheetId="0">
        <row r="20">
          <cell r="R20">
            <v>1600473.2590000001</v>
          </cell>
          <cell r="V20">
            <v>310910.24</v>
          </cell>
          <cell r="X20">
            <v>318131.55000000005</v>
          </cell>
          <cell r="Y20">
            <v>264768.76</v>
          </cell>
        </row>
      </sheetData>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E571">
            <v>20417.009999999995</v>
          </cell>
          <cell r="F571">
            <v>26427.869999999995</v>
          </cell>
          <cell r="G571">
            <v>25762.399999999994</v>
          </cell>
          <cell r="H571">
            <v>25475.879999999976</v>
          </cell>
          <cell r="I571">
            <v>25719.17</v>
          </cell>
          <cell r="J571">
            <v>41841.229999999981</v>
          </cell>
          <cell r="K571">
            <v>43382.389999999985</v>
          </cell>
          <cell r="L571">
            <v>59447.949999999953</v>
          </cell>
          <cell r="M571">
            <v>63195.650000000081</v>
          </cell>
          <cell r="N571">
            <v>31780.369999999995</v>
          </cell>
          <cell r="O571">
            <v>32268.829999999958</v>
          </cell>
          <cell r="P571">
            <v>35300.74000000002</v>
          </cell>
          <cell r="Q571">
            <v>13388.950000000012</v>
          </cell>
          <cell r="R571">
            <v>12882.320000000007</v>
          </cell>
          <cell r="S571">
            <v>12528.659999999989</v>
          </cell>
          <cell r="T571">
            <v>12194.229999999996</v>
          </cell>
          <cell r="U571">
            <v>13551.040000000008</v>
          </cell>
          <cell r="V571">
            <v>15902.689999999973</v>
          </cell>
          <cell r="W571">
            <v>16082.380000000005</v>
          </cell>
          <cell r="X571">
            <v>16628.290000000008</v>
          </cell>
          <cell r="Y571">
            <v>18457.01999999999</v>
          </cell>
          <cell r="Z571">
            <v>12601.330000000002</v>
          </cell>
          <cell r="AA571">
            <v>12496.970000000001</v>
          </cell>
          <cell r="AB571">
            <v>14872.529999999984</v>
          </cell>
          <cell r="AC571">
            <v>9244.6600000000035</v>
          </cell>
          <cell r="AD571">
            <v>8897.4599999999919</v>
          </cell>
          <cell r="AE571">
            <v>8602.3499999999913</v>
          </cell>
          <cell r="AF571">
            <v>8378.8800000000047</v>
          </cell>
          <cell r="AG571">
            <v>9281.8500000000058</v>
          </cell>
          <cell r="AH571">
            <v>10569.740000000005</v>
          </cell>
          <cell r="AI571">
            <v>10545.420000000013</v>
          </cell>
          <cell r="AJ571">
            <v>11000.430000000022</v>
          </cell>
          <cell r="AK571">
            <v>12534.810000000012</v>
          </cell>
          <cell r="AL571">
            <v>8641.7700000000186</v>
          </cell>
          <cell r="AM571">
            <v>8576.5</v>
          </cell>
          <cell r="AN571">
            <v>10271.900000000009</v>
          </cell>
        </row>
        <row r="572">
          <cell r="E572">
            <v>0</v>
          </cell>
          <cell r="F572">
            <v>0</v>
          </cell>
          <cell r="G572">
            <v>39.70999999999998</v>
          </cell>
          <cell r="H572">
            <v>130.26000000000022</v>
          </cell>
          <cell r="I572">
            <v>216.1899999999996</v>
          </cell>
          <cell r="J572">
            <v>411.05999999999949</v>
          </cell>
          <cell r="K572">
            <v>1101.5800000000017</v>
          </cell>
          <cell r="L572">
            <v>1355.6599999999999</v>
          </cell>
          <cell r="M572">
            <v>1039.7599999999984</v>
          </cell>
          <cell r="N572">
            <v>902.48000000000138</v>
          </cell>
          <cell r="O572">
            <v>1030.7699999999968</v>
          </cell>
          <cell r="P572">
            <v>1303.760000000002</v>
          </cell>
          <cell r="Q572">
            <v>1672.4700000000012</v>
          </cell>
          <cell r="R572">
            <v>1521.3499999999985</v>
          </cell>
          <cell r="S572">
            <v>1697</v>
          </cell>
          <cell r="T572">
            <v>1761.9300000000003</v>
          </cell>
          <cell r="U572">
            <v>1875.8300000000017</v>
          </cell>
          <cell r="V572">
            <v>2826.2700000000041</v>
          </cell>
          <cell r="W572">
            <v>4160.1399999999994</v>
          </cell>
          <cell r="X572">
            <v>4064.8399999999965</v>
          </cell>
          <cell r="Y572">
            <v>2726.6600000000108</v>
          </cell>
          <cell r="Z572">
            <v>1853.9300000000039</v>
          </cell>
          <cell r="AA572">
            <v>1763.4200000000019</v>
          </cell>
          <cell r="AB572">
            <v>1604.5900000000001</v>
          </cell>
          <cell r="AC572">
            <v>1684.510000000002</v>
          </cell>
          <cell r="AD572">
            <v>1532.2800000000025</v>
          </cell>
          <cell r="AE572">
            <v>1709.1900000000023</v>
          </cell>
          <cell r="AF572">
            <v>1774.6799999999967</v>
          </cell>
          <cell r="AG572">
            <v>1889.3100000000013</v>
          </cell>
          <cell r="AH572">
            <v>2846.6500000000015</v>
          </cell>
          <cell r="AI572">
            <v>4180.7299999999959</v>
          </cell>
          <cell r="AJ572">
            <v>4085.8700000000099</v>
          </cell>
          <cell r="AK572">
            <v>2746.4300000000076</v>
          </cell>
          <cell r="AL572">
            <v>1867.3500000000058</v>
          </cell>
          <cell r="AM572">
            <v>1776.2199999999975</v>
          </cell>
          <cell r="AN572">
            <v>1616.2300000000032</v>
          </cell>
        </row>
        <row r="574">
          <cell r="E574">
            <v>0</v>
          </cell>
          <cell r="F574">
            <v>0</v>
          </cell>
          <cell r="G574">
            <v>21.79000000000002</v>
          </cell>
          <cell r="H574">
            <v>131.46000000000026</v>
          </cell>
          <cell r="I574">
            <v>265.22000000000025</v>
          </cell>
          <cell r="J574">
            <v>318.80000000000018</v>
          </cell>
          <cell r="K574">
            <v>379.60000000000036</v>
          </cell>
          <cell r="L574">
            <v>563.39999999999964</v>
          </cell>
          <cell r="M574">
            <v>690.21999999999935</v>
          </cell>
          <cell r="N574">
            <v>710.29000000000087</v>
          </cell>
          <cell r="O574">
            <v>747.90999999999985</v>
          </cell>
          <cell r="P574">
            <v>815.53999999999905</v>
          </cell>
          <cell r="Q574">
            <v>905.54000000000087</v>
          </cell>
          <cell r="R574">
            <v>866.09000000000196</v>
          </cell>
          <cell r="S574">
            <v>967.59999999999854</v>
          </cell>
          <cell r="T574">
            <v>911.14000000000124</v>
          </cell>
          <cell r="U574">
            <v>1009.9300000000003</v>
          </cell>
          <cell r="V574">
            <v>1135.0700000000033</v>
          </cell>
          <cell r="W574">
            <v>1122.9399999999987</v>
          </cell>
          <cell r="X574">
            <v>1158.5</v>
          </cell>
          <cell r="Y574">
            <v>1091.7099999999991</v>
          </cell>
          <cell r="Z574">
            <v>966.81999999999971</v>
          </cell>
          <cell r="AA574">
            <v>939.02000000000044</v>
          </cell>
          <cell r="AB574">
            <v>900.35999999999876</v>
          </cell>
          <cell r="AC574">
            <v>917.57000000000153</v>
          </cell>
          <cell r="AD574">
            <v>877.59000000000196</v>
          </cell>
          <cell r="AE574">
            <v>980.43000000000029</v>
          </cell>
          <cell r="AF574">
            <v>923.29000000000087</v>
          </cell>
          <cell r="AG574">
            <v>1023.3200000000033</v>
          </cell>
          <cell r="AH574">
            <v>1150.1200000000026</v>
          </cell>
          <cell r="AI574">
            <v>1137.8299999999981</v>
          </cell>
          <cell r="AJ574">
            <v>1173.8600000000006</v>
          </cell>
          <cell r="AK574">
            <v>1106.2599999999948</v>
          </cell>
          <cell r="AL574">
            <v>979.7300000000032</v>
          </cell>
          <cell r="AM574">
            <v>951.59999999999854</v>
          </cell>
          <cell r="AN574">
            <v>912.42000000000007</v>
          </cell>
        </row>
        <row r="575">
          <cell r="E575">
            <v>0</v>
          </cell>
          <cell r="F575">
            <v>0</v>
          </cell>
          <cell r="G575">
            <v>0</v>
          </cell>
          <cell r="H575">
            <v>-3.6100000000000136</v>
          </cell>
          <cell r="I575">
            <v>14.779999999999973</v>
          </cell>
          <cell r="J575">
            <v>52.480000000000018</v>
          </cell>
          <cell r="K575">
            <v>63.8900000000001</v>
          </cell>
          <cell r="L575">
            <v>78.479999999999791</v>
          </cell>
          <cell r="M575">
            <v>86.590000000000146</v>
          </cell>
          <cell r="N575">
            <v>95.920000000000982</v>
          </cell>
          <cell r="O575">
            <v>119.86999999999989</v>
          </cell>
          <cell r="P575">
            <v>143.69000000000051</v>
          </cell>
          <cell r="Q575">
            <v>160.54999999999927</v>
          </cell>
          <cell r="R575">
            <v>143.18000000000029</v>
          </cell>
          <cell r="S575">
            <v>160.16000000000076</v>
          </cell>
          <cell r="T575">
            <v>143.22000000000025</v>
          </cell>
          <cell r="U575">
            <v>158.33999999999924</v>
          </cell>
          <cell r="V575">
            <v>182.97000000000116</v>
          </cell>
          <cell r="W575">
            <v>186.25000000000182</v>
          </cell>
          <cell r="X575">
            <v>189.64000000000124</v>
          </cell>
          <cell r="Y575">
            <v>180.03000000000065</v>
          </cell>
          <cell r="Z575">
            <v>150.05999999999949</v>
          </cell>
          <cell r="AA575">
            <v>142.78000000000065</v>
          </cell>
          <cell r="AB575">
            <v>152.88000000000102</v>
          </cell>
          <cell r="AC575">
            <v>173.07999999999993</v>
          </cell>
          <cell r="AD575">
            <v>154.32999999999993</v>
          </cell>
          <cell r="AE575">
            <v>172.57000000000062</v>
          </cell>
          <cell r="AF575">
            <v>154.40000000000055</v>
          </cell>
          <cell r="AG575">
            <v>170.58999999999924</v>
          </cell>
          <cell r="AH575">
            <v>196.94000000000142</v>
          </cell>
          <cell r="AI575">
            <v>200.46000000000095</v>
          </cell>
          <cell r="AJ575">
            <v>204.11999999999898</v>
          </cell>
          <cell r="AK575">
            <v>193.90000000000055</v>
          </cell>
          <cell r="AL575">
            <v>161.76999999999953</v>
          </cell>
          <cell r="AM575">
            <v>153.97999999999956</v>
          </cell>
          <cell r="AN575">
            <v>164.91000000000167</v>
          </cell>
        </row>
      </sheetData>
      <sheetData sheetId="5">
        <row r="436">
          <cell r="E436">
            <v>0</v>
          </cell>
          <cell r="F436">
            <v>-548.9600000000064</v>
          </cell>
          <cell r="G436">
            <v>-1984.6900000000023</v>
          </cell>
          <cell r="H436">
            <v>-3620.7999999999884</v>
          </cell>
          <cell r="I436">
            <v>-6432.4400000000023</v>
          </cell>
          <cell r="J436">
            <v>-13309.329999999987</v>
          </cell>
          <cell r="K436">
            <v>-19322.069999999978</v>
          </cell>
          <cell r="L436">
            <v>-23382.190000000002</v>
          </cell>
          <cell r="M436">
            <v>-27168.590000000026</v>
          </cell>
          <cell r="N436">
            <v>-20964.75</v>
          </cell>
          <cell r="O436">
            <v>-24073.289999999979</v>
          </cell>
          <cell r="P436">
            <v>-31950.319999999978</v>
          </cell>
          <cell r="Q436">
            <v>-31073.87000000001</v>
          </cell>
          <cell r="R436">
            <v>-29844.37000000001</v>
          </cell>
          <cell r="S436">
            <v>-30065.810000000012</v>
          </cell>
          <cell r="T436">
            <v>-29138.509999999995</v>
          </cell>
          <cell r="U436">
            <v>-32975.600000000006</v>
          </cell>
          <cell r="V436">
            <v>-45276.329999999987</v>
          </cell>
          <cell r="W436">
            <v>-48702.25</v>
          </cell>
          <cell r="X436">
            <v>-48386.34</v>
          </cell>
          <cell r="Y436">
            <v>-47116.179999999993</v>
          </cell>
          <cell r="Z436">
            <v>-30455.539999999994</v>
          </cell>
          <cell r="AA436">
            <v>-30075.509999999995</v>
          </cell>
          <cell r="AB436">
            <v>-34457.949999999983</v>
          </cell>
          <cell r="AC436">
            <v>0</v>
          </cell>
          <cell r="AD436">
            <v>0</v>
          </cell>
          <cell r="AE436">
            <v>0</v>
          </cell>
          <cell r="AF436">
            <v>0</v>
          </cell>
          <cell r="AG436">
            <v>-1.0000000009313226E-2</v>
          </cell>
          <cell r="AH436">
            <v>0</v>
          </cell>
          <cell r="AI436">
            <v>0</v>
          </cell>
          <cell r="AJ436">
            <v>0</v>
          </cell>
          <cell r="AK436">
            <v>0</v>
          </cell>
          <cell r="AL436">
            <v>0</v>
          </cell>
          <cell r="AM436">
            <v>0</v>
          </cell>
          <cell r="AN436">
            <v>0</v>
          </cell>
        </row>
        <row r="437">
          <cell r="E437">
            <v>0</v>
          </cell>
          <cell r="F437">
            <v>0</v>
          </cell>
          <cell r="G437">
            <v>-9.9999999999909051E-3</v>
          </cell>
          <cell r="H437">
            <v>-138.95000000000027</v>
          </cell>
          <cell r="I437">
            <v>-301.80999999999949</v>
          </cell>
          <cell r="J437">
            <v>-468.01999999999862</v>
          </cell>
          <cell r="K437">
            <v>-483.04999999999927</v>
          </cell>
          <cell r="L437">
            <v>-504.46999999999753</v>
          </cell>
          <cell r="M437">
            <v>-504.92000000000189</v>
          </cell>
          <cell r="N437">
            <v>-365.14999999999964</v>
          </cell>
          <cell r="O437">
            <v>-350.93000000000029</v>
          </cell>
          <cell r="P437">
            <v>-339.45000000000073</v>
          </cell>
          <cell r="Q437">
            <v>-371.04000000000087</v>
          </cell>
          <cell r="R437">
            <v>-337.18999999999505</v>
          </cell>
          <cell r="S437">
            <v>-375.75</v>
          </cell>
          <cell r="T437">
            <v>-392.68999999999869</v>
          </cell>
          <cell r="U437">
            <v>-415.60000000000218</v>
          </cell>
          <cell r="V437">
            <v>-628.45999999999913</v>
          </cell>
          <cell r="W437">
            <v>-634.21999999999389</v>
          </cell>
          <cell r="X437">
            <v>-647.95999999999185</v>
          </cell>
          <cell r="Y437">
            <v>-609.12000000000262</v>
          </cell>
          <cell r="Z437">
            <v>-413.63999999999942</v>
          </cell>
          <cell r="AA437">
            <v>-394.46000000000276</v>
          </cell>
          <cell r="AB437">
            <v>-358.65999999999985</v>
          </cell>
          <cell r="AC437">
            <v>0</v>
          </cell>
          <cell r="AD437">
            <v>2.0000000004074536E-2</v>
          </cell>
          <cell r="AE437">
            <v>9.9999999983992893E-3</v>
          </cell>
          <cell r="AF437">
            <v>0</v>
          </cell>
          <cell r="AG437">
            <v>0</v>
          </cell>
          <cell r="AH437">
            <v>0</v>
          </cell>
          <cell r="AI437">
            <v>-9.9999999947613105E-3</v>
          </cell>
          <cell r="AJ437">
            <v>0</v>
          </cell>
          <cell r="AK437">
            <v>0</v>
          </cell>
          <cell r="AL437">
            <v>0</v>
          </cell>
          <cell r="AM437">
            <v>9.9999999983992893E-3</v>
          </cell>
          <cell r="AN437">
            <v>0</v>
          </cell>
        </row>
        <row r="439">
          <cell r="E439">
            <v>0</v>
          </cell>
          <cell r="F439">
            <v>0</v>
          </cell>
          <cell r="G439">
            <v>0</v>
          </cell>
          <cell r="H439">
            <v>-28.470000000000027</v>
          </cell>
          <cell r="I439">
            <v>-97.300000000000182</v>
          </cell>
          <cell r="J439">
            <v>-148.3100000000004</v>
          </cell>
          <cell r="K439">
            <v>-146.75999999999931</v>
          </cell>
          <cell r="L439">
            <v>-151.30999999999949</v>
          </cell>
          <cell r="M439">
            <v>-143.32999999999993</v>
          </cell>
          <cell r="N439">
            <v>-141.61999999999898</v>
          </cell>
          <cell r="O439">
            <v>-160.02000000000044</v>
          </cell>
          <cell r="P439">
            <v>-266.28999999999905</v>
          </cell>
          <cell r="Q439">
            <v>-370.76000000000022</v>
          </cell>
          <cell r="R439">
            <v>-354.30000000000109</v>
          </cell>
          <cell r="S439">
            <v>-395.27000000000044</v>
          </cell>
          <cell r="T439">
            <v>-374.63999999999942</v>
          </cell>
          <cell r="U439">
            <v>-412.68999999999869</v>
          </cell>
          <cell r="V439">
            <v>-464.04000000000087</v>
          </cell>
          <cell r="W439">
            <v>-459.25</v>
          </cell>
          <cell r="X439">
            <v>-473.41999999999825</v>
          </cell>
          <cell r="Y439">
            <v>-448.45000000000073</v>
          </cell>
          <cell r="Z439">
            <v>-397.92999999999665</v>
          </cell>
          <cell r="AA439">
            <v>-387.53999999999724</v>
          </cell>
          <cell r="AB439">
            <v>-371.46999999999753</v>
          </cell>
          <cell r="AC439">
            <v>0</v>
          </cell>
          <cell r="AD439">
            <v>-1.0000000000218279E-2</v>
          </cell>
          <cell r="AE439">
            <v>-1.0000000002037268E-2</v>
          </cell>
          <cell r="AF439">
            <v>0</v>
          </cell>
          <cell r="AG439">
            <v>0</v>
          </cell>
          <cell r="AH439">
            <v>-1.0000000002037268E-2</v>
          </cell>
          <cell r="AI439">
            <v>0</v>
          </cell>
          <cell r="AJ439">
            <v>1.0000000002037268E-2</v>
          </cell>
          <cell r="AK439">
            <v>-9.9999999983992893E-3</v>
          </cell>
          <cell r="AL439">
            <v>0</v>
          </cell>
          <cell r="AM439">
            <v>-9.9999999983992893E-3</v>
          </cell>
          <cell r="AN439">
            <v>-9.9999999983992893E-3</v>
          </cell>
        </row>
        <row r="440">
          <cell r="E440">
            <v>0</v>
          </cell>
          <cell r="F440">
            <v>0</v>
          </cell>
          <cell r="G440">
            <v>0</v>
          </cell>
          <cell r="H440">
            <v>-23.949999999999989</v>
          </cell>
          <cell r="I440">
            <v>-52.449999999999932</v>
          </cell>
          <cell r="J440">
            <v>-60.920000000000073</v>
          </cell>
          <cell r="K440">
            <v>-63.069999999999936</v>
          </cell>
          <cell r="L440">
            <v>-64.170000000000073</v>
          </cell>
          <cell r="M440">
            <v>-64.789999999999964</v>
          </cell>
          <cell r="N440">
            <v>-202.78999999999996</v>
          </cell>
          <cell r="O440">
            <v>-332.19000000000051</v>
          </cell>
          <cell r="P440">
            <v>-364.09000000000015</v>
          </cell>
          <cell r="Q440">
            <v>-386.06999999999971</v>
          </cell>
          <cell r="R440">
            <v>-343.43000000000029</v>
          </cell>
          <cell r="S440">
            <v>-382.55000000000109</v>
          </cell>
          <cell r="T440">
            <v>-344.73000000000047</v>
          </cell>
          <cell r="U440">
            <v>-377.5</v>
          </cell>
          <cell r="V440">
            <v>-430.94000000000051</v>
          </cell>
          <cell r="W440">
            <v>-438.64000000000124</v>
          </cell>
          <cell r="X440">
            <v>-446.36000000000058</v>
          </cell>
          <cell r="Y440">
            <v>-427.32999999999993</v>
          </cell>
          <cell r="Z440">
            <v>-361.26000000000022</v>
          </cell>
          <cell r="AA440">
            <v>-344.86000000000058</v>
          </cell>
          <cell r="AB440">
            <v>-370.92000000000007</v>
          </cell>
          <cell r="AC440">
            <v>0</v>
          </cell>
          <cell r="AD440">
            <v>-1.0000000000218279E-2</v>
          </cell>
          <cell r="AE440">
            <v>0</v>
          </cell>
          <cell r="AF440">
            <v>-1.0000000000218279E-2</v>
          </cell>
          <cell r="AG440">
            <v>0</v>
          </cell>
          <cell r="AH440">
            <v>0</v>
          </cell>
          <cell r="AI440">
            <v>0</v>
          </cell>
          <cell r="AJ440">
            <v>0</v>
          </cell>
          <cell r="AK440">
            <v>0</v>
          </cell>
          <cell r="AL440">
            <v>0</v>
          </cell>
          <cell r="AM440">
            <v>0</v>
          </cell>
          <cell r="AN440">
            <v>0</v>
          </cell>
        </row>
      </sheetData>
      <sheetData sheetId="6">
        <row r="55">
          <cell r="C55">
            <v>31.6</v>
          </cell>
          <cell r="D55">
            <v>88.55</v>
          </cell>
          <cell r="E55">
            <v>154.47</v>
          </cell>
          <cell r="F55">
            <v>215.77</v>
          </cell>
          <cell r="G55">
            <v>270.38</v>
          </cell>
          <cell r="H55">
            <v>333.85</v>
          </cell>
          <cell r="I55">
            <v>330.37</v>
          </cell>
          <cell r="J55">
            <v>395.69</v>
          </cell>
          <cell r="K55">
            <v>474.01</v>
          </cell>
          <cell r="L55">
            <v>529.29</v>
          </cell>
          <cell r="M55">
            <v>549.95000000000005</v>
          </cell>
          <cell r="N55">
            <v>745.19</v>
          </cell>
          <cell r="O55">
            <v>724.56</v>
          </cell>
          <cell r="P55">
            <v>546.58000000000004</v>
          </cell>
          <cell r="Q55">
            <v>209.29</v>
          </cell>
          <cell r="R55">
            <v>229.64</v>
          </cell>
          <cell r="S55">
            <v>220.93</v>
          </cell>
          <cell r="T55">
            <v>190.66</v>
          </cell>
          <cell r="U55">
            <v>161.38</v>
          </cell>
          <cell r="V55">
            <v>132.44999999999999</v>
          </cell>
          <cell r="W55">
            <v>97.48</v>
          </cell>
          <cell r="X55">
            <v>72.510000000000005</v>
          </cell>
          <cell r="Y55">
            <v>49.02</v>
          </cell>
          <cell r="Z55">
            <v>16.97</v>
          </cell>
          <cell r="AA55">
            <v>9.5399999999999991</v>
          </cell>
          <cell r="AB55">
            <v>34.32</v>
          </cell>
          <cell r="AC55">
            <v>60.47</v>
          </cell>
          <cell r="AD55">
            <v>13.42</v>
          </cell>
          <cell r="AE55">
            <v>20.51</v>
          </cell>
          <cell r="AF55">
            <v>30.64</v>
          </cell>
          <cell r="AG55">
            <v>49.59</v>
          </cell>
          <cell r="AH55">
            <v>70.73</v>
          </cell>
          <cell r="AI55">
            <v>96.69</v>
          </cell>
          <cell r="AJ55">
            <v>125.08</v>
          </cell>
          <cell r="AK55">
            <v>155.63999999999999</v>
          </cell>
          <cell r="AL55">
            <v>195.78</v>
          </cell>
        </row>
        <row r="56">
          <cell r="C56">
            <v>0</v>
          </cell>
          <cell r="D56">
            <v>0</v>
          </cell>
          <cell r="E56">
            <v>0.05</v>
          </cell>
          <cell r="F56">
            <v>0.09</v>
          </cell>
          <cell r="G56">
            <v>-0.03</v>
          </cell>
          <cell r="H56">
            <v>-0.22</v>
          </cell>
          <cell r="I56">
            <v>0.43</v>
          </cell>
          <cell r="J56">
            <v>2.0299999999999998</v>
          </cell>
          <cell r="K56">
            <v>3.53</v>
          </cell>
          <cell r="L56">
            <v>4.71</v>
          </cell>
          <cell r="M56">
            <v>6.03</v>
          </cell>
          <cell r="N56">
            <v>10.36</v>
          </cell>
          <cell r="O56">
            <v>13.62</v>
          </cell>
          <cell r="P56">
            <v>13.93</v>
          </cell>
          <cell r="Q56">
            <v>6.97</v>
          </cell>
          <cell r="R56">
            <v>9.75</v>
          </cell>
          <cell r="S56">
            <v>11.99</v>
          </cell>
          <cell r="T56">
            <v>14.09</v>
          </cell>
          <cell r="U56">
            <v>18.34</v>
          </cell>
          <cell r="V56">
            <v>24.75</v>
          </cell>
          <cell r="W56">
            <v>30.41</v>
          </cell>
          <cell r="X56">
            <v>36.83</v>
          </cell>
          <cell r="Y56">
            <v>43.59</v>
          </cell>
          <cell r="Z56">
            <v>49.85</v>
          </cell>
          <cell r="AA56">
            <v>72.97</v>
          </cell>
          <cell r="AB56">
            <v>78</v>
          </cell>
          <cell r="AC56">
            <v>85.7</v>
          </cell>
          <cell r="AD56">
            <v>14.44</v>
          </cell>
          <cell r="AE56">
            <v>18.03</v>
          </cell>
          <cell r="AF56">
            <v>22.94</v>
          </cell>
          <cell r="AG56">
            <v>33.47</v>
          </cell>
          <cell r="AH56">
            <v>44.57</v>
          </cell>
          <cell r="AI56">
            <v>56.21</v>
          </cell>
          <cell r="AJ56">
            <v>67.56</v>
          </cell>
          <cell r="AK56">
            <v>79.73</v>
          </cell>
          <cell r="AL56">
            <v>94.76</v>
          </cell>
        </row>
        <row r="58">
          <cell r="C58">
            <v>0</v>
          </cell>
          <cell r="D58">
            <v>0</v>
          </cell>
          <cell r="E58">
            <v>0.03</v>
          </cell>
          <cell r="F58">
            <v>0.19</v>
          </cell>
          <cell r="G58">
            <v>0.55000000000000004</v>
          </cell>
          <cell r="H58">
            <v>1</v>
          </cell>
          <cell r="I58">
            <v>1.26</v>
          </cell>
          <cell r="J58">
            <v>1.96</v>
          </cell>
          <cell r="K58">
            <v>3</v>
          </cell>
          <cell r="L58">
            <v>4.2300000000000004</v>
          </cell>
          <cell r="M58">
            <v>5.49</v>
          </cell>
          <cell r="N58">
            <v>8.91</v>
          </cell>
          <cell r="O58">
            <v>10.47</v>
          </cell>
          <cell r="P58">
            <v>9.6999999999999993</v>
          </cell>
          <cell r="Q58">
            <v>4.53</v>
          </cell>
          <cell r="R58">
            <v>5.99</v>
          </cell>
          <cell r="S58">
            <v>7</v>
          </cell>
          <cell r="T58">
            <v>7.72</v>
          </cell>
          <cell r="U58">
            <v>8.92</v>
          </cell>
          <cell r="V58">
            <v>10.66</v>
          </cell>
          <cell r="W58">
            <v>12.33</v>
          </cell>
          <cell r="X58">
            <v>14.77</v>
          </cell>
          <cell r="Y58">
            <v>17.47</v>
          </cell>
          <cell r="Z58">
            <v>20.010000000000002</v>
          </cell>
          <cell r="AA58">
            <v>29.66</v>
          </cell>
          <cell r="AB58">
            <v>32.36</v>
          </cell>
          <cell r="AC58">
            <v>36.29</v>
          </cell>
          <cell r="AD58">
            <v>6.21</v>
          </cell>
          <cell r="AE58">
            <v>7.85</v>
          </cell>
          <cell r="AF58">
            <v>10.02</v>
          </cell>
          <cell r="AG58">
            <v>14.29</v>
          </cell>
          <cell r="AH58">
            <v>18.420000000000002</v>
          </cell>
          <cell r="AI58">
            <v>22.91</v>
          </cell>
          <cell r="AJ58">
            <v>27.68</v>
          </cell>
          <cell r="AK58">
            <v>33</v>
          </cell>
          <cell r="AL58">
            <v>39.630000000000003</v>
          </cell>
        </row>
        <row r="59">
          <cell r="C59">
            <v>0</v>
          </cell>
          <cell r="D59">
            <v>0</v>
          </cell>
          <cell r="E59">
            <v>0</v>
          </cell>
          <cell r="F59">
            <v>-0.04</v>
          </cell>
          <cell r="G59">
            <v>-0.12</v>
          </cell>
          <cell r="H59">
            <v>-0.18</v>
          </cell>
          <cell r="I59">
            <v>-0.16</v>
          </cell>
          <cell r="J59">
            <v>-0.14000000000000001</v>
          </cell>
          <cell r="K59">
            <v>-0.1</v>
          </cell>
          <cell r="L59">
            <v>-0.2</v>
          </cell>
          <cell r="M59">
            <v>-0.54</v>
          </cell>
          <cell r="N59">
            <v>-1.34</v>
          </cell>
          <cell r="O59">
            <v>-1.99</v>
          </cell>
          <cell r="P59">
            <v>-2.11</v>
          </cell>
          <cell r="Q59">
            <v>-1.07</v>
          </cell>
          <cell r="R59">
            <v>-1.51</v>
          </cell>
          <cell r="S59">
            <v>-1.84</v>
          </cell>
          <cell r="T59">
            <v>-2.11</v>
          </cell>
          <cell r="U59">
            <v>-2.52</v>
          </cell>
          <cell r="V59">
            <v>-3.1</v>
          </cell>
          <cell r="W59">
            <v>-3.67</v>
          </cell>
          <cell r="X59">
            <v>-4.4800000000000004</v>
          </cell>
          <cell r="Y59">
            <v>-5.36</v>
          </cell>
          <cell r="Z59">
            <v>-6.23</v>
          </cell>
          <cell r="AA59">
            <v>-8.68</v>
          </cell>
          <cell r="AB59">
            <v>-8.31</v>
          </cell>
          <cell r="AC59">
            <v>-8.18</v>
          </cell>
          <cell r="AD59">
            <v>-1.23</v>
          </cell>
          <cell r="AE59">
            <v>-1.37</v>
          </cell>
          <cell r="AF59">
            <v>-1.52</v>
          </cell>
          <cell r="AG59">
            <v>-1.86</v>
          </cell>
          <cell r="AH59">
            <v>-2.04</v>
          </cell>
          <cell r="AI59">
            <v>-2.15</v>
          </cell>
          <cell r="AJ59">
            <v>-2.23</v>
          </cell>
          <cell r="AK59">
            <v>-2.2999999999999998</v>
          </cell>
          <cell r="AL59">
            <v>-2.36</v>
          </cell>
        </row>
      </sheetData>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2 Final EM&amp;V"/>
      <sheetName val="Tariff Table"/>
      <sheetName val="EMV Results"/>
    </sheetNames>
    <sheetDataSet>
      <sheetData sheetId="0">
        <row r="20">
          <cell r="AL20">
            <v>2070956.0390000003</v>
          </cell>
          <cell r="AP20">
            <v>283722.18000000005</v>
          </cell>
          <cell r="AR20">
            <v>576681.62</v>
          </cell>
          <cell r="AS20">
            <v>212408.31999999998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ivot - SI Project"/>
      <sheetName val="SI0000 Alloc"/>
      <sheetName val="SI Project Data"/>
      <sheetName val="Input"/>
      <sheetName val="Program Descriptions"/>
    </sheetNames>
    <sheetDataSet>
      <sheetData sheetId="0">
        <row r="34">
          <cell r="N34">
            <v>-8985.18</v>
          </cell>
          <cell r="O34">
            <v>-2540.64</v>
          </cell>
          <cell r="Q34">
            <v>-1594.46</v>
          </cell>
          <cell r="R34">
            <v>-879.72000000000025</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Q571">
            <v>-2408.8799999999901</v>
          </cell>
          <cell r="R571">
            <v>-3144.3899999999994</v>
          </cell>
          <cell r="S571">
            <v>-3624.8499999999913</v>
          </cell>
          <cell r="T571">
            <v>-4133.4499999999825</v>
          </cell>
          <cell r="U571">
            <v>-4927.1300000000047</v>
          </cell>
          <cell r="V571">
            <v>-9414.859999999986</v>
          </cell>
          <cell r="W571">
            <v>-13776.20000000007</v>
          </cell>
          <cell r="X571">
            <v>-15688.630000000063</v>
          </cell>
          <cell r="Y571">
            <v>-13694.340000000026</v>
          </cell>
          <cell r="Z571">
            <v>-8529.5599999999686</v>
          </cell>
          <cell r="AA571">
            <v>-8619.4300000000803</v>
          </cell>
          <cell r="AB571">
            <v>-9770.2200000000303</v>
          </cell>
          <cell r="AC571">
            <v>-5600.5100000000093</v>
          </cell>
          <cell r="AD571">
            <v>-5358.5399999999936</v>
          </cell>
          <cell r="AE571">
            <v>-5788.1200000000099</v>
          </cell>
          <cell r="AF571">
            <v>-5570.9100000000035</v>
          </cell>
          <cell r="AG571">
            <v>-6492.6600000000035</v>
          </cell>
          <cell r="AH571">
            <v>-11105.249999999942</v>
          </cell>
          <cell r="AI571">
            <v>-15519.619999999995</v>
          </cell>
          <cell r="AJ571">
            <v>-14596.25999999998</v>
          </cell>
          <cell r="AK571">
            <v>-10082.270000000019</v>
          </cell>
          <cell r="AL571">
            <v>-5946.570000000007</v>
          </cell>
          <cell r="AM571">
            <v>-5830.9099999999889</v>
          </cell>
          <cell r="AN571">
            <v>-6187.6000000000058</v>
          </cell>
        </row>
        <row r="572">
          <cell r="Q572">
            <v>1.6299999999999955</v>
          </cell>
          <cell r="R572">
            <v>16.759999999999991</v>
          </cell>
          <cell r="S572">
            <v>46.529999999999973</v>
          </cell>
          <cell r="T572">
            <v>71.809999999999491</v>
          </cell>
          <cell r="U572">
            <v>107.01999999999862</v>
          </cell>
          <cell r="V572">
            <v>198.73999999999978</v>
          </cell>
          <cell r="W572">
            <v>461.02999999999702</v>
          </cell>
          <cell r="X572">
            <v>599.27000000000044</v>
          </cell>
          <cell r="Y572">
            <v>312.79999999999927</v>
          </cell>
          <cell r="Z572">
            <v>231.96999999999753</v>
          </cell>
          <cell r="AA572">
            <v>205.54999999999927</v>
          </cell>
          <cell r="AB572">
            <v>161.16999999999825</v>
          </cell>
          <cell r="AC572">
            <v>191.80999999999767</v>
          </cell>
          <cell r="AD572">
            <v>172.09000000000015</v>
          </cell>
          <cell r="AE572">
            <v>180.79999999999927</v>
          </cell>
          <cell r="AF572">
            <v>192.27999999999884</v>
          </cell>
          <cell r="AG572">
            <v>200.09000000000015</v>
          </cell>
          <cell r="AH572">
            <v>257.07999999999447</v>
          </cell>
          <cell r="AI572">
            <v>1125.7099999999991</v>
          </cell>
          <cell r="AJ572">
            <v>1030.3699999999953</v>
          </cell>
          <cell r="AK572">
            <v>245.56999999999971</v>
          </cell>
          <cell r="AL572">
            <v>197.08999999999651</v>
          </cell>
          <cell r="AM572">
            <v>184.08999999999651</v>
          </cell>
          <cell r="AN572">
            <v>173.14999999999782</v>
          </cell>
        </row>
        <row r="574">
          <cell r="Q574">
            <v>4.9999999999997158E-2</v>
          </cell>
          <cell r="R574">
            <v>-7.1299999999998818</v>
          </cell>
          <cell r="S574">
            <v>-13.030000000000655</v>
          </cell>
          <cell r="T574">
            <v>0.93000000000029104</v>
          </cell>
          <cell r="U574">
            <v>17.470000000000255</v>
          </cell>
          <cell r="V574">
            <v>-2.4700000000011642</v>
          </cell>
          <cell r="W574">
            <v>83.980000000001382</v>
          </cell>
          <cell r="X574">
            <v>195.82999999999447</v>
          </cell>
          <cell r="Y574">
            <v>93.070000000003347</v>
          </cell>
          <cell r="Z574">
            <v>41.729999999999563</v>
          </cell>
          <cell r="AA574">
            <v>-31.609999999996944</v>
          </cell>
          <cell r="AB574">
            <v>-244.1299999999901</v>
          </cell>
          <cell r="AC574">
            <v>-268.50999999999476</v>
          </cell>
          <cell r="AD574">
            <v>-255.41000000000349</v>
          </cell>
          <cell r="AE574">
            <v>-295.27000000001135</v>
          </cell>
          <cell r="AF574">
            <v>-285.25</v>
          </cell>
          <cell r="AG574">
            <v>-313.41999999999825</v>
          </cell>
          <cell r="AH574">
            <v>-431.2300000000032</v>
          </cell>
          <cell r="AI574">
            <v>-437.60999999999331</v>
          </cell>
          <cell r="AJ574">
            <v>-443.7899999999936</v>
          </cell>
          <cell r="AK574">
            <v>-420.31999999999971</v>
          </cell>
          <cell r="AL574">
            <v>-307.58000000000902</v>
          </cell>
          <cell r="AM574">
            <v>-301.67000000001281</v>
          </cell>
          <cell r="AN574">
            <v>-279.20999999999185</v>
          </cell>
        </row>
        <row r="575">
          <cell r="Q575">
            <v>0</v>
          </cell>
          <cell r="R575">
            <v>0.13999999999999968</v>
          </cell>
          <cell r="S575">
            <v>-1.0299999999999976</v>
          </cell>
          <cell r="T575">
            <v>-3.8400000000000034</v>
          </cell>
          <cell r="U575">
            <v>-17.829999999999927</v>
          </cell>
          <cell r="V575">
            <v>-45.049999999999955</v>
          </cell>
          <cell r="W575">
            <v>-51.879999999999882</v>
          </cell>
          <cell r="X575">
            <v>-72.019999999999982</v>
          </cell>
          <cell r="Y575">
            <v>-93.360000000000127</v>
          </cell>
          <cell r="Z575">
            <v>-69.070000000000164</v>
          </cell>
          <cell r="AA575">
            <v>-70.5600000000004</v>
          </cell>
          <cell r="AB575">
            <v>-66.819999999999709</v>
          </cell>
          <cell r="AC575">
            <v>-52.699999999999818</v>
          </cell>
          <cell r="AD575">
            <v>-49.630000000001019</v>
          </cell>
          <cell r="AE575">
            <v>-63.199999999999818</v>
          </cell>
          <cell r="AF575">
            <v>-61.780000000000655</v>
          </cell>
          <cell r="AG575">
            <v>-69.429999999999382</v>
          </cell>
          <cell r="AH575">
            <v>-134.48000000000047</v>
          </cell>
          <cell r="AI575">
            <v>-140.8100000000004</v>
          </cell>
          <cell r="AJ575">
            <v>-140.13000000000102</v>
          </cell>
          <cell r="AK575">
            <v>-130.97000000000025</v>
          </cell>
          <cell r="AL575">
            <v>-68.569999999999709</v>
          </cell>
          <cell r="AM575">
            <v>-67.409999999999854</v>
          </cell>
          <cell r="AN575">
            <v>-57.869999999998981</v>
          </cell>
        </row>
      </sheetData>
      <sheetData sheetId="5">
        <row r="436">
          <cell r="Q436">
            <v>-641.34000000001106</v>
          </cell>
          <cell r="R436">
            <v>-2901.9800000000105</v>
          </cell>
          <cell r="S436">
            <v>-5866.820000000007</v>
          </cell>
          <cell r="T436">
            <v>-7720.0300000000134</v>
          </cell>
          <cell r="U436">
            <v>-11625.00999999998</v>
          </cell>
          <cell r="V436">
            <v>-20929.540000000008</v>
          </cell>
          <cell r="W436">
            <v>-27117.840000000026</v>
          </cell>
          <cell r="X436">
            <v>-31034.819999999949</v>
          </cell>
          <cell r="Y436">
            <v>-33735.23000000004</v>
          </cell>
          <cell r="Z436">
            <v>-24111.200000000012</v>
          </cell>
          <cell r="AA436">
            <v>-26395.179999999993</v>
          </cell>
          <cell r="AB436">
            <v>-33283.26999999996</v>
          </cell>
          <cell r="AC436">
            <v>4184.2200000000012</v>
          </cell>
          <cell r="AD436">
            <v>4029.7399999999907</v>
          </cell>
          <cell r="AE436">
            <v>3844.75</v>
          </cell>
          <cell r="AF436">
            <v>3750.8899999999994</v>
          </cell>
          <cell r="AG436">
            <v>4126.3699999999953</v>
          </cell>
          <cell r="AH436">
            <v>4376.1999999999825</v>
          </cell>
          <cell r="AI436">
            <v>4220.7799999999988</v>
          </cell>
          <cell r="AJ436">
            <v>4502.6599999999744</v>
          </cell>
          <cell r="AK436">
            <v>5462.4899999999907</v>
          </cell>
          <cell r="AL436">
            <v>3851.5299999999988</v>
          </cell>
          <cell r="AM436">
            <v>3828.6600000000035</v>
          </cell>
          <cell r="AN436">
            <v>4652.0900000000111</v>
          </cell>
        </row>
        <row r="437">
          <cell r="Q437">
            <v>-15.120000000000005</v>
          </cell>
          <cell r="R437">
            <v>-98.520000000000095</v>
          </cell>
          <cell r="S437">
            <v>-309.26</v>
          </cell>
          <cell r="T437">
            <v>-515.55999999999995</v>
          </cell>
          <cell r="U437">
            <v>-720.84999999999945</v>
          </cell>
          <cell r="V437">
            <v>-1334.5500000000002</v>
          </cell>
          <cell r="W437">
            <v>-1769.0399999999991</v>
          </cell>
          <cell r="X437">
            <v>-2306.9800000000014</v>
          </cell>
          <cell r="Y437">
            <v>-2446.1499999999996</v>
          </cell>
          <cell r="Z437">
            <v>-1833.9199999999983</v>
          </cell>
          <cell r="AA437">
            <v>-1944.33</v>
          </cell>
          <cell r="AB437">
            <v>-2420.2099999999991</v>
          </cell>
          <cell r="AC437">
            <v>-2126.239999999998</v>
          </cell>
          <cell r="AD437">
            <v>-1934.0200000000004</v>
          </cell>
          <cell r="AE437">
            <v>-2156.7700000000004</v>
          </cell>
          <cell r="AF437">
            <v>-2239.5400000000009</v>
          </cell>
          <cell r="AG437">
            <v>-2384.0600000000013</v>
          </cell>
          <cell r="AH437">
            <v>-3589.9500000000007</v>
          </cell>
          <cell r="AI437">
            <v>-3619.6899999999951</v>
          </cell>
          <cell r="AJ437">
            <v>-3702.1699999999983</v>
          </cell>
          <cell r="AK437">
            <v>-3463.3000000000029</v>
          </cell>
          <cell r="AL437">
            <v>-2356.2199999999975</v>
          </cell>
          <cell r="AM437">
            <v>-2241.0199999999968</v>
          </cell>
          <cell r="AN437">
            <v>-2039.4599999999991</v>
          </cell>
        </row>
        <row r="439">
          <cell r="Q439">
            <v>-3.6199999999999974</v>
          </cell>
          <cell r="R439">
            <v>-139.03999999999996</v>
          </cell>
          <cell r="S439">
            <v>-329.15999999999985</v>
          </cell>
          <cell r="T439">
            <v>-509.73000000000047</v>
          </cell>
          <cell r="U439">
            <v>-780.57000000000062</v>
          </cell>
          <cell r="V439">
            <v>-1342.9899999999998</v>
          </cell>
          <cell r="W439">
            <v>-2306.1900000000023</v>
          </cell>
          <cell r="X439">
            <v>-3080.489999999998</v>
          </cell>
          <cell r="Y439">
            <v>-3427.7099999999991</v>
          </cell>
          <cell r="Z439">
            <v>-3507.8899999999994</v>
          </cell>
          <cell r="AA439">
            <v>-3799.9599999999991</v>
          </cell>
          <cell r="AB439">
            <v>-4648.1300000000047</v>
          </cell>
          <cell r="AC439">
            <v>-2158.9800000000032</v>
          </cell>
          <cell r="AD439">
            <v>-2065.2000000000044</v>
          </cell>
          <cell r="AE439">
            <v>-2305.9499999999971</v>
          </cell>
          <cell r="AF439">
            <v>-2169.6299999999974</v>
          </cell>
          <cell r="AG439">
            <v>-2406.0200000000041</v>
          </cell>
          <cell r="AH439">
            <v>-2692.2900000000009</v>
          </cell>
          <cell r="AI439">
            <v>-2661.8899999999994</v>
          </cell>
          <cell r="AJ439">
            <v>-2747.4799999999959</v>
          </cell>
          <cell r="AK439">
            <v>-2588.080000000009</v>
          </cell>
          <cell r="AL439">
            <v>-2301.4199999999983</v>
          </cell>
          <cell r="AM439">
            <v>-2234.5</v>
          </cell>
          <cell r="AN439">
            <v>-2144.0300000000061</v>
          </cell>
        </row>
        <row r="440">
          <cell r="Q440">
            <v>0</v>
          </cell>
          <cell r="R440">
            <v>-0.6599999999999997</v>
          </cell>
          <cell r="S440">
            <v>-1.4800000000000004</v>
          </cell>
          <cell r="T440">
            <v>-8.9399999999999977</v>
          </cell>
          <cell r="U440">
            <v>-64.460000000000036</v>
          </cell>
          <cell r="V440">
            <v>-139.69000000000005</v>
          </cell>
          <cell r="W440">
            <v>-156.40000000000009</v>
          </cell>
          <cell r="X440">
            <v>-191.63999999999987</v>
          </cell>
          <cell r="Y440">
            <v>-213.69000000000005</v>
          </cell>
          <cell r="Z440">
            <v>-190.38999999999987</v>
          </cell>
          <cell r="AA440">
            <v>-198.24999999999977</v>
          </cell>
          <cell r="AB440">
            <v>-459.0600000000004</v>
          </cell>
          <cell r="AC440">
            <v>-362.24999999999909</v>
          </cell>
          <cell r="AD440">
            <v>-322.57999999999902</v>
          </cell>
          <cell r="AE440">
            <v>-359.64999999999964</v>
          </cell>
          <cell r="AF440">
            <v>-321.63000000000011</v>
          </cell>
          <cell r="AG440">
            <v>-354.65000000000055</v>
          </cell>
          <cell r="AH440">
            <v>-402.84999999999945</v>
          </cell>
          <cell r="AI440">
            <v>-409.61000000000058</v>
          </cell>
          <cell r="AJ440">
            <v>-417.38000000000011</v>
          </cell>
          <cell r="AK440">
            <v>-397.27999999999884</v>
          </cell>
          <cell r="AL440">
            <v>-336.59000000000015</v>
          </cell>
          <cell r="AM440">
            <v>-320.32999999999993</v>
          </cell>
          <cell r="AN440">
            <v>-344.88000000000011</v>
          </cell>
        </row>
      </sheetData>
      <sheetData sheetId="6">
        <row r="55">
          <cell r="O55">
            <v>-4.3899999999999997</v>
          </cell>
          <cell r="P55">
            <v>-14.16</v>
          </cell>
          <cell r="Q55">
            <v>-13.34</v>
          </cell>
          <cell r="R55">
            <v>-27.74</v>
          </cell>
          <cell r="S55">
            <v>-46.27</v>
          </cell>
          <cell r="T55">
            <v>-73.83</v>
          </cell>
          <cell r="U55">
            <v>-121.78</v>
          </cell>
          <cell r="V55">
            <v>-192.53</v>
          </cell>
          <cell r="W55">
            <v>-273.61</v>
          </cell>
          <cell r="X55">
            <v>-369.74</v>
          </cell>
          <cell r="Y55">
            <v>-473.02</v>
          </cell>
          <cell r="Z55">
            <v>-589.34</v>
          </cell>
          <cell r="AA55">
            <v>-876.02</v>
          </cell>
          <cell r="AB55">
            <v>-887.48</v>
          </cell>
          <cell r="AC55">
            <v>-927.54</v>
          </cell>
          <cell r="AD55">
            <v>-148.76</v>
          </cell>
          <cell r="AE55">
            <v>-176.92</v>
          </cell>
          <cell r="AF55">
            <v>-213.4</v>
          </cell>
          <cell r="AG55">
            <v>-291.57</v>
          </cell>
          <cell r="AH55">
            <v>-362.76</v>
          </cell>
          <cell r="AI55">
            <v>-433.39</v>
          </cell>
          <cell r="AJ55">
            <v>-501.69</v>
          </cell>
          <cell r="AK55">
            <v>-574.44000000000005</v>
          </cell>
          <cell r="AL55">
            <v>-664.26</v>
          </cell>
        </row>
        <row r="56">
          <cell r="O56">
            <v>-0.02</v>
          </cell>
          <cell r="P56">
            <v>-0.13</v>
          </cell>
          <cell r="Q56">
            <v>-0.22</v>
          </cell>
          <cell r="R56">
            <v>-0.66</v>
          </cell>
          <cell r="S56">
            <v>-1.32</v>
          </cell>
          <cell r="T56">
            <v>-2.35</v>
          </cell>
          <cell r="U56">
            <v>-3.99</v>
          </cell>
          <cell r="V56">
            <v>-6.41</v>
          </cell>
          <cell r="W56">
            <v>-9.6199999999999992</v>
          </cell>
          <cell r="X56">
            <v>-13.74</v>
          </cell>
          <cell r="Y56">
            <v>-18.32</v>
          </cell>
          <cell r="Z56">
            <v>-23.77</v>
          </cell>
          <cell r="AA56">
            <v>-38.57</v>
          </cell>
          <cell r="AB56">
            <v>-43.95</v>
          </cell>
          <cell r="AC56">
            <v>-50.99</v>
          </cell>
          <cell r="AD56">
            <v>-9.01</v>
          </cell>
          <cell r="AE56">
            <v>-11.77</v>
          </cell>
          <cell r="AF56">
            <v>-15.73</v>
          </cell>
          <cell r="AG56">
            <v>-23.37</v>
          </cell>
          <cell r="AH56">
            <v>-30.82</v>
          </cell>
          <cell r="AI56">
            <v>-39.56</v>
          </cell>
          <cell r="AJ56">
            <v>-48.98</v>
          </cell>
          <cell r="AK56">
            <v>-59.01</v>
          </cell>
          <cell r="AL56">
            <v>-71.38</v>
          </cell>
        </row>
        <row r="58">
          <cell r="O58">
            <v>-0.01</v>
          </cell>
          <cell r="P58">
            <v>-0.18</v>
          </cell>
          <cell r="Q58">
            <v>-0.31</v>
          </cell>
          <cell r="R58">
            <v>-0.84</v>
          </cell>
          <cell r="S58">
            <v>-1.65</v>
          </cell>
          <cell r="T58">
            <v>-2.89</v>
          </cell>
          <cell r="U58">
            <v>-5.26</v>
          </cell>
          <cell r="V58">
            <v>-9.2100000000000009</v>
          </cell>
          <cell r="W58">
            <v>-14.33</v>
          </cell>
          <cell r="X58">
            <v>-21.46</v>
          </cell>
          <cell r="Y58">
            <v>-30.48</v>
          </cell>
          <cell r="Z58">
            <v>-41.58</v>
          </cell>
          <cell r="AA58">
            <v>-67.45</v>
          </cell>
          <cell r="AB58">
            <v>-74.510000000000005</v>
          </cell>
          <cell r="AC58">
            <v>-84.45</v>
          </cell>
          <cell r="AD58">
            <v>-14.57</v>
          </cell>
          <cell r="AE58">
            <v>-18.579999999999998</v>
          </cell>
          <cell r="AF58">
            <v>-23.95</v>
          </cell>
          <cell r="AG58">
            <v>-34.47</v>
          </cell>
          <cell r="AH58">
            <v>-44.79</v>
          </cell>
          <cell r="AI58">
            <v>-56.09</v>
          </cell>
          <cell r="AJ58">
            <v>-68.11</v>
          </cell>
          <cell r="AK58">
            <v>-81.510000000000005</v>
          </cell>
          <cell r="AL58">
            <v>-98.19</v>
          </cell>
        </row>
        <row r="59">
          <cell r="O59">
            <v>0</v>
          </cell>
          <cell r="P59">
            <v>0</v>
          </cell>
          <cell r="Q59">
            <v>0</v>
          </cell>
          <cell r="R59">
            <v>-0.01</v>
          </cell>
          <cell r="S59">
            <v>-7.0000000000000007E-2</v>
          </cell>
          <cell r="T59">
            <v>-0.23</v>
          </cell>
          <cell r="U59">
            <v>-0.48</v>
          </cell>
          <cell r="V59">
            <v>-0.85</v>
          </cell>
          <cell r="W59">
            <v>-1.32</v>
          </cell>
          <cell r="X59">
            <v>-1.92</v>
          </cell>
          <cell r="Y59">
            <v>-2.62</v>
          </cell>
          <cell r="Z59">
            <v>-3.62</v>
          </cell>
          <cell r="AA59">
            <v>-6.28</v>
          </cell>
          <cell r="AB59">
            <v>-7.41</v>
          </cell>
          <cell r="AC59">
            <v>-8.83</v>
          </cell>
          <cell r="AD59">
            <v>-1.58</v>
          </cell>
          <cell r="AE59">
            <v>-2.08</v>
          </cell>
          <cell r="AF59">
            <v>-2.78</v>
          </cell>
          <cell r="AG59">
            <v>-4.16</v>
          </cell>
          <cell r="AH59">
            <v>-5.58</v>
          </cell>
          <cell r="AI59">
            <v>-7.17</v>
          </cell>
          <cell r="AJ59">
            <v>-8.85</v>
          </cell>
          <cell r="AK59">
            <v>-10.69</v>
          </cell>
          <cell r="AL59">
            <v>-13</v>
          </cell>
        </row>
      </sheetData>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3 Final EM&amp;V"/>
      <sheetName val="Tariff Table"/>
      <sheetName val="EMV Results"/>
    </sheetNames>
    <sheetDataSet>
      <sheetData sheetId="0">
        <row r="22">
          <cell r="AL22">
            <v>1831459.6889999998</v>
          </cell>
          <cell r="AP22">
            <v>286244.42</v>
          </cell>
          <cell r="AR22">
            <v>619125.67000000016</v>
          </cell>
          <cell r="AS22">
            <v>500775.76</v>
          </cell>
        </row>
      </sheetData>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Program Descriptions"/>
      <sheetName val="Deemed TD Calc"/>
      <sheetName val="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2">
          <cell r="AC572">
            <v>6551.8400000000256</v>
          </cell>
          <cell r="AD572">
            <v>6912.9499999999971</v>
          </cell>
          <cell r="AE572">
            <v>6056.6900000000169</v>
          </cell>
          <cell r="AF572">
            <v>5185.1299999999901</v>
          </cell>
          <cell r="AG572">
            <v>3728.2700000000041</v>
          </cell>
          <cell r="AH572">
            <v>5965.6700000000128</v>
          </cell>
          <cell r="AI572">
            <v>1176.4599999999919</v>
          </cell>
          <cell r="AJ572">
            <v>-9860.6799999999785</v>
          </cell>
          <cell r="AK572">
            <v>-7991.4799999999814</v>
          </cell>
          <cell r="AL572">
            <v>-5297.2599999999948</v>
          </cell>
          <cell r="AM572">
            <v>-5652.8099999999977</v>
          </cell>
          <cell r="AN572">
            <v>-7768.2599999999948</v>
          </cell>
          <cell r="AO572">
            <v>-5769.6100000000079</v>
          </cell>
          <cell r="AP572">
            <v>-5332.1300000000047</v>
          </cell>
          <cell r="AQ572">
            <v>-5912.8999999999942</v>
          </cell>
          <cell r="AR572">
            <v>-5970.0600000000049</v>
          </cell>
          <cell r="AS572">
            <v>-6454.1199999999953</v>
          </cell>
          <cell r="AT572">
            <v>-11797.079999999987</v>
          </cell>
          <cell r="AU572">
            <v>-14635.339999999938</v>
          </cell>
          <cell r="AV572">
            <v>-13961.589999999997</v>
          </cell>
          <cell r="AW572">
            <v>-10997.330000000002</v>
          </cell>
          <cell r="AX572">
            <v>-6093.0699999999924</v>
          </cell>
          <cell r="AY572">
            <v>-6189.9500000000116</v>
          </cell>
          <cell r="AZ572">
            <v>-6282.9700000000157</v>
          </cell>
          <cell r="BA572">
            <v>-5564.4800000000178</v>
          </cell>
          <cell r="BB572">
            <v>-5246.93</v>
          </cell>
          <cell r="BC572">
            <v>-5826.8700000000099</v>
          </cell>
          <cell r="BD572">
            <v>-5883.0399999999936</v>
          </cell>
          <cell r="BE572">
            <v>-6363.2200000000084</v>
          </cell>
          <cell r="BF572">
            <v>-11682.89</v>
          </cell>
          <cell r="BG572">
            <v>-14519.619999999995</v>
          </cell>
          <cell r="BH572">
            <v>-13841.640000000014</v>
          </cell>
          <cell r="BI572">
            <v>-10862.560000000012</v>
          </cell>
          <cell r="BJ572">
            <v>-6006.5300000000061</v>
          </cell>
          <cell r="BK572">
            <v>-6101.9200000000055</v>
          </cell>
          <cell r="BL572">
            <v>-6180.1100000000006</v>
          </cell>
          <cell r="BM572">
            <v>0</v>
          </cell>
          <cell r="BN572">
            <v>0</v>
          </cell>
          <cell r="BO572">
            <v>0</v>
          </cell>
          <cell r="BP572">
            <v>0</v>
          </cell>
        </row>
        <row r="573">
          <cell r="AC573">
            <v>4.3700000000000045</v>
          </cell>
          <cell r="AD573">
            <v>-3.410000000000025</v>
          </cell>
          <cell r="AE573">
            <v>-55.590000000000032</v>
          </cell>
          <cell r="AF573">
            <v>-164.78999999999974</v>
          </cell>
          <cell r="AG573">
            <v>-313.63999999999987</v>
          </cell>
          <cell r="AH573">
            <v>-614.38000000000011</v>
          </cell>
          <cell r="AI573">
            <v>-1072.6800000000003</v>
          </cell>
          <cell r="AJ573">
            <v>-1272.58</v>
          </cell>
          <cell r="AK573">
            <v>-1062.159999999998</v>
          </cell>
          <cell r="AL573">
            <v>-914.53999999999905</v>
          </cell>
          <cell r="AM573">
            <v>-1057.58</v>
          </cell>
          <cell r="AN573">
            <v>-2070.0699999999997</v>
          </cell>
          <cell r="AO573">
            <v>-2215.4900000000052</v>
          </cell>
          <cell r="AP573">
            <v>-1903.8700000000026</v>
          </cell>
          <cell r="AQ573">
            <v>-2173.5999999999949</v>
          </cell>
          <cell r="AR573">
            <v>-2209.3600000000006</v>
          </cell>
          <cell r="AS573">
            <v>-2377.9399999999987</v>
          </cell>
          <cell r="AT573">
            <v>-3455.8600000000006</v>
          </cell>
          <cell r="AU573">
            <v>-5528.2500000000036</v>
          </cell>
          <cell r="AV573">
            <v>-5303.6399999999921</v>
          </cell>
          <cell r="AW573">
            <v>-3249.16</v>
          </cell>
          <cell r="AX573">
            <v>-2354.5200000000004</v>
          </cell>
          <cell r="AY573">
            <v>-2200.4599999999991</v>
          </cell>
          <cell r="AZ573">
            <v>-2162.7599999999984</v>
          </cell>
          <cell r="BA573">
            <v>-2550.5599999999977</v>
          </cell>
          <cell r="BB573">
            <v>-2253.3700000000026</v>
          </cell>
          <cell r="BC573">
            <v>-2574.3599999999969</v>
          </cell>
          <cell r="BD573">
            <v>-2616.6100000000006</v>
          </cell>
          <cell r="BE573">
            <v>-2816.1499999999978</v>
          </cell>
          <cell r="BF573">
            <v>-4101.1500000000015</v>
          </cell>
          <cell r="BG573">
            <v>-6172.9000000000015</v>
          </cell>
          <cell r="BH573">
            <v>-5956.6699999999983</v>
          </cell>
          <cell r="BI573">
            <v>-3857.1099999999933</v>
          </cell>
          <cell r="BJ573">
            <v>-2788.5800000000017</v>
          </cell>
          <cell r="BK573">
            <v>-2607.0600000000013</v>
          </cell>
          <cell r="BL573">
            <v>-2560.4400000000023</v>
          </cell>
          <cell r="BM573">
            <v>0</v>
          </cell>
          <cell r="BN573">
            <v>0</v>
          </cell>
          <cell r="BO573">
            <v>0</v>
          </cell>
          <cell r="BP573">
            <v>0</v>
          </cell>
        </row>
        <row r="575">
          <cell r="AC575">
            <v>13.469999999999999</v>
          </cell>
          <cell r="AD575">
            <v>15.439999999999998</v>
          </cell>
          <cell r="AE575">
            <v>-39.599999999999909</v>
          </cell>
          <cell r="AF575">
            <v>-106.27999999999997</v>
          </cell>
          <cell r="AG575">
            <v>-150.38000000000011</v>
          </cell>
          <cell r="AH575">
            <v>-198.96000000000049</v>
          </cell>
          <cell r="AI575">
            <v>-254.47999999999911</v>
          </cell>
          <cell r="AJ575">
            <v>-355.24000000000069</v>
          </cell>
          <cell r="AK575">
            <v>-478.18999999999869</v>
          </cell>
          <cell r="AL575">
            <v>-604.14999999999782</v>
          </cell>
          <cell r="AM575">
            <v>-629.29000000000087</v>
          </cell>
          <cell r="AN575">
            <v>-1070.2099999999991</v>
          </cell>
          <cell r="AO575">
            <v>-906.93999999999869</v>
          </cell>
          <cell r="AP575">
            <v>-748.87000000000262</v>
          </cell>
          <cell r="AQ575">
            <v>-878.47999999999956</v>
          </cell>
          <cell r="AR575">
            <v>-886.39999999999782</v>
          </cell>
          <cell r="AS575">
            <v>-999.65999999999622</v>
          </cell>
          <cell r="AT575">
            <v>-1038.6200000000026</v>
          </cell>
          <cell r="AU575">
            <v>-972.76000000000568</v>
          </cell>
          <cell r="AV575">
            <v>-980.34999999999854</v>
          </cell>
          <cell r="AW575">
            <v>-905.97000000000116</v>
          </cell>
          <cell r="AX575">
            <v>-868.13999999999578</v>
          </cell>
          <cell r="AY575">
            <v>-870.45999999999913</v>
          </cell>
          <cell r="AZ575">
            <v>-818.42999999999665</v>
          </cell>
          <cell r="BA575">
            <v>-981.28999999999724</v>
          </cell>
          <cell r="BB575">
            <v>-903</v>
          </cell>
          <cell r="BC575">
            <v>-1060.7900000000045</v>
          </cell>
          <cell r="BD575">
            <v>-1070.4400000000023</v>
          </cell>
          <cell r="BE575">
            <v>-1206.3500000000022</v>
          </cell>
          <cell r="BF575">
            <v>-1267.8599999999933</v>
          </cell>
          <cell r="BG575">
            <v>-1190.7000000000116</v>
          </cell>
          <cell r="BH575">
            <v>-1199.6699999999983</v>
          </cell>
          <cell r="BI575">
            <v>-1109.2200000000048</v>
          </cell>
          <cell r="BJ575">
            <v>-1049.5499999999956</v>
          </cell>
          <cell r="BK575">
            <v>-1052.4499999999971</v>
          </cell>
          <cell r="BL575">
            <v>-988.07999999999811</v>
          </cell>
          <cell r="BM575">
            <v>0</v>
          </cell>
          <cell r="BN575">
            <v>0</v>
          </cell>
          <cell r="BO575">
            <v>0</v>
          </cell>
          <cell r="BP575">
            <v>0</v>
          </cell>
        </row>
        <row r="576">
          <cell r="AC576">
            <v>-1.1100000000000136</v>
          </cell>
          <cell r="AD576">
            <v>-0.23000000000001819</v>
          </cell>
          <cell r="AE576">
            <v>-1.9500000000000455</v>
          </cell>
          <cell r="AF576">
            <v>-0.91999999999995907</v>
          </cell>
          <cell r="AG576">
            <v>5.010000000000673</v>
          </cell>
          <cell r="AH576">
            <v>27.850000000000364</v>
          </cell>
          <cell r="AI576">
            <v>23.739999999999782</v>
          </cell>
          <cell r="AJ576">
            <v>41.479999999999563</v>
          </cell>
          <cell r="AK576">
            <v>49.009999999999309</v>
          </cell>
          <cell r="AL576">
            <v>-4.9700000000002547</v>
          </cell>
          <cell r="AM576">
            <v>6.9899999999997817</v>
          </cell>
          <cell r="AN576">
            <v>-237.47000000000116</v>
          </cell>
          <cell r="AO576">
            <v>-187.56999999999994</v>
          </cell>
          <cell r="AP576">
            <v>-88.1099999999999</v>
          </cell>
          <cell r="AQ576">
            <v>-83.019999999999982</v>
          </cell>
          <cell r="AR576">
            <v>-77.180000000000064</v>
          </cell>
          <cell r="AS576">
            <v>-95.2199999999998</v>
          </cell>
          <cell r="AT576">
            <v>-152.86999999999989</v>
          </cell>
          <cell r="AU576">
            <v>-145.6899999999996</v>
          </cell>
          <cell r="AV576">
            <v>-152.74999999999955</v>
          </cell>
          <cell r="AW576">
            <v>-146.66000000000031</v>
          </cell>
          <cell r="AX576">
            <v>-77.529999999999745</v>
          </cell>
          <cell r="AY576">
            <v>-78.879999999999882</v>
          </cell>
          <cell r="AZ576">
            <v>-93.8900000000001</v>
          </cell>
          <cell r="BA576">
            <v>-121.15999999999985</v>
          </cell>
          <cell r="BB576">
            <v>-110.2800000000002</v>
          </cell>
          <cell r="BC576">
            <v>-106.41999999999985</v>
          </cell>
          <cell r="BD576">
            <v>-99.630000000000109</v>
          </cell>
          <cell r="BE576">
            <v>-121.46000000000004</v>
          </cell>
          <cell r="BF576">
            <v>-199.54000000000042</v>
          </cell>
          <cell r="BG576">
            <v>-192.03999999999951</v>
          </cell>
          <cell r="BH576">
            <v>-200.30999999999995</v>
          </cell>
          <cell r="BI576">
            <v>-191.93000000000029</v>
          </cell>
          <cell r="BJ576">
            <v>-100.6400000000001</v>
          </cell>
          <cell r="BK576">
            <v>-102.29000000000019</v>
          </cell>
          <cell r="BL576">
            <v>-118.44000000000005</v>
          </cell>
          <cell r="BM576">
            <v>0</v>
          </cell>
          <cell r="BN576">
            <v>0</v>
          </cell>
          <cell r="BO576">
            <v>0</v>
          </cell>
          <cell r="BP576">
            <v>0</v>
          </cell>
        </row>
      </sheetData>
      <sheetData sheetId="5">
        <row r="437">
          <cell r="AC437">
            <v>40.349999999976717</v>
          </cell>
          <cell r="AD437">
            <v>191.60000000000582</v>
          </cell>
          <cell r="AE437">
            <v>275.30999999999767</v>
          </cell>
          <cell r="AF437">
            <v>309.49000000000524</v>
          </cell>
          <cell r="AG437">
            <v>414.01999999998952</v>
          </cell>
          <cell r="AH437">
            <v>254.6699999999837</v>
          </cell>
          <cell r="AI437">
            <v>12.889999999984866</v>
          </cell>
          <cell r="AJ437">
            <v>0.41999999999825377</v>
          </cell>
          <cell r="AK437">
            <v>582.20999999999185</v>
          </cell>
          <cell r="AL437">
            <v>658.2899999999936</v>
          </cell>
          <cell r="AM437">
            <v>761.27000000000407</v>
          </cell>
          <cell r="AN437">
            <v>1238.6100000000006</v>
          </cell>
          <cell r="AO437">
            <v>-1847.2400000000052</v>
          </cell>
          <cell r="AP437">
            <v>-1669.4199999999983</v>
          </cell>
          <cell r="AQ437">
            <v>-1752.6300000000047</v>
          </cell>
          <cell r="AR437">
            <v>-1764.6800000000003</v>
          </cell>
          <cell r="AS437">
            <v>-1880.3200000000143</v>
          </cell>
          <cell r="AT437">
            <v>-2805.7800000000134</v>
          </cell>
          <cell r="AU437">
            <v>-3039.7400000000198</v>
          </cell>
          <cell r="AV437">
            <v>-3017.9100000000035</v>
          </cell>
          <cell r="AW437">
            <v>-2939.6300000000047</v>
          </cell>
          <cell r="AX437">
            <v>-1777.1100000000079</v>
          </cell>
          <cell r="AY437">
            <v>-1799.3099999999977</v>
          </cell>
          <cell r="AZ437">
            <v>-2015.7399999999907</v>
          </cell>
          <cell r="BA437">
            <v>0</v>
          </cell>
          <cell r="BB437">
            <v>0</v>
          </cell>
          <cell r="BC437">
            <v>0</v>
          </cell>
          <cell r="BD437">
            <v>9.9999999947613105E-3</v>
          </cell>
          <cell r="BE437">
            <v>0</v>
          </cell>
          <cell r="BF437">
            <v>-1.0000000009313226E-2</v>
          </cell>
          <cell r="BG437">
            <v>0</v>
          </cell>
          <cell r="BH437">
            <v>1.0000000009313226E-2</v>
          </cell>
          <cell r="BI437">
            <v>0</v>
          </cell>
          <cell r="BJ437">
            <v>0</v>
          </cell>
        </row>
        <row r="438">
          <cell r="AC438">
            <v>-2.0300000000000011</v>
          </cell>
          <cell r="AD438">
            <v>-6.2599999999999909</v>
          </cell>
          <cell r="AE438">
            <v>-18.169999999999959</v>
          </cell>
          <cell r="AF438">
            <v>-41.3599999999999</v>
          </cell>
          <cell r="AG438">
            <v>-74.629999999999654</v>
          </cell>
          <cell r="AH438">
            <v>-138.0600000000004</v>
          </cell>
          <cell r="AI438">
            <v>-154.75</v>
          </cell>
          <cell r="AJ438">
            <v>-200.4900000000016</v>
          </cell>
          <cell r="AK438">
            <v>-228.19000000000233</v>
          </cell>
          <cell r="AL438">
            <v>-187.76000000000022</v>
          </cell>
          <cell r="AM438">
            <v>-222.46000000000095</v>
          </cell>
          <cell r="AN438">
            <v>-431.15999999999985</v>
          </cell>
          <cell r="AO438">
            <v>2920.8100000000013</v>
          </cell>
          <cell r="AP438">
            <v>2512.1999999999971</v>
          </cell>
          <cell r="AQ438">
            <v>2880.619999999999</v>
          </cell>
          <cell r="AR438">
            <v>2927.4000000000015</v>
          </cell>
          <cell r="AS438">
            <v>3149.8500000000022</v>
          </cell>
          <cell r="AT438">
            <v>4638.4500000000044</v>
          </cell>
          <cell r="AU438">
            <v>4633.7700000000077</v>
          </cell>
          <cell r="AV438">
            <v>4694.0199999999968</v>
          </cell>
          <cell r="AW438">
            <v>4370.0300000000025</v>
          </cell>
          <cell r="AX438">
            <v>3120.09</v>
          </cell>
          <cell r="AY438">
            <v>2922.75</v>
          </cell>
          <cell r="AZ438">
            <v>2858.5499999999993</v>
          </cell>
          <cell r="BA438">
            <v>0</v>
          </cell>
          <cell r="BB438">
            <v>-1.0000000002037268E-2</v>
          </cell>
          <cell r="BC438">
            <v>0</v>
          </cell>
          <cell r="BD438">
            <v>0</v>
          </cell>
          <cell r="BE438">
            <v>-9.9999999983992893E-3</v>
          </cell>
          <cell r="BF438">
            <v>0</v>
          </cell>
          <cell r="BG438">
            <v>1.0000000002037268E-2</v>
          </cell>
          <cell r="BH438">
            <v>0</v>
          </cell>
          <cell r="BI438">
            <v>0</v>
          </cell>
          <cell r="BJ438">
            <v>-2.0000000000436557E-2</v>
          </cell>
        </row>
        <row r="440">
          <cell r="AC440">
            <v>0</v>
          </cell>
          <cell r="AD440">
            <v>-2.3599999999999852</v>
          </cell>
          <cell r="AE440">
            <v>-15.409999999999968</v>
          </cell>
          <cell r="AF440">
            <v>-30.590000000000146</v>
          </cell>
          <cell r="AG440">
            <v>-42.990000000000236</v>
          </cell>
          <cell r="AH440">
            <v>-63.339999999999236</v>
          </cell>
          <cell r="AI440">
            <v>-76.780000000000655</v>
          </cell>
          <cell r="AJ440">
            <v>-47.739999999999782</v>
          </cell>
          <cell r="AK440">
            <v>24.350000000000364</v>
          </cell>
          <cell r="AL440">
            <v>81.910000000003492</v>
          </cell>
          <cell r="AM440">
            <v>203.97000000000116</v>
          </cell>
          <cell r="AN440">
            <v>200.97999999999593</v>
          </cell>
          <cell r="AO440">
            <v>1335.9799999999959</v>
          </cell>
          <cell r="AP440">
            <v>1107.9500000000007</v>
          </cell>
          <cell r="AQ440">
            <v>1310.4499999999971</v>
          </cell>
          <cell r="AR440">
            <v>1322.9399999999987</v>
          </cell>
          <cell r="AS440">
            <v>1485.6399999999994</v>
          </cell>
          <cell r="AT440">
            <v>1647.6600000000035</v>
          </cell>
          <cell r="AU440">
            <v>1566.5299999999952</v>
          </cell>
          <cell r="AV440">
            <v>1576.4700000000012</v>
          </cell>
          <cell r="AW440">
            <v>1460.9900000000016</v>
          </cell>
          <cell r="AX440">
            <v>1304.0599999999977</v>
          </cell>
          <cell r="AY440">
            <v>1308.1799999999967</v>
          </cell>
          <cell r="AZ440">
            <v>1219.4799999999996</v>
          </cell>
          <cell r="BA440">
            <v>-1.0000000002037268E-2</v>
          </cell>
          <cell r="BB440">
            <v>9.9999999983992893E-3</v>
          </cell>
          <cell r="BC440">
            <v>0</v>
          </cell>
          <cell r="BD440">
            <v>-9.9999999983992893E-3</v>
          </cell>
          <cell r="BE440">
            <v>0</v>
          </cell>
          <cell r="BF440">
            <v>0</v>
          </cell>
          <cell r="BG440">
            <v>0</v>
          </cell>
          <cell r="BH440">
            <v>0</v>
          </cell>
          <cell r="BI440">
            <v>-9.9999999983992893E-3</v>
          </cell>
          <cell r="BJ440">
            <v>0</v>
          </cell>
        </row>
        <row r="441">
          <cell r="AC441">
            <v>-2.3100000000000023</v>
          </cell>
          <cell r="AD441">
            <v>-25.129999999999995</v>
          </cell>
          <cell r="AE441">
            <v>-52.590000000000032</v>
          </cell>
          <cell r="AF441">
            <v>-48.909999999999854</v>
          </cell>
          <cell r="AG441">
            <v>-9.5199999999999818</v>
          </cell>
          <cell r="AH441">
            <v>37.260000000000218</v>
          </cell>
          <cell r="AI441">
            <v>34.900000000000546</v>
          </cell>
          <cell r="AJ441">
            <v>35.260000000000218</v>
          </cell>
          <cell r="AK441">
            <v>33.880000000000109</v>
          </cell>
          <cell r="AL441">
            <v>27.329999999999927</v>
          </cell>
          <cell r="AM441">
            <v>24.530000000000655</v>
          </cell>
          <cell r="AN441">
            <v>-24.399999999998727</v>
          </cell>
          <cell r="AO441">
            <v>292.63999999999965</v>
          </cell>
          <cell r="AP441">
            <v>159.39999999999986</v>
          </cell>
          <cell r="AQ441">
            <v>168.27000000000021</v>
          </cell>
          <cell r="AR441">
            <v>161.3599999999999</v>
          </cell>
          <cell r="AS441">
            <v>188.62999999999988</v>
          </cell>
          <cell r="AT441">
            <v>335.44999999999982</v>
          </cell>
          <cell r="AU441">
            <v>333.17000000000007</v>
          </cell>
          <cell r="AV441">
            <v>341.91999999999962</v>
          </cell>
          <cell r="AW441">
            <v>325.44000000000005</v>
          </cell>
          <cell r="AX441">
            <v>166.11999999999966</v>
          </cell>
          <cell r="AY441">
            <v>168.27999999999997</v>
          </cell>
          <cell r="AZ441">
            <v>176.41000000000008</v>
          </cell>
          <cell r="BA441">
            <v>-1.999999999998181E-2</v>
          </cell>
          <cell r="BB441">
            <v>0</v>
          </cell>
          <cell r="BC441">
            <v>0</v>
          </cell>
          <cell r="BD441">
            <v>0</v>
          </cell>
          <cell r="BE441">
            <v>9.9999999999909051E-3</v>
          </cell>
          <cell r="BF441">
            <v>0</v>
          </cell>
          <cell r="BG441">
            <v>1.0000000000218279E-2</v>
          </cell>
          <cell r="BH441">
            <v>0</v>
          </cell>
          <cell r="BI441">
            <v>0</v>
          </cell>
          <cell r="BJ441">
            <v>-1.0000000000218279E-2</v>
          </cell>
        </row>
      </sheetData>
      <sheetData sheetId="6">
        <row r="55">
          <cell r="AA55">
            <v>8.9</v>
          </cell>
          <cell r="AB55">
            <v>27.62</v>
          </cell>
          <cell r="AC55">
            <v>47.75</v>
          </cell>
          <cell r="AD55">
            <v>10.19</v>
          </cell>
          <cell r="AE55">
            <v>14.59</v>
          </cell>
          <cell r="AF55">
            <v>20.61</v>
          </cell>
          <cell r="AG55">
            <v>30.53</v>
          </cell>
          <cell r="AH55">
            <v>32.479999999999997</v>
          </cell>
          <cell r="AI55">
            <v>27.84</v>
          </cell>
          <cell r="AJ55">
            <v>23.86</v>
          </cell>
          <cell r="AK55">
            <v>19.86</v>
          </cell>
          <cell r="AL55">
            <v>12.77</v>
          </cell>
          <cell r="AM55">
            <v>0.65</v>
          </cell>
          <cell r="AN55">
            <v>-29.69</v>
          </cell>
          <cell r="AO55">
            <v>-60.87</v>
          </cell>
          <cell r="AP55">
            <v>-95.66</v>
          </cell>
          <cell r="AQ55">
            <v>-132.27000000000001</v>
          </cell>
          <cell r="AR55">
            <v>-184.8</v>
          </cell>
          <cell r="AS55">
            <v>-258.89</v>
          </cell>
          <cell r="AT55">
            <v>-340.17</v>
          </cell>
          <cell r="AU55">
            <v>-413.66</v>
          </cell>
          <cell r="AV55">
            <v>-473.21</v>
          </cell>
          <cell r="AW55">
            <v>-512.52</v>
          </cell>
          <cell r="AX55">
            <v>-553.02</v>
          </cell>
          <cell r="AY55">
            <v>-609.05999999999995</v>
          </cell>
          <cell r="AZ55">
            <v>-631.42999999999995</v>
          </cell>
          <cell r="BA55">
            <v>-641.91</v>
          </cell>
          <cell r="BB55">
            <v>-682.98</v>
          </cell>
          <cell r="BC55">
            <v>-710.59</v>
          </cell>
          <cell r="BD55">
            <v>-729.12</v>
          </cell>
          <cell r="BE55">
            <v>-756.48</v>
          </cell>
          <cell r="BF55">
            <v>-816.07</v>
          </cell>
          <cell r="BG55">
            <v>-867.66</v>
          </cell>
          <cell r="BH55">
            <v>-923.18</v>
          </cell>
          <cell r="BI55">
            <v>-948.11</v>
          </cell>
          <cell r="BJ55">
            <v>-972.51</v>
          </cell>
          <cell r="BK55">
            <v>0</v>
          </cell>
          <cell r="BL55">
            <v>0</v>
          </cell>
          <cell r="BM55">
            <v>0</v>
          </cell>
          <cell r="BN55">
            <v>0</v>
          </cell>
        </row>
        <row r="56">
          <cell r="AA56">
            <v>0</v>
          </cell>
          <cell r="AB56">
            <v>-0.01</v>
          </cell>
          <cell r="AC56">
            <v>-0.13</v>
          </cell>
          <cell r="AD56">
            <v>-0.08</v>
          </cell>
          <cell r="AE56">
            <v>-0.25</v>
          </cell>
          <cell r="AF56">
            <v>-0.66</v>
          </cell>
          <cell r="AG56">
            <v>-1.7</v>
          </cell>
          <cell r="AH56">
            <v>-3.42</v>
          </cell>
          <cell r="AI56">
            <v>-5.63</v>
          </cell>
          <cell r="AJ56">
            <v>-8.06</v>
          </cell>
          <cell r="AK56">
            <v>-11.01</v>
          </cell>
          <cell r="AL56">
            <v>-16.010000000000002</v>
          </cell>
          <cell r="AM56">
            <v>-41.12</v>
          </cell>
          <cell r="AN56">
            <v>-38.630000000000003</v>
          </cell>
          <cell r="AO56">
            <v>-36.340000000000003</v>
          </cell>
          <cell r="AP56">
            <v>-34.81</v>
          </cell>
          <cell r="AQ56">
            <v>-32.090000000000003</v>
          </cell>
          <cell r="AR56">
            <v>-28.19</v>
          </cell>
          <cell r="AS56">
            <v>-27.83</v>
          </cell>
          <cell r="AT56">
            <v>-31.54</v>
          </cell>
          <cell r="AU56">
            <v>-30.65</v>
          </cell>
          <cell r="AV56">
            <v>-27.38</v>
          </cell>
          <cell r="AW56">
            <v>-24.09</v>
          </cell>
          <cell r="AX56">
            <v>-20.93</v>
          </cell>
          <cell r="AY56">
            <v>-26.26</v>
          </cell>
          <cell r="AZ56">
            <v>-37.65</v>
          </cell>
          <cell r="BA56">
            <v>-48.04</v>
          </cell>
          <cell r="BB56">
            <v>-60.86</v>
          </cell>
          <cell r="BC56">
            <v>-73.45</v>
          </cell>
          <cell r="BD56">
            <v>-86.78</v>
          </cell>
          <cell r="BE56">
            <v>-105.55</v>
          </cell>
          <cell r="BF56">
            <v>-131.54</v>
          </cell>
          <cell r="BG56">
            <v>-152.44999999999999</v>
          </cell>
          <cell r="BH56">
            <v>-169.32</v>
          </cell>
          <cell r="BI56">
            <v>-180.73</v>
          </cell>
          <cell r="BJ56">
            <v>-191.46</v>
          </cell>
          <cell r="BK56">
            <v>0</v>
          </cell>
          <cell r="BL56">
            <v>0</v>
          </cell>
          <cell r="BM56">
            <v>0</v>
          </cell>
          <cell r="BN56">
            <v>0</v>
          </cell>
        </row>
        <row r="58">
          <cell r="AA58">
            <v>0.02</v>
          </cell>
          <cell r="AB58">
            <v>0.05</v>
          </cell>
          <cell r="AC58">
            <v>0</v>
          </cell>
          <cell r="AD58">
            <v>-0.04</v>
          </cell>
          <cell r="AE58">
            <v>-0.14000000000000001</v>
          </cell>
          <cell r="AF58">
            <v>-0.31</v>
          </cell>
          <cell r="AG58">
            <v>-0.66</v>
          </cell>
          <cell r="AH58">
            <v>-1.1599999999999999</v>
          </cell>
          <cell r="AI58">
            <v>-1.87</v>
          </cell>
          <cell r="AJ58">
            <v>-2.8</v>
          </cell>
          <cell r="AK58">
            <v>-3.91</v>
          </cell>
          <cell r="AL58">
            <v>-5.64</v>
          </cell>
          <cell r="AM58">
            <v>-14.1</v>
          </cell>
          <cell r="AN58">
            <v>-12.54</v>
          </cell>
          <cell r="AO58">
            <v>-11.03</v>
          </cell>
          <cell r="AP58">
            <v>-9.65</v>
          </cell>
          <cell r="AQ58">
            <v>-7.78</v>
          </cell>
          <cell r="AR58">
            <v>-5.46</v>
          </cell>
          <cell r="AS58">
            <v>-2.83</v>
          </cell>
          <cell r="AT58">
            <v>-0.17</v>
          </cell>
          <cell r="AU58">
            <v>2.46</v>
          </cell>
          <cell r="AV58">
            <v>4.6500000000000004</v>
          </cell>
          <cell r="AW58">
            <v>6.69</v>
          </cell>
          <cell r="AX58">
            <v>8.67</v>
          </cell>
          <cell r="AY58">
            <v>7.62</v>
          </cell>
          <cell r="AZ58">
            <v>3.05</v>
          </cell>
          <cell r="BA58">
            <v>-1.63</v>
          </cell>
          <cell r="BB58">
            <v>-6.46</v>
          </cell>
          <cell r="BC58">
            <v>-11.76</v>
          </cell>
          <cell r="BD58">
            <v>-16.989999999999998</v>
          </cell>
          <cell r="BE58">
            <v>-21.63</v>
          </cell>
          <cell r="BF58">
            <v>-26.75</v>
          </cell>
          <cell r="BG58">
            <v>-31.68</v>
          </cell>
          <cell r="BH58">
            <v>-36.81</v>
          </cell>
          <cell r="BI58">
            <v>-41.29</v>
          </cell>
          <cell r="BJ58">
            <v>-45.59</v>
          </cell>
          <cell r="BK58">
            <v>0</v>
          </cell>
          <cell r="BL58">
            <v>0</v>
          </cell>
          <cell r="BM58">
            <v>0</v>
          </cell>
          <cell r="BN58">
            <v>0</v>
          </cell>
        </row>
        <row r="59">
          <cell r="AA59">
            <v>0</v>
          </cell>
          <cell r="AB59">
            <v>-0.04</v>
          </cell>
          <cell r="AC59">
            <v>-0.16</v>
          </cell>
          <cell r="AD59">
            <v>-0.05</v>
          </cell>
          <cell r="AE59">
            <v>-7.0000000000000007E-2</v>
          </cell>
          <cell r="AF59">
            <v>-7.0000000000000007E-2</v>
          </cell>
          <cell r="AG59">
            <v>-0.04</v>
          </cell>
          <cell r="AH59">
            <v>0.02</v>
          </cell>
          <cell r="AI59">
            <v>0.12</v>
          </cell>
          <cell r="AJ59">
            <v>0.21</v>
          </cell>
          <cell r="AK59">
            <v>0.28000000000000003</v>
          </cell>
          <cell r="AL59">
            <v>0.12</v>
          </cell>
          <cell r="AM59">
            <v>-0.04</v>
          </cell>
          <cell r="AN59">
            <v>0.32</v>
          </cell>
          <cell r="AO59">
            <v>0.66</v>
          </cell>
          <cell r="AP59">
            <v>1.04</v>
          </cell>
          <cell r="AQ59">
            <v>1.45</v>
          </cell>
          <cell r="AR59">
            <v>2.08</v>
          </cell>
          <cell r="AS59">
            <v>2.93</v>
          </cell>
          <cell r="AT59">
            <v>3.81</v>
          </cell>
          <cell r="AU59">
            <v>4.6900000000000004</v>
          </cell>
          <cell r="AV59">
            <v>5.41</v>
          </cell>
          <cell r="AW59">
            <v>5.85</v>
          </cell>
          <cell r="AX59">
            <v>6.28</v>
          </cell>
          <cell r="AY59">
            <v>6.44</v>
          </cell>
          <cell r="AZ59">
            <v>5.85</v>
          </cell>
          <cell r="BA59">
            <v>5.19</v>
          </cell>
          <cell r="BB59">
            <v>4.8600000000000003</v>
          </cell>
          <cell r="BC59">
            <v>4.34</v>
          </cell>
          <cell r="BD59">
            <v>3.48</v>
          </cell>
          <cell r="BE59">
            <v>2.4900000000000002</v>
          </cell>
          <cell r="BF59">
            <v>1.63</v>
          </cell>
          <cell r="BG59">
            <v>0.78</v>
          </cell>
          <cell r="BH59">
            <v>0.23</v>
          </cell>
          <cell r="BI59">
            <v>-0.21</v>
          </cell>
          <cell r="BJ59">
            <v>-0.69</v>
          </cell>
          <cell r="BK59">
            <v>0</v>
          </cell>
          <cell r="BL59">
            <v>0</v>
          </cell>
          <cell r="BM59">
            <v>0</v>
          </cell>
          <cell r="BN59">
            <v>0</v>
          </cell>
        </row>
      </sheetData>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EE EO Summary"/>
      <sheetName val="PY4 2023 EO"/>
      <sheetName val="Small Business"/>
      <sheetName val="Summary- Custom"/>
      <sheetName val="Summary- Std"/>
      <sheetName val="MEEIA 3 PY4 Bus Cust Std"/>
      <sheetName val="MEEIA 3 PY4 by month"/>
      <sheetName val="MEEIA 3 PY4"/>
      <sheetName val="Intake Form Summary"/>
      <sheetName val="Energy Audit Summary"/>
      <sheetName val="RDR Events"/>
      <sheetName val="MEEIA 3"/>
      <sheetName val="MEEIA 3 PY3"/>
      <sheetName val="SI Projects YTD data"/>
      <sheetName val="Instructions"/>
    </sheetNames>
    <sheetDataSet>
      <sheetData sheetId="0"/>
      <sheetData sheetId="1">
        <row r="116">
          <cell r="E116">
            <v>1409245.8</v>
          </cell>
        </row>
        <row r="117">
          <cell r="E117">
            <v>366668.97000000003</v>
          </cell>
        </row>
        <row r="119">
          <cell r="E119">
            <v>351922.98000000004</v>
          </cell>
        </row>
        <row r="120">
          <cell r="E120">
            <v>258967.71000000002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EE EO Summary"/>
      <sheetName val="MEEIA 3 PY5 EO"/>
      <sheetName val="Allocated PY5 spend by program"/>
      <sheetName val="MEEIA 3 PY5 Monthly spend data"/>
      <sheetName val="MEEIA 3 PY5 Bus Cust Std NL SGS"/>
      <sheetName val="Summary FOR EO Rpt"/>
      <sheetName val="MEEIA 3 YTD PY5-Labor"/>
      <sheetName val="MEEIA 3 YTD PY5"/>
      <sheetName val="SI Projects YTD data"/>
      <sheetName val="Instructions"/>
    </sheetNames>
    <sheetDataSet>
      <sheetData sheetId="0"/>
      <sheetData sheetId="1">
        <row r="278">
          <cell r="E278">
            <v>1243468.9281133313</v>
          </cell>
        </row>
        <row r="279">
          <cell r="E279">
            <v>435513.3053627116</v>
          </cell>
        </row>
        <row r="281">
          <cell r="E281">
            <v>429766.19858818926</v>
          </cell>
        </row>
        <row r="282">
          <cell r="E282">
            <v>283886.00825733197</v>
          </cell>
        </row>
      </sheetData>
      <sheetData sheetId="2"/>
      <sheetData sheetId="3"/>
      <sheetData sheetId="4"/>
      <sheetData sheetId="5"/>
      <sheetData sheetId="6"/>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EE EO Summary"/>
      <sheetName val="MEEIA 3 PY5 EO"/>
      <sheetName val="2024 DR called events"/>
      <sheetName val="Allocated PY5 spend by program"/>
      <sheetName val="MEEIA 3 PY5 Monthly spend data"/>
      <sheetName val="MEEIA 3 PY5 Bus Cust Std NL SGS"/>
      <sheetName val="Summary FOR EO Rpt"/>
      <sheetName val="MEEIA 3 YTD PY5-Labor"/>
      <sheetName val="MEEIA 3 YTD PY5"/>
      <sheetName val="SI Projects YTD data"/>
      <sheetName val="Instructions"/>
    </sheetNames>
    <sheetDataSet>
      <sheetData sheetId="0"/>
      <sheetData sheetId="1">
        <row r="300">
          <cell r="E300">
            <v>-3455.4363846643828</v>
          </cell>
        </row>
        <row r="301">
          <cell r="E301">
            <v>720.55985298706219</v>
          </cell>
        </row>
        <row r="303">
          <cell r="E303">
            <v>539.76379697263474</v>
          </cell>
        </row>
        <row r="304">
          <cell r="E304">
            <v>342.27617171767633</v>
          </cell>
        </row>
      </sheetData>
      <sheetData sheetId="2"/>
      <sheetData sheetId="3"/>
      <sheetData sheetId="4"/>
      <sheetData sheetId="5"/>
      <sheetData sheetId="6"/>
      <sheetData sheetId="7"/>
      <sheetData sheetId="8"/>
      <sheetData sheetId="9"/>
      <sheetData sheetId="1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E EO Summary"/>
      <sheetName val="MEEIA 3 PY5 EO"/>
      <sheetName val="2024 DR called events"/>
      <sheetName val="MEEIA 3 Monthly spend"/>
      <sheetName val="Allocated PY5 spend by program"/>
      <sheetName val="MEEIA 3 PY5 Monthly spend data"/>
      <sheetName val="MEEIA 3 PY5 Bus Cust Std NL SGS"/>
      <sheetName val="RI Business Detail "/>
      <sheetName val="Summary FOR EO Rpt"/>
      <sheetName val="MEEIA 3 YTD PY5-Labor"/>
      <sheetName val="MEEIA 3 YTD PY5"/>
      <sheetName val="SI Projects YTD data"/>
      <sheetName val="Instructions"/>
    </sheetNames>
    <sheetDataSet>
      <sheetData sheetId="0"/>
      <sheetData sheetId="1">
        <row r="300">
          <cell r="E300">
            <v>-1524.6539192320779</v>
          </cell>
        </row>
        <row r="301">
          <cell r="E301">
            <v>-431.10972673317883</v>
          </cell>
        </row>
        <row r="303">
          <cell r="E303">
            <v>-270.55707435874501</v>
          </cell>
        </row>
        <row r="304">
          <cell r="E304">
            <v>-149.27432157873409</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A Summary by Rate Class"/>
      <sheetName val="EMM M3 Summary"/>
      <sheetName val="EMW M3 Summary"/>
      <sheetName val="EMM M4 Summary"/>
      <sheetName val="Electrification Reclass Ledger"/>
      <sheetName val="OA Pivot_Alloc Summary"/>
      <sheetName val="Pivot_Alloc Electrification"/>
      <sheetName val="Ledger Data"/>
      <sheetName val="SI0000METROM4 202502 ALLOC"/>
      <sheetName val="Electrification Allocations"/>
      <sheetName val="OA plus Int calc- Q0003_ Progra"/>
    </sheetNames>
    <sheetDataSet>
      <sheetData sheetId="0">
        <row r="16">
          <cell r="D16">
            <v>-19503</v>
          </cell>
        </row>
        <row r="17">
          <cell r="D17">
            <v>-1816.0300000000002</v>
          </cell>
        </row>
        <row r="18">
          <cell r="D18">
            <v>-1376.22</v>
          </cell>
        </row>
        <row r="19">
          <cell r="D19">
            <v>-1212.8</v>
          </cell>
        </row>
      </sheetData>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MO Billed kWh Sales"/>
    </sheetNames>
    <sheetDataSet>
      <sheetData sheetId="0">
        <row r="32">
          <cell r="R32">
            <v>216928747</v>
          </cell>
          <cell r="S32">
            <v>275513346</v>
          </cell>
          <cell r="T32">
            <v>390415008</v>
          </cell>
        </row>
        <row r="33">
          <cell r="R33">
            <v>122948492</v>
          </cell>
          <cell r="S33">
            <v>136564908</v>
          </cell>
          <cell r="T33">
            <v>152444709</v>
          </cell>
        </row>
        <row r="34">
          <cell r="R34">
            <v>92522534</v>
          </cell>
          <cell r="S34">
            <v>102769307</v>
          </cell>
          <cell r="T34">
            <v>114719347</v>
          </cell>
        </row>
        <row r="35">
          <cell r="R35">
            <v>77509634</v>
          </cell>
          <cell r="S35">
            <v>86093744</v>
          </cell>
          <cell r="T35">
            <v>96104746</v>
          </cell>
        </row>
        <row r="43">
          <cell r="E43">
            <v>1977969275</v>
          </cell>
          <cell r="F43">
            <v>1814171988</v>
          </cell>
        </row>
        <row r="44">
          <cell r="E44">
            <v>670196038</v>
          </cell>
          <cell r="F44">
            <v>660803310</v>
          </cell>
        </row>
        <row r="45">
          <cell r="E45">
            <v>533242223</v>
          </cell>
          <cell r="F45">
            <v>530526228</v>
          </cell>
        </row>
        <row r="46">
          <cell r="E46">
            <v>679334340</v>
          </cell>
          <cell r="F46">
            <v>774422304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EMW Nov25"/>
      <sheetName val="EMW Dec25"/>
      <sheetName val="EMW Jan26"/>
      <sheetName val="EMW Feb26"/>
      <sheetName val="EMW Mar26"/>
      <sheetName val="EMW Apr26"/>
    </sheetNames>
    <sheetDataSet>
      <sheetData sheetId="0">
        <row r="87">
          <cell r="G87">
            <v>0.19</v>
          </cell>
        </row>
        <row r="88">
          <cell r="G88">
            <v>0.22</v>
          </cell>
        </row>
        <row r="89">
          <cell r="G89">
            <v>0</v>
          </cell>
        </row>
        <row r="90">
          <cell r="G90">
            <v>0</v>
          </cell>
        </row>
        <row r="94">
          <cell r="G94">
            <v>83975.9</v>
          </cell>
        </row>
        <row r="95">
          <cell r="G95">
            <v>39002.25</v>
          </cell>
        </row>
        <row r="96">
          <cell r="G96">
            <v>15166.38</v>
          </cell>
        </row>
        <row r="97">
          <cell r="G97">
            <v>-38740.22</v>
          </cell>
        </row>
        <row r="101">
          <cell r="G101">
            <v>15468.97</v>
          </cell>
        </row>
        <row r="102">
          <cell r="G102">
            <v>36889.54</v>
          </cell>
        </row>
        <row r="103">
          <cell r="G103">
            <v>21907</v>
          </cell>
        </row>
        <row r="104">
          <cell r="G104">
            <v>8108.42</v>
          </cell>
        </row>
        <row r="108">
          <cell r="G108">
            <v>4419.7199999999993</v>
          </cell>
        </row>
        <row r="109">
          <cell r="G109">
            <v>-5.999999999994543E-2</v>
          </cell>
        </row>
        <row r="110">
          <cell r="G110">
            <v>4212.8900000000003</v>
          </cell>
        </row>
        <row r="111">
          <cell r="G111">
            <v>1801.88</v>
          </cell>
        </row>
        <row r="115">
          <cell r="G115">
            <v>-13259.4</v>
          </cell>
        </row>
        <row r="116">
          <cell r="G116">
            <v>-5270.27</v>
          </cell>
        </row>
        <row r="117">
          <cell r="G117">
            <v>-5055.46</v>
          </cell>
        </row>
        <row r="118">
          <cell r="G118">
            <v>-5405.61</v>
          </cell>
        </row>
        <row r="122">
          <cell r="G122">
            <v>112702.19</v>
          </cell>
        </row>
        <row r="123">
          <cell r="G123">
            <v>45320.93</v>
          </cell>
        </row>
        <row r="124">
          <cell r="G124">
            <v>53924.92</v>
          </cell>
        </row>
        <row r="125">
          <cell r="G125">
            <v>53155.19</v>
          </cell>
        </row>
        <row r="129">
          <cell r="G129">
            <v>377885.07</v>
          </cell>
        </row>
        <row r="130">
          <cell r="G130">
            <v>145449.82999999999</v>
          </cell>
        </row>
        <row r="131">
          <cell r="G131">
            <v>249402.75</v>
          </cell>
        </row>
        <row r="132">
          <cell r="G132">
            <v>422538.67</v>
          </cell>
        </row>
        <row r="136">
          <cell r="G136">
            <v>-88392.579999999987</v>
          </cell>
        </row>
        <row r="137">
          <cell r="G137">
            <v>-16857.34</v>
          </cell>
        </row>
        <row r="138">
          <cell r="G138">
            <v>-49712.06</v>
          </cell>
        </row>
        <row r="139">
          <cell r="G139">
            <v>-108112.34</v>
          </cell>
        </row>
        <row r="143">
          <cell r="G143">
            <v>8839.44</v>
          </cell>
        </row>
        <row r="144">
          <cell r="G144">
            <v>5269.78</v>
          </cell>
        </row>
        <row r="145">
          <cell r="G145">
            <v>3370.31</v>
          </cell>
        </row>
        <row r="146">
          <cell r="G146">
            <v>900.94</v>
          </cell>
        </row>
        <row r="150">
          <cell r="G150">
            <v>-4419.62</v>
          </cell>
        </row>
        <row r="151">
          <cell r="G151">
            <v>0</v>
          </cell>
        </row>
        <row r="152">
          <cell r="G152">
            <v>0</v>
          </cell>
        </row>
        <row r="153">
          <cell r="G153">
            <v>0</v>
          </cell>
        </row>
        <row r="157">
          <cell r="G157">
            <v>0</v>
          </cell>
        </row>
        <row r="158">
          <cell r="G158">
            <v>0</v>
          </cell>
        </row>
        <row r="159">
          <cell r="G159">
            <v>0</v>
          </cell>
        </row>
        <row r="160">
          <cell r="G160">
            <v>0</v>
          </cell>
        </row>
        <row r="182">
          <cell r="G182">
            <v>220985977.56239998</v>
          </cell>
        </row>
        <row r="183">
          <cell r="G183">
            <v>105399935.54650001</v>
          </cell>
        </row>
        <row r="184">
          <cell r="G184">
            <v>84257686.598700002</v>
          </cell>
        </row>
        <row r="185">
          <cell r="G185">
            <v>90093533.371399999</v>
          </cell>
        </row>
      </sheetData>
      <sheetData sheetId="1">
        <row r="87">
          <cell r="G87">
            <v>31.22</v>
          </cell>
        </row>
        <row r="88">
          <cell r="G88">
            <v>45.9</v>
          </cell>
        </row>
        <row r="89">
          <cell r="G89">
            <v>0</v>
          </cell>
        </row>
        <row r="90">
          <cell r="G90">
            <v>0</v>
          </cell>
        </row>
        <row r="94">
          <cell r="G94">
            <v>122161.38</v>
          </cell>
        </row>
        <row r="95">
          <cell r="G95">
            <v>46613.009999999995</v>
          </cell>
        </row>
        <row r="96">
          <cell r="G96">
            <v>16318.87</v>
          </cell>
        </row>
        <row r="97">
          <cell r="G97">
            <v>-40673.43</v>
          </cell>
        </row>
        <row r="101">
          <cell r="G101">
            <v>22514.63</v>
          </cell>
        </row>
        <row r="102">
          <cell r="G102">
            <v>44119.94</v>
          </cell>
        </row>
        <row r="103">
          <cell r="G103">
            <v>23571.7</v>
          </cell>
        </row>
        <row r="104">
          <cell r="G104">
            <v>8513.0400000000009</v>
          </cell>
        </row>
        <row r="108">
          <cell r="G108">
            <v>6429.43</v>
          </cell>
        </row>
        <row r="109">
          <cell r="G109">
            <v>-1.1899999999998272</v>
          </cell>
        </row>
        <row r="110">
          <cell r="G110">
            <v>4533.0200000000004</v>
          </cell>
        </row>
        <row r="111">
          <cell r="G111">
            <v>1891.78</v>
          </cell>
        </row>
        <row r="115">
          <cell r="G115">
            <v>-19289.93</v>
          </cell>
        </row>
        <row r="116">
          <cell r="G116">
            <v>-6300.1</v>
          </cell>
        </row>
        <row r="117">
          <cell r="G117">
            <v>-5439.62</v>
          </cell>
        </row>
        <row r="118">
          <cell r="G118">
            <v>-5675.36</v>
          </cell>
        </row>
        <row r="122">
          <cell r="G122">
            <v>163958.57</v>
          </cell>
        </row>
        <row r="123">
          <cell r="G123">
            <v>54194.02</v>
          </cell>
        </row>
        <row r="124">
          <cell r="G124">
            <v>58022.65</v>
          </cell>
        </row>
        <row r="125">
          <cell r="G125">
            <v>55807.73</v>
          </cell>
        </row>
        <row r="129">
          <cell r="G129">
            <v>549693.68000000005</v>
          </cell>
        </row>
        <row r="130">
          <cell r="G130">
            <v>173890.21</v>
          </cell>
        </row>
        <row r="131">
          <cell r="G131">
            <v>268354.78999999998</v>
          </cell>
        </row>
        <row r="132">
          <cell r="G132">
            <v>443624.12</v>
          </cell>
        </row>
        <row r="136">
          <cell r="G136">
            <v>-128575.29</v>
          </cell>
        </row>
        <row r="137">
          <cell r="G137">
            <v>-20160.11</v>
          </cell>
        </row>
        <row r="138">
          <cell r="G138">
            <v>-53489.59</v>
          </cell>
        </row>
        <row r="139">
          <cell r="G139">
            <v>-113507.21</v>
          </cell>
        </row>
        <row r="143">
          <cell r="G143">
            <v>12858.48</v>
          </cell>
        </row>
        <row r="144">
          <cell r="G144">
            <v>6300.48</v>
          </cell>
        </row>
        <row r="145">
          <cell r="G145">
            <v>3626.42</v>
          </cell>
        </row>
        <row r="146">
          <cell r="G146">
            <v>945.89</v>
          </cell>
        </row>
        <row r="150">
          <cell r="G150">
            <v>-6428.62</v>
          </cell>
        </row>
        <row r="151">
          <cell r="G151">
            <v>0</v>
          </cell>
        </row>
        <row r="152">
          <cell r="G152">
            <v>0</v>
          </cell>
        </row>
        <row r="153">
          <cell r="G153">
            <v>0</v>
          </cell>
        </row>
        <row r="157">
          <cell r="G157">
            <v>0</v>
          </cell>
        </row>
        <row r="158">
          <cell r="G158">
            <v>0</v>
          </cell>
        </row>
        <row r="159">
          <cell r="G159">
            <v>0</v>
          </cell>
        </row>
        <row r="160">
          <cell r="G160">
            <v>0</v>
          </cell>
        </row>
        <row r="182">
          <cell r="G182">
            <v>321485837.79620016</v>
          </cell>
        </row>
        <row r="183">
          <cell r="G183">
            <v>126037127.80310002</v>
          </cell>
        </row>
        <row r="184">
          <cell r="G184">
            <v>90660400.780400008</v>
          </cell>
        </row>
        <row r="185">
          <cell r="G185">
            <v>94589365.35210003</v>
          </cell>
        </row>
      </sheetData>
      <sheetData sheetId="2">
        <row r="87">
          <cell r="G87">
            <v>-19.66</v>
          </cell>
        </row>
        <row r="88">
          <cell r="G88">
            <v>1.04</v>
          </cell>
        </row>
        <row r="89">
          <cell r="G89">
            <v>0</v>
          </cell>
        </row>
        <row r="90">
          <cell r="G90">
            <v>0</v>
          </cell>
        </row>
        <row r="94">
          <cell r="G94">
            <v>133408.21</v>
          </cell>
        </row>
        <row r="95">
          <cell r="G95">
            <v>46812.26</v>
          </cell>
        </row>
        <row r="96">
          <cell r="G96">
            <v>15516.68</v>
          </cell>
        </row>
        <row r="97">
          <cell r="G97">
            <v>-39214.85</v>
          </cell>
        </row>
        <row r="101">
          <cell r="G101">
            <v>24570.11</v>
          </cell>
        </row>
        <row r="102">
          <cell r="G102">
            <v>44282.46</v>
          </cell>
        </row>
        <row r="103">
          <cell r="G103">
            <v>22412.98</v>
          </cell>
        </row>
        <row r="104">
          <cell r="G104">
            <v>8207.76</v>
          </cell>
        </row>
        <row r="108">
          <cell r="G108">
            <v>7021.19</v>
          </cell>
        </row>
        <row r="109">
          <cell r="G109">
            <v>-4.9999999999954525E-2</v>
          </cell>
        </row>
        <row r="110">
          <cell r="G110">
            <v>4310.1900000000005</v>
          </cell>
        </row>
        <row r="111">
          <cell r="G111">
            <v>1823.94</v>
          </cell>
        </row>
        <row r="115">
          <cell r="G115">
            <v>-21063.86</v>
          </cell>
        </row>
        <row r="116">
          <cell r="G116">
            <v>-6325.95</v>
          </cell>
        </row>
        <row r="117">
          <cell r="G117">
            <v>-5172.2299999999996</v>
          </cell>
        </row>
        <row r="118">
          <cell r="G118">
            <v>-5471.84</v>
          </cell>
        </row>
        <row r="122">
          <cell r="G122">
            <v>179041.53</v>
          </cell>
        </row>
        <row r="123">
          <cell r="G123">
            <v>54403.64</v>
          </cell>
        </row>
        <row r="124">
          <cell r="G124">
            <v>55170.41</v>
          </cell>
        </row>
        <row r="125">
          <cell r="G125">
            <v>53806.42</v>
          </cell>
        </row>
        <row r="129">
          <cell r="G129">
            <v>600339.68999999994</v>
          </cell>
        </row>
        <row r="130">
          <cell r="G130">
            <v>174595.8</v>
          </cell>
        </row>
        <row r="131">
          <cell r="G131">
            <v>255163.13</v>
          </cell>
        </row>
        <row r="132">
          <cell r="G132">
            <v>427715.46</v>
          </cell>
        </row>
        <row r="136">
          <cell r="G136">
            <v>-140430.28</v>
          </cell>
        </row>
        <row r="137">
          <cell r="G137">
            <v>-20242.600000000002</v>
          </cell>
        </row>
        <row r="138">
          <cell r="G138">
            <v>-50860.14</v>
          </cell>
        </row>
        <row r="139">
          <cell r="G139">
            <v>-109436.73</v>
          </cell>
        </row>
        <row r="143">
          <cell r="G143">
            <v>14043.06</v>
          </cell>
        </row>
        <row r="144">
          <cell r="G144">
            <v>6325.93</v>
          </cell>
        </row>
        <row r="145">
          <cell r="G145">
            <v>3448.15</v>
          </cell>
        </row>
        <row r="146">
          <cell r="G146">
            <v>911.97</v>
          </cell>
        </row>
        <row r="150">
          <cell r="G150">
            <v>-7021.6</v>
          </cell>
        </row>
        <row r="151">
          <cell r="G151">
            <v>0</v>
          </cell>
        </row>
        <row r="152">
          <cell r="G152">
            <v>0</v>
          </cell>
        </row>
        <row r="153">
          <cell r="G153">
            <v>0</v>
          </cell>
        </row>
        <row r="157">
          <cell r="G157">
            <v>0</v>
          </cell>
        </row>
        <row r="158">
          <cell r="G158">
            <v>0</v>
          </cell>
        </row>
        <row r="159">
          <cell r="G159">
            <v>0</v>
          </cell>
        </row>
        <row r="160">
          <cell r="G160">
            <v>0</v>
          </cell>
        </row>
        <row r="182">
          <cell r="G182">
            <v>351066477.35249978</v>
          </cell>
        </row>
        <row r="183">
          <cell r="G183">
            <v>126520242.71469998</v>
          </cell>
        </row>
        <row r="184">
          <cell r="G184">
            <v>86203760.882100016</v>
          </cell>
        </row>
        <row r="185">
          <cell r="G185">
            <v>91197325.785100013</v>
          </cell>
        </row>
      </sheetData>
      <sheetData sheetId="3">
        <row r="87">
          <cell r="G87">
            <v>-7.64</v>
          </cell>
        </row>
        <row r="88">
          <cell r="G88">
            <v>13.45</v>
          </cell>
        </row>
        <row r="89">
          <cell r="G89">
            <v>0</v>
          </cell>
        </row>
        <row r="90">
          <cell r="G90">
            <v>0</v>
          </cell>
        </row>
        <row r="94">
          <cell r="G94">
            <v>65094.16</v>
          </cell>
        </row>
        <row r="95">
          <cell r="G95">
            <v>13369.519999999999</v>
          </cell>
        </row>
        <row r="96">
          <cell r="G96">
            <v>3674.95</v>
          </cell>
        </row>
        <row r="97">
          <cell r="G97">
            <v>-13712.01</v>
          </cell>
        </row>
        <row r="101">
          <cell r="G101">
            <v>26791.23</v>
          </cell>
        </row>
        <row r="102">
          <cell r="G102">
            <v>38315.769999999997</v>
          </cell>
        </row>
        <row r="103">
          <cell r="G103">
            <v>20114.46</v>
          </cell>
        </row>
        <row r="104">
          <cell r="G104">
            <v>7275.45</v>
          </cell>
        </row>
        <row r="108">
          <cell r="G108">
            <v>7655.62</v>
          </cell>
        </row>
        <row r="109">
          <cell r="G109">
            <v>-0.66000000000000014</v>
          </cell>
        </row>
        <row r="110">
          <cell r="G110">
            <v>919.41000000000008</v>
          </cell>
        </row>
        <row r="111">
          <cell r="G111">
            <v>5.4</v>
          </cell>
        </row>
        <row r="115">
          <cell r="G115">
            <v>-11486.2</v>
          </cell>
        </row>
        <row r="116">
          <cell r="G116">
            <v>-2657.34</v>
          </cell>
        </row>
        <row r="117">
          <cell r="G117">
            <v>-1833.46</v>
          </cell>
        </row>
        <row r="118">
          <cell r="G118">
            <v>-922.6</v>
          </cell>
        </row>
        <row r="122">
          <cell r="G122">
            <v>107199.71</v>
          </cell>
        </row>
        <row r="123">
          <cell r="G123">
            <v>23886.949999999997</v>
          </cell>
        </row>
        <row r="124">
          <cell r="G124">
            <v>25641.61</v>
          </cell>
        </row>
        <row r="125">
          <cell r="G125">
            <v>17380.79</v>
          </cell>
        </row>
        <row r="129">
          <cell r="G129">
            <v>597155.83999999997</v>
          </cell>
        </row>
        <row r="130">
          <cell r="G130">
            <v>215012.94</v>
          </cell>
        </row>
        <row r="131">
          <cell r="G131">
            <v>276035.06</v>
          </cell>
        </row>
        <row r="132">
          <cell r="G132">
            <v>413675.27</v>
          </cell>
        </row>
        <row r="136">
          <cell r="G136">
            <v>-168420.34</v>
          </cell>
        </row>
        <row r="137">
          <cell r="G137">
            <v>5183.97</v>
          </cell>
        </row>
        <row r="138">
          <cell r="G138">
            <v>-81310.34</v>
          </cell>
        </row>
        <row r="139">
          <cell r="G139">
            <v>-269522.74</v>
          </cell>
        </row>
        <row r="143">
          <cell r="G143">
            <v>15311.23</v>
          </cell>
        </row>
        <row r="144">
          <cell r="G144">
            <v>14487.26</v>
          </cell>
        </row>
        <row r="145">
          <cell r="G145">
            <v>6394.33</v>
          </cell>
        </row>
        <row r="146">
          <cell r="G146">
            <v>2.7</v>
          </cell>
        </row>
        <row r="150">
          <cell r="G150">
            <v>-11482.48</v>
          </cell>
        </row>
        <row r="151">
          <cell r="G151">
            <v>-2629.63</v>
          </cell>
        </row>
        <row r="152">
          <cell r="G152">
            <v>-1825.42</v>
          </cell>
        </row>
        <row r="153">
          <cell r="G153">
            <v>-906.39</v>
          </cell>
        </row>
        <row r="157">
          <cell r="G157">
            <v>0</v>
          </cell>
        </row>
        <row r="158">
          <cell r="G158">
            <v>0</v>
          </cell>
        </row>
        <row r="159">
          <cell r="G159">
            <v>0</v>
          </cell>
        </row>
        <row r="160">
          <cell r="G160">
            <v>0</v>
          </cell>
        </row>
        <row r="182">
          <cell r="G182">
            <v>382774353.1940999</v>
          </cell>
        </row>
        <row r="183">
          <cell r="G183">
            <v>132011534.55000004</v>
          </cell>
        </row>
        <row r="184">
          <cell r="G184">
            <v>91404998.802500024</v>
          </cell>
        </row>
        <row r="185">
          <cell r="G185">
            <v>90909332.207900003</v>
          </cell>
        </row>
      </sheetData>
      <sheetData sheetId="4">
        <row r="87">
          <cell r="G87">
            <v>-29.04</v>
          </cell>
        </row>
        <row r="88">
          <cell r="G88">
            <v>-3.34</v>
          </cell>
        </row>
        <row r="89">
          <cell r="G89">
            <v>4.17</v>
          </cell>
        </row>
        <row r="90">
          <cell r="G90">
            <v>-5672.54</v>
          </cell>
        </row>
        <row r="94">
          <cell r="G94">
            <v>46326.18</v>
          </cell>
        </row>
        <row r="95">
          <cell r="G95">
            <v>10913.98</v>
          </cell>
        </row>
        <row r="96">
          <cell r="G96">
            <v>3491.95</v>
          </cell>
        </row>
        <row r="97">
          <cell r="G97">
            <v>44412.639999999999</v>
          </cell>
        </row>
        <row r="101">
          <cell r="G101">
            <v>19070.79</v>
          </cell>
        </row>
        <row r="102">
          <cell r="G102">
            <v>32068.83</v>
          </cell>
        </row>
        <row r="103">
          <cell r="G103">
            <v>18811.47</v>
          </cell>
        </row>
        <row r="104">
          <cell r="G104">
            <v>-8502.51</v>
          </cell>
        </row>
        <row r="108">
          <cell r="G108">
            <v>5450.98</v>
          </cell>
        </row>
        <row r="109">
          <cell r="G109">
            <v>0.83000000000000007</v>
          </cell>
        </row>
        <row r="110">
          <cell r="G110">
            <v>869.16</v>
          </cell>
        </row>
        <row r="111">
          <cell r="G111">
            <v>-3760.85</v>
          </cell>
        </row>
        <row r="115">
          <cell r="G115">
            <v>-8174.84</v>
          </cell>
        </row>
        <row r="116">
          <cell r="G116">
            <v>-2199.04</v>
          </cell>
        </row>
        <row r="117">
          <cell r="G117">
            <v>-1727.21</v>
          </cell>
        </row>
        <row r="118">
          <cell r="G118">
            <v>10802.17</v>
          </cell>
        </row>
        <row r="122">
          <cell r="G122">
            <v>76301.040000000008</v>
          </cell>
        </row>
        <row r="123">
          <cell r="G123">
            <v>19850.899999999998</v>
          </cell>
        </row>
        <row r="124">
          <cell r="G124">
            <v>24030.31</v>
          </cell>
        </row>
        <row r="125">
          <cell r="G125">
            <v>-74130.75</v>
          </cell>
        </row>
        <row r="129">
          <cell r="G129">
            <v>425183.07</v>
          </cell>
        </row>
        <row r="130">
          <cell r="G130">
            <v>180424.17</v>
          </cell>
        </row>
        <row r="131">
          <cell r="G131">
            <v>258055.94</v>
          </cell>
        </row>
        <row r="132">
          <cell r="G132">
            <v>-465479.05</v>
          </cell>
        </row>
        <row r="136">
          <cell r="G136">
            <v>-119929.29000000001</v>
          </cell>
        </row>
        <row r="137">
          <cell r="G137">
            <v>4473.74</v>
          </cell>
        </row>
        <row r="138">
          <cell r="G138">
            <v>-75923.740000000005</v>
          </cell>
        </row>
        <row r="139">
          <cell r="G139">
            <v>3699.69</v>
          </cell>
        </row>
        <row r="143">
          <cell r="G143">
            <v>10902.13</v>
          </cell>
        </row>
        <row r="144">
          <cell r="G144">
            <v>12190.36</v>
          </cell>
        </row>
        <row r="145">
          <cell r="G145">
            <v>5970.91</v>
          </cell>
        </row>
        <row r="146">
          <cell r="G146">
            <v>-1433.44</v>
          </cell>
        </row>
        <row r="150">
          <cell r="G150">
            <v>-8177.06</v>
          </cell>
        </row>
        <row r="151">
          <cell r="G151">
            <v>-2218.63</v>
          </cell>
        </row>
        <row r="152">
          <cell r="G152">
            <v>-1703.04</v>
          </cell>
        </row>
        <row r="153">
          <cell r="G153">
            <v>-414.27</v>
          </cell>
        </row>
        <row r="157">
          <cell r="G157">
            <v>0</v>
          </cell>
        </row>
        <row r="158">
          <cell r="G158">
            <v>0</v>
          </cell>
        </row>
        <row r="159">
          <cell r="G159">
            <v>0</v>
          </cell>
        </row>
        <row r="160">
          <cell r="G160">
            <v>0</v>
          </cell>
        </row>
        <row r="182">
          <cell r="G182">
            <v>272537104.32900012</v>
          </cell>
        </row>
        <row r="183">
          <cell r="G183">
            <v>110622939.17919998</v>
          </cell>
        </row>
        <row r="184">
          <cell r="G184">
            <v>85471356.458199978</v>
          </cell>
        </row>
        <row r="185">
          <cell r="G185">
            <v>-104848814.50830001</v>
          </cell>
        </row>
      </sheetData>
      <sheetData sheetId="5">
        <row r="87">
          <cell r="G87">
            <v>-10.039999999999999</v>
          </cell>
        </row>
        <row r="88">
          <cell r="G88">
            <v>0</v>
          </cell>
        </row>
        <row r="89">
          <cell r="G89">
            <v>0</v>
          </cell>
        </row>
        <row r="90">
          <cell r="G90">
            <v>0</v>
          </cell>
        </row>
        <row r="94">
          <cell r="G94">
            <v>38718.06</v>
          </cell>
        </row>
        <row r="95">
          <cell r="G95">
            <v>10111.540000000001</v>
          </cell>
        </row>
        <row r="96">
          <cell r="G96">
            <v>3256.4</v>
          </cell>
        </row>
        <row r="97">
          <cell r="G97">
            <v>-10041.129999999999</v>
          </cell>
        </row>
        <row r="101">
          <cell r="G101">
            <v>15942.88</v>
          </cell>
        </row>
        <row r="102">
          <cell r="G102">
            <v>29319.3</v>
          </cell>
        </row>
        <row r="103">
          <cell r="G103">
            <v>17910.189999999999</v>
          </cell>
        </row>
        <row r="104">
          <cell r="G104">
            <v>5355.27</v>
          </cell>
        </row>
        <row r="108">
          <cell r="G108">
            <v>4555.87</v>
          </cell>
        </row>
        <row r="109">
          <cell r="G109">
            <v>0</v>
          </cell>
        </row>
        <row r="110">
          <cell r="G110">
            <v>814.1</v>
          </cell>
        </row>
        <row r="111">
          <cell r="G111">
            <v>0</v>
          </cell>
        </row>
        <row r="115">
          <cell r="G115">
            <v>-6832.62</v>
          </cell>
        </row>
        <row r="116">
          <cell r="G116">
            <v>-2022.17</v>
          </cell>
        </row>
        <row r="117">
          <cell r="G117">
            <v>-1628.2</v>
          </cell>
        </row>
        <row r="118">
          <cell r="G118">
            <v>-669.41</v>
          </cell>
        </row>
        <row r="122">
          <cell r="G122">
            <v>63772.21</v>
          </cell>
        </row>
        <row r="123">
          <cell r="G123">
            <v>18199.41</v>
          </cell>
        </row>
        <row r="124">
          <cell r="G124">
            <v>22794.79</v>
          </cell>
        </row>
        <row r="125">
          <cell r="G125">
            <v>12718.76</v>
          </cell>
        </row>
        <row r="129">
          <cell r="G129">
            <v>355357.34</v>
          </cell>
        </row>
        <row r="130">
          <cell r="G130">
            <v>164791.28</v>
          </cell>
        </row>
        <row r="131">
          <cell r="G131">
            <v>245858.11</v>
          </cell>
        </row>
        <row r="132">
          <cell r="G132">
            <v>304580.95</v>
          </cell>
        </row>
        <row r="136">
          <cell r="G136">
            <v>-100233.73</v>
          </cell>
        </row>
        <row r="137">
          <cell r="G137">
            <v>4042.86</v>
          </cell>
        </row>
        <row r="138">
          <cell r="G138">
            <v>-72454.83</v>
          </cell>
        </row>
        <row r="139">
          <cell r="G139">
            <v>-198814.4</v>
          </cell>
        </row>
        <row r="143">
          <cell r="G143">
            <v>9111.83</v>
          </cell>
        </row>
        <row r="144">
          <cell r="G144">
            <v>11120.64</v>
          </cell>
        </row>
        <row r="145">
          <cell r="G145">
            <v>5698.7</v>
          </cell>
        </row>
        <row r="146">
          <cell r="G146">
            <v>0</v>
          </cell>
        </row>
        <row r="150">
          <cell r="G150">
            <v>-6834.24</v>
          </cell>
        </row>
        <row r="151">
          <cell r="G151">
            <v>-2021.88</v>
          </cell>
        </row>
        <row r="152">
          <cell r="G152">
            <v>-1628.2</v>
          </cell>
        </row>
        <row r="153">
          <cell r="G153">
            <v>-669.41</v>
          </cell>
        </row>
        <row r="157">
          <cell r="G157">
            <v>0</v>
          </cell>
        </row>
        <row r="158">
          <cell r="G158">
            <v>0</v>
          </cell>
        </row>
        <row r="159">
          <cell r="G159">
            <v>0</v>
          </cell>
        </row>
        <row r="160">
          <cell r="G160">
            <v>0</v>
          </cell>
        </row>
        <row r="182">
          <cell r="G182">
            <v>227789988.88450006</v>
          </cell>
        </row>
        <row r="183">
          <cell r="G183">
            <v>101099832.66220002</v>
          </cell>
        </row>
        <row r="184">
          <cell r="G184">
            <v>81409971.097000003</v>
          </cell>
        </row>
        <row r="185">
          <cell r="G185">
            <v>66940868.803299993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MO West ST Rate Apr26"/>
      <sheetName val="MO West ST Rate Mar26"/>
      <sheetName val="MO West ST Rate Feb26"/>
      <sheetName val="MO West ST Rate Jan26"/>
      <sheetName val="MO West ST Rate Dec25"/>
      <sheetName val="MO West ST Rate Nov25"/>
    </sheetNames>
    <sheetDataSet>
      <sheetData sheetId="0">
        <row r="42">
          <cell r="E42">
            <v>4.1719399999999998E-3</v>
          </cell>
        </row>
      </sheetData>
      <sheetData sheetId="1">
        <row r="43">
          <cell r="E43">
            <v>4.2662200000000003E-3</v>
          </cell>
        </row>
      </sheetData>
      <sheetData sheetId="2">
        <row r="40">
          <cell r="E40">
            <v>4.1815100000000003E-3</v>
          </cell>
        </row>
      </sheetData>
      <sheetData sheetId="3">
        <row r="43">
          <cell r="E43">
            <v>4.1871699999999996E-3</v>
          </cell>
        </row>
      </sheetData>
      <sheetData sheetId="4">
        <row r="43">
          <cell r="E43">
            <v>4.2511800000000002E-3</v>
          </cell>
        </row>
      </sheetData>
      <sheetData sheetId="5">
        <row r="42">
          <cell r="E42">
            <v>4.4318500000000002E-3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OWest"/>
      <sheetName val="Pivot - SI Project MOWest"/>
      <sheetName val="SI0000 Alloc"/>
      <sheetName val="SI Project Data"/>
      <sheetName val="Spending-Alloc Rates"/>
    </sheetNames>
    <sheetDataSet>
      <sheetData sheetId="0"/>
      <sheetData sheetId="1">
        <row r="56">
          <cell r="N56">
            <v>258082.68</v>
          </cell>
          <cell r="O56">
            <v>-158994.10999999999</v>
          </cell>
          <cell r="Q56">
            <v>-186733.98</v>
          </cell>
          <cell r="R56">
            <v>559591.29</v>
          </cell>
        </row>
      </sheetData>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OWest"/>
      <sheetName val="Pivot - SI Project MOWest"/>
      <sheetName val="SI0000 Alloc"/>
      <sheetName val="SI Project Data"/>
      <sheetName val="Spending-Alloc Rates"/>
    </sheetNames>
    <sheetDataSet>
      <sheetData sheetId="0"/>
      <sheetData sheetId="1">
        <row r="56">
          <cell r="N56">
            <v>721461.75</v>
          </cell>
          <cell r="O56">
            <v>225578.2</v>
          </cell>
          <cell r="Q56">
            <v>868545.52</v>
          </cell>
          <cell r="R56">
            <v>-116084.09</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OWest"/>
      <sheetName val="Pivot - SI Project MOWest"/>
      <sheetName val="SI0000 Alloc"/>
      <sheetName val="SI Project Data"/>
      <sheetName val="Spending-Alloc Rates"/>
    </sheetNames>
    <sheetDataSet>
      <sheetData sheetId="0"/>
      <sheetData sheetId="1">
        <row r="56">
          <cell r="N56">
            <v>145926.37</v>
          </cell>
          <cell r="O56">
            <v>52958.44</v>
          </cell>
          <cell r="Q56">
            <v>34100.89</v>
          </cell>
          <cell r="R56">
            <v>13804.13</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OWest"/>
      <sheetName val="Pivot - SI Project MOWest"/>
      <sheetName val="SI0000 Alloc"/>
      <sheetName val="SI Project Data"/>
      <sheetName val="Spending-Alloc Rates"/>
    </sheetNames>
    <sheetDataSet>
      <sheetData sheetId="0"/>
      <sheetData sheetId="1">
        <row r="56">
          <cell r="N56">
            <v>152713.57999999999</v>
          </cell>
          <cell r="O56">
            <v>119937.03</v>
          </cell>
          <cell r="Q56">
            <v>267915.43</v>
          </cell>
          <cell r="R56">
            <v>87829.97</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OWest"/>
      <sheetName val="Pivot - SI Project MOWest"/>
      <sheetName val="SI0000 Alloc"/>
      <sheetName val="SI Project Data"/>
      <sheetName val="Spending-Alloc Rates"/>
    </sheetNames>
    <sheetDataSet>
      <sheetData sheetId="0"/>
      <sheetData sheetId="1">
        <row r="56">
          <cell r="N56">
            <v>66897.009999999995</v>
          </cell>
          <cell r="O56">
            <v>22504.799999999999</v>
          </cell>
          <cell r="Q56">
            <v>-74156.22</v>
          </cell>
          <cell r="R56">
            <v>-7173.47</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E246-9D86-4653-B38B-6571C92E4A18}">
  <dimension ref="A1:F69"/>
  <sheetViews>
    <sheetView workbookViewId="0">
      <selection activeCell="C7" sqref="C7"/>
    </sheetView>
  </sheetViews>
  <sheetFormatPr defaultColWidth="8.7109375" defaultRowHeight="15"/>
  <cols>
    <col min="1" max="1" width="17" style="3" bestFit="1" customWidth="1"/>
    <col min="2" max="2" width="62.28515625" style="253" customWidth="1"/>
    <col min="3" max="3" width="63.42578125" style="253" customWidth="1"/>
    <col min="4" max="4" width="8.7109375" style="45"/>
    <col min="5" max="5" width="52.140625" style="45" customWidth="1"/>
    <col min="6" max="16384" width="8.7109375" style="45"/>
  </cols>
  <sheetData>
    <row r="1" spans="1:6">
      <c r="A1" s="3" t="s">
        <v>267</v>
      </c>
    </row>
    <row r="4" spans="1:6" s="3" customFormat="1">
      <c r="A4" s="254" t="s">
        <v>151</v>
      </c>
      <c r="B4" s="255" t="s">
        <v>152</v>
      </c>
      <c r="C4" s="255" t="s">
        <v>153</v>
      </c>
    </row>
    <row r="5" spans="1:6" s="257" customFormat="1" ht="30">
      <c r="A5" s="256" t="s">
        <v>154</v>
      </c>
      <c r="B5" s="497" t="s">
        <v>251</v>
      </c>
      <c r="C5" s="497" t="s">
        <v>155</v>
      </c>
    </row>
    <row r="6" spans="1:6" s="257" customFormat="1" ht="30">
      <c r="A6" s="256" t="s">
        <v>156</v>
      </c>
      <c r="B6" s="497" t="s">
        <v>157</v>
      </c>
      <c r="C6" s="497" t="s">
        <v>158</v>
      </c>
    </row>
    <row r="7" spans="1:6" s="257" customFormat="1" ht="90">
      <c r="A7" s="256" t="s">
        <v>191</v>
      </c>
      <c r="B7" s="497" t="s">
        <v>252</v>
      </c>
      <c r="C7" s="497" t="s">
        <v>192</v>
      </c>
    </row>
    <row r="8" spans="1:6" s="257" customFormat="1" ht="135">
      <c r="A8" s="256" t="s">
        <v>159</v>
      </c>
      <c r="B8" s="497" t="s">
        <v>253</v>
      </c>
      <c r="C8" s="497" t="s">
        <v>160</v>
      </c>
    </row>
    <row r="9" spans="1:6" s="257" customFormat="1" ht="135">
      <c r="A9" s="256" t="s">
        <v>185</v>
      </c>
      <c r="B9" s="497" t="s">
        <v>254</v>
      </c>
      <c r="C9" s="497" t="s">
        <v>160</v>
      </c>
    </row>
    <row r="10" spans="1:6" s="257" customFormat="1" ht="30">
      <c r="A10" s="256" t="s">
        <v>161</v>
      </c>
      <c r="B10" s="497" t="s">
        <v>260</v>
      </c>
      <c r="C10" s="497" t="s">
        <v>221</v>
      </c>
    </row>
    <row r="11" spans="1:6" s="257" customFormat="1" ht="75">
      <c r="A11" s="256" t="s">
        <v>193</v>
      </c>
      <c r="B11" s="497" t="s">
        <v>261</v>
      </c>
      <c r="C11" s="497" t="s">
        <v>204</v>
      </c>
    </row>
    <row r="12" spans="1:6" s="257" customFormat="1" ht="255">
      <c r="A12" s="256" t="s">
        <v>162</v>
      </c>
      <c r="B12" s="497" t="s">
        <v>255</v>
      </c>
      <c r="C12" s="497" t="s">
        <v>222</v>
      </c>
      <c r="E12" s="462"/>
      <c r="F12" s="462"/>
    </row>
    <row r="13" spans="1:6" s="462" customFormat="1" ht="150">
      <c r="A13" s="463" t="s">
        <v>206</v>
      </c>
      <c r="B13" s="497" t="s">
        <v>256</v>
      </c>
      <c r="C13" s="497" t="s">
        <v>207</v>
      </c>
    </row>
    <row r="14" spans="1:6" s="257" customFormat="1" ht="228" customHeight="1">
      <c r="A14" s="256" t="s">
        <v>163</v>
      </c>
      <c r="B14" s="497" t="s">
        <v>262</v>
      </c>
      <c r="C14" s="497" t="s">
        <v>223</v>
      </c>
      <c r="D14" s="462"/>
    </row>
    <row r="15" spans="1:6" s="462" customFormat="1" ht="200.45" customHeight="1">
      <c r="A15" s="463" t="s">
        <v>205</v>
      </c>
      <c r="B15" s="497" t="s">
        <v>263</v>
      </c>
      <c r="C15" s="497" t="s">
        <v>224</v>
      </c>
    </row>
    <row r="16" spans="1:6" s="257" customFormat="1" ht="105">
      <c r="A16" s="256" t="s">
        <v>164</v>
      </c>
      <c r="B16" s="497" t="s">
        <v>257</v>
      </c>
      <c r="C16" s="497" t="s">
        <v>165</v>
      </c>
      <c r="D16" s="462"/>
    </row>
    <row r="17" spans="1:4" s="257" customFormat="1" ht="30">
      <c r="A17" s="256" t="s">
        <v>166</v>
      </c>
      <c r="B17" s="497" t="s">
        <v>264</v>
      </c>
      <c r="C17" s="497" t="s">
        <v>250</v>
      </c>
    </row>
    <row r="18" spans="1:4" s="257" customFormat="1" ht="75">
      <c r="A18" s="256" t="s">
        <v>168</v>
      </c>
      <c r="B18" s="497" t="s">
        <v>258</v>
      </c>
      <c r="C18" s="497" t="s">
        <v>167</v>
      </c>
      <c r="D18" s="462"/>
    </row>
    <row r="19" spans="1:4" s="462" customFormat="1" ht="75">
      <c r="A19" s="463" t="s">
        <v>234</v>
      </c>
      <c r="B19" s="497" t="s">
        <v>259</v>
      </c>
      <c r="C19" s="497" t="s">
        <v>167</v>
      </c>
    </row>
    <row r="20" spans="1:4" s="257" customFormat="1">
      <c r="A20" s="258"/>
      <c r="B20" s="259"/>
      <c r="C20" s="259"/>
    </row>
    <row r="21" spans="1:4" s="257" customFormat="1">
      <c r="A21" s="258"/>
      <c r="B21" s="259"/>
      <c r="C21" s="259"/>
    </row>
    <row r="22" spans="1:4" s="257" customFormat="1">
      <c r="A22" s="258"/>
      <c r="B22" s="259"/>
      <c r="C22" s="259"/>
    </row>
    <row r="23" spans="1:4" s="257" customFormat="1">
      <c r="A23" s="258"/>
      <c r="B23" s="259"/>
      <c r="C23" s="259"/>
    </row>
    <row r="24" spans="1:4" s="257" customFormat="1">
      <c r="A24" s="258"/>
      <c r="B24" s="259"/>
      <c r="C24" s="259"/>
    </row>
    <row r="25" spans="1:4" s="257" customFormat="1">
      <c r="A25" s="258"/>
      <c r="B25" s="259"/>
      <c r="C25" s="259"/>
    </row>
    <row r="26" spans="1:4" s="257" customFormat="1">
      <c r="A26" s="258"/>
      <c r="B26" s="259"/>
      <c r="C26" s="259"/>
    </row>
    <row r="27" spans="1:4" s="257" customFormat="1">
      <c r="A27" s="258"/>
      <c r="B27" s="259"/>
      <c r="C27" s="259"/>
    </row>
    <row r="28" spans="1:4" s="257" customFormat="1">
      <c r="A28" s="258"/>
      <c r="B28" s="259"/>
      <c r="C28" s="259"/>
    </row>
    <row r="29" spans="1:4" s="257" customFormat="1">
      <c r="A29" s="258"/>
      <c r="B29" s="259"/>
      <c r="C29" s="259"/>
    </row>
    <row r="30" spans="1:4" s="257" customFormat="1">
      <c r="A30" s="258"/>
      <c r="B30" s="259"/>
      <c r="C30" s="259"/>
    </row>
    <row r="31" spans="1:4" s="257" customFormat="1">
      <c r="A31" s="258"/>
      <c r="B31" s="259"/>
      <c r="C31" s="259"/>
    </row>
    <row r="32" spans="1:4" s="257" customFormat="1">
      <c r="A32" s="258"/>
      <c r="B32" s="259"/>
      <c r="C32" s="259"/>
    </row>
    <row r="33" spans="1:3" s="257" customFormat="1">
      <c r="A33" s="258"/>
      <c r="B33" s="259"/>
      <c r="C33" s="259"/>
    </row>
    <row r="34" spans="1:3" s="257" customFormat="1">
      <c r="A34" s="258"/>
      <c r="B34" s="259"/>
      <c r="C34" s="259"/>
    </row>
    <row r="35" spans="1:3" s="257" customFormat="1">
      <c r="A35" s="258"/>
      <c r="B35" s="259"/>
      <c r="C35" s="259"/>
    </row>
    <row r="36" spans="1:3" s="257" customFormat="1">
      <c r="A36" s="258"/>
      <c r="B36" s="259"/>
      <c r="C36" s="259"/>
    </row>
    <row r="37" spans="1:3" s="257" customFormat="1">
      <c r="A37" s="258"/>
      <c r="B37" s="259"/>
      <c r="C37" s="259"/>
    </row>
    <row r="38" spans="1:3" s="257" customFormat="1">
      <c r="A38" s="258"/>
      <c r="B38" s="259"/>
      <c r="C38" s="259"/>
    </row>
    <row r="39" spans="1:3" s="257" customFormat="1">
      <c r="A39" s="258"/>
      <c r="B39" s="259"/>
      <c r="C39" s="259"/>
    </row>
    <row r="40" spans="1:3" s="257" customFormat="1">
      <c r="A40" s="258"/>
      <c r="B40" s="259"/>
      <c r="C40" s="259"/>
    </row>
    <row r="41" spans="1:3" s="257" customFormat="1">
      <c r="A41" s="258"/>
      <c r="B41" s="259"/>
      <c r="C41" s="259"/>
    </row>
    <row r="42" spans="1:3" s="257" customFormat="1">
      <c r="A42" s="258"/>
      <c r="B42" s="259"/>
      <c r="C42" s="259"/>
    </row>
    <row r="43" spans="1:3" s="257" customFormat="1">
      <c r="A43" s="258"/>
      <c r="B43" s="259"/>
      <c r="C43" s="259"/>
    </row>
    <row r="44" spans="1:3" s="257" customFormat="1">
      <c r="A44" s="258"/>
      <c r="B44" s="259"/>
      <c r="C44" s="259"/>
    </row>
    <row r="45" spans="1:3" s="257" customFormat="1">
      <c r="A45" s="258"/>
      <c r="B45" s="259"/>
      <c r="C45" s="259"/>
    </row>
    <row r="46" spans="1:3" s="257" customFormat="1">
      <c r="A46" s="258"/>
      <c r="B46" s="259"/>
      <c r="C46" s="259"/>
    </row>
    <row r="47" spans="1:3" s="257" customFormat="1">
      <c r="A47" s="258"/>
      <c r="B47" s="259"/>
      <c r="C47" s="259"/>
    </row>
    <row r="48" spans="1:3" s="257" customFormat="1">
      <c r="A48" s="258"/>
      <c r="B48" s="259"/>
      <c r="C48" s="259"/>
    </row>
    <row r="49" spans="1:3" s="257" customFormat="1">
      <c r="A49" s="258"/>
      <c r="B49" s="259"/>
      <c r="C49" s="259"/>
    </row>
    <row r="50" spans="1:3" s="257" customFormat="1">
      <c r="A50" s="258"/>
      <c r="B50" s="259"/>
      <c r="C50" s="259"/>
    </row>
    <row r="51" spans="1:3" s="257" customFormat="1">
      <c r="A51" s="258"/>
      <c r="B51" s="259"/>
      <c r="C51" s="259"/>
    </row>
    <row r="52" spans="1:3" s="257" customFormat="1">
      <c r="A52" s="258"/>
      <c r="B52" s="259"/>
      <c r="C52" s="259"/>
    </row>
    <row r="53" spans="1:3" s="257" customFormat="1">
      <c r="A53" s="258"/>
      <c r="B53" s="259"/>
      <c r="C53" s="259"/>
    </row>
    <row r="54" spans="1:3" s="257" customFormat="1">
      <c r="A54" s="258"/>
      <c r="B54" s="259"/>
      <c r="C54" s="259"/>
    </row>
    <row r="55" spans="1:3" s="257" customFormat="1">
      <c r="A55" s="258"/>
      <c r="B55" s="259"/>
      <c r="C55" s="259"/>
    </row>
    <row r="56" spans="1:3" s="257" customFormat="1">
      <c r="A56" s="258"/>
      <c r="B56" s="259"/>
      <c r="C56" s="259"/>
    </row>
    <row r="57" spans="1:3" s="257" customFormat="1">
      <c r="A57" s="258"/>
      <c r="B57" s="259"/>
      <c r="C57" s="259"/>
    </row>
    <row r="58" spans="1:3" s="257" customFormat="1">
      <c r="A58" s="258"/>
      <c r="B58" s="259"/>
      <c r="C58" s="259"/>
    </row>
    <row r="59" spans="1:3" s="257" customFormat="1">
      <c r="A59" s="258"/>
      <c r="B59" s="259"/>
      <c r="C59" s="259"/>
    </row>
    <row r="60" spans="1:3" s="257" customFormat="1">
      <c r="A60" s="258"/>
      <c r="B60" s="259"/>
      <c r="C60" s="259"/>
    </row>
    <row r="61" spans="1:3" s="257" customFormat="1">
      <c r="A61" s="258"/>
      <c r="B61" s="259"/>
      <c r="C61" s="259"/>
    </row>
    <row r="62" spans="1:3" s="257" customFormat="1">
      <c r="A62" s="258"/>
      <c r="B62" s="259"/>
      <c r="C62" s="259"/>
    </row>
    <row r="63" spans="1:3" s="257" customFormat="1">
      <c r="A63" s="258"/>
      <c r="B63" s="259"/>
      <c r="C63" s="259"/>
    </row>
    <row r="64" spans="1:3" s="257" customFormat="1">
      <c r="A64" s="258"/>
      <c r="B64" s="259"/>
      <c r="C64" s="259"/>
    </row>
    <row r="65" spans="1:3" s="257" customFormat="1">
      <c r="A65" s="258"/>
      <c r="B65" s="259"/>
      <c r="C65" s="259"/>
    </row>
    <row r="66" spans="1:3" s="257" customFormat="1">
      <c r="A66" s="258"/>
      <c r="B66" s="259"/>
      <c r="C66" s="259"/>
    </row>
    <row r="67" spans="1:3" s="257" customFormat="1">
      <c r="A67" s="258"/>
      <c r="B67" s="259"/>
      <c r="C67" s="259"/>
    </row>
    <row r="68" spans="1:3" s="257" customFormat="1">
      <c r="A68" s="258"/>
      <c r="B68" s="259"/>
      <c r="C68" s="259"/>
    </row>
    <row r="69" spans="1:3" s="257" customFormat="1">
      <c r="A69" s="258"/>
      <c r="B69" s="259"/>
      <c r="C69" s="259"/>
    </row>
  </sheetData>
  <autoFilter ref="A4:F69" xr:uid="{4D32E246-9D86-4653-B38B-6571C92E4A18}"/>
  <pageMargins left="0.7" right="0.7" top="0.75" bottom="0.75" header="0.3" footer="0.3"/>
  <pageSetup orientation="portrait" r:id="rId1"/>
  <headerFooter>
    <oddFooter xml:space="preserve">&amp;R_x000D_&amp;1#&amp;"Calibri"&amp;10&amp;KA80000 Restricted – Sensitive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64F15-FC2E-4DE8-9E25-A1666334CCC3}">
  <sheetPr>
    <pageSetUpPr fitToPage="1"/>
  </sheetPr>
  <dimension ref="A1:AJ67"/>
  <sheetViews>
    <sheetView zoomScale="85" zoomScaleNormal="85" workbookViewId="0">
      <pane xSplit="2" ySplit="11" topLeftCell="C12" activePane="bottomRight" state="frozen"/>
      <selection activeCell="C8" sqref="C8"/>
      <selection pane="topRight" activeCell="C8" sqref="C8"/>
      <selection pane="bottomLeft" activeCell="C8" sqref="C8"/>
      <selection pane="bottomRight" activeCell="C12" sqref="C12"/>
    </sheetView>
  </sheetViews>
  <sheetFormatPr defaultColWidth="9.140625" defaultRowHeight="15" outlineLevelRow="1" outlineLevelCol="1"/>
  <cols>
    <col min="1" max="1" width="61.7109375" style="334" customWidth="1"/>
    <col min="2" max="3" width="20.7109375" style="334" customWidth="1"/>
    <col min="4" max="4" width="12.42578125" style="334" hidden="1" customWidth="1" outlineLevel="1"/>
    <col min="5" max="5" width="15.42578125" style="334" customWidth="1" collapsed="1"/>
    <col min="6" max="6" width="15.85546875" style="334" customWidth="1"/>
    <col min="7" max="7" width="12.28515625" style="334" customWidth="1"/>
    <col min="8" max="9" width="13.28515625" style="334" customWidth="1"/>
    <col min="10" max="10" width="12.28515625" style="334" bestFit="1" customWidth="1"/>
    <col min="11" max="11" width="11.5703125" style="334" bestFit="1" customWidth="1"/>
    <col min="12" max="12" width="12.85546875" style="334" customWidth="1"/>
    <col min="13" max="13" width="12.28515625" style="334" bestFit="1" customWidth="1"/>
    <col min="14" max="14" width="15" style="334" bestFit="1" customWidth="1"/>
    <col min="15" max="15" width="16" style="334" bestFit="1" customWidth="1"/>
    <col min="16" max="16" width="17.85546875" style="437" hidden="1" customWidth="1" outlineLevel="1"/>
    <col min="17" max="17" width="15.28515625" style="334" bestFit="1" customWidth="1" collapsed="1"/>
    <col min="18" max="18" width="17.42578125" style="334" bestFit="1" customWidth="1"/>
    <col min="19" max="19" width="16.28515625" style="334" bestFit="1" customWidth="1"/>
    <col min="20" max="20" width="15.28515625" style="334" bestFit="1" customWidth="1"/>
    <col min="21" max="21" width="12.42578125" style="334" customWidth="1"/>
    <col min="22" max="23" width="14.28515625" style="334" bestFit="1" customWidth="1"/>
    <col min="24" max="16384" width="9.140625" style="334"/>
  </cols>
  <sheetData>
    <row r="1" spans="1:36">
      <c r="A1" s="336" t="str">
        <f>+'PTD Cycle 3'!A1</f>
        <v>Evergy Missouri West, Inc. - DSIM Rider Update Filed 06/01/2026</v>
      </c>
      <c r="B1" s="336"/>
      <c r="C1" s="336"/>
      <c r="D1" s="336"/>
    </row>
    <row r="2" spans="1:36">
      <c r="E2" s="336" t="s">
        <v>209</v>
      </c>
    </row>
    <row r="3" spans="1:36" ht="45">
      <c r="E3" s="371" t="s">
        <v>40</v>
      </c>
      <c r="F3" s="390" t="s">
        <v>61</v>
      </c>
      <c r="G3" s="390" t="s">
        <v>48</v>
      </c>
      <c r="H3" s="371" t="s">
        <v>1</v>
      </c>
      <c r="I3" s="390" t="s">
        <v>49</v>
      </c>
      <c r="J3" s="371" t="s">
        <v>8</v>
      </c>
      <c r="K3" s="371" t="s">
        <v>7</v>
      </c>
      <c r="T3" s="371"/>
    </row>
    <row r="4" spans="1:36">
      <c r="A4" s="349" t="s">
        <v>22</v>
      </c>
      <c r="B4" s="349"/>
      <c r="C4" s="349"/>
      <c r="D4" s="349"/>
      <c r="E4" s="350">
        <f>SUM(C15:M15)</f>
        <v>15801.9</v>
      </c>
      <c r="F4" s="415">
        <f>N21</f>
        <v>360898.28</v>
      </c>
      <c r="G4" s="415">
        <f>SUM(C27:L27)</f>
        <v>31255.040000000001</v>
      </c>
      <c r="H4" s="350">
        <f>G4-E4</f>
        <v>15453.140000000001</v>
      </c>
      <c r="I4" s="350">
        <f>+B41</f>
        <v>-107921.92999999998</v>
      </c>
      <c r="J4" s="350">
        <f>SUM(C48:L48)</f>
        <v>-2648.8999999999996</v>
      </c>
      <c r="K4" s="351">
        <f>SUM(H4:J4)</f>
        <v>-95117.689999999973</v>
      </c>
      <c r="L4" s="370">
        <f>+K4-M41</f>
        <v>0</v>
      </c>
    </row>
    <row r="5" spans="1:36">
      <c r="A5" s="349" t="s">
        <v>91</v>
      </c>
      <c r="B5" s="349"/>
      <c r="C5" s="349"/>
      <c r="D5" s="349"/>
      <c r="E5" s="350">
        <f>SUM(C16:M16)</f>
        <v>70254.320000000007</v>
      </c>
      <c r="F5" s="415">
        <f>N22</f>
        <v>1173764.1000000001</v>
      </c>
      <c r="G5" s="415">
        <f>SUM(C28:L28)</f>
        <v>57793.710000000006</v>
      </c>
      <c r="H5" s="350">
        <f t="shared" ref="H5:H6" si="0">G5-E5</f>
        <v>-12460.61</v>
      </c>
      <c r="I5" s="350">
        <f>+B42</f>
        <v>-23397.360000000004</v>
      </c>
      <c r="J5" s="350">
        <f>SUM(C49:L49)</f>
        <v>-649.25</v>
      </c>
      <c r="K5" s="351">
        <f t="shared" ref="K5:K6" si="1">SUM(H5:J5)</f>
        <v>-36507.22</v>
      </c>
      <c r="L5" s="370">
        <f t="shared" ref="L5:L6" si="2">+K5-M42</f>
        <v>0</v>
      </c>
    </row>
    <row r="6" spans="1:36">
      <c r="A6" s="349" t="s">
        <v>92</v>
      </c>
      <c r="B6" s="349"/>
      <c r="C6" s="349"/>
      <c r="D6" s="349"/>
      <c r="E6" s="350">
        <f>SUM(C17:M17)</f>
        <v>28621.670000000002</v>
      </c>
      <c r="F6" s="415">
        <f>N23</f>
        <v>1816225.87</v>
      </c>
      <c r="G6" s="415">
        <f>SUM(C29:L29)</f>
        <v>50594.67</v>
      </c>
      <c r="H6" s="350">
        <f t="shared" si="0"/>
        <v>21972.999999999996</v>
      </c>
      <c r="I6" s="350">
        <f>+B43</f>
        <v>-24343.040000000005</v>
      </c>
      <c r="J6" s="350">
        <f>SUM(C50:L50)</f>
        <v>-489.28</v>
      </c>
      <c r="K6" s="351">
        <f t="shared" si="1"/>
        <v>-2859.3200000000079</v>
      </c>
      <c r="L6" s="370">
        <f t="shared" si="2"/>
        <v>-5.0022208597511053E-12</v>
      </c>
    </row>
    <row r="7" spans="1:36" ht="15.75" thickBot="1">
      <c r="A7" s="349" t="s">
        <v>93</v>
      </c>
      <c r="B7" s="349"/>
      <c r="C7" s="349"/>
      <c r="D7" s="349"/>
      <c r="E7" s="350">
        <f>SUM(C18:M18)</f>
        <v>-5035.9699999999993</v>
      </c>
      <c r="F7" s="415">
        <f>N24</f>
        <v>700045.52</v>
      </c>
      <c r="G7" s="415">
        <f>SUM(C30:L30)</f>
        <v>7061.99</v>
      </c>
      <c r="H7" s="350">
        <f>G7-E7</f>
        <v>12097.96</v>
      </c>
      <c r="I7" s="350">
        <f>+B44</f>
        <v>-8633.82</v>
      </c>
      <c r="J7" s="350">
        <f>SUM(C51:L51)</f>
        <v>-127.97000000000001</v>
      </c>
      <c r="K7" s="351">
        <f>SUM(H7:J7)</f>
        <v>3336.1699999999996</v>
      </c>
      <c r="L7" s="370">
        <f>+K7-M44</f>
        <v>0</v>
      </c>
    </row>
    <row r="8" spans="1:36" ht="16.5" thickTop="1" thickBot="1">
      <c r="E8" s="353">
        <f t="shared" ref="E8:K8" si="3">SUM(E4:E7)</f>
        <v>109641.92</v>
      </c>
      <c r="F8" s="416">
        <f t="shared" si="3"/>
        <v>4050933.77</v>
      </c>
      <c r="G8" s="416">
        <f t="shared" si="3"/>
        <v>146705.40999999997</v>
      </c>
      <c r="H8" s="353">
        <f t="shared" si="3"/>
        <v>37063.49</v>
      </c>
      <c r="I8" s="353">
        <f t="shared" si="3"/>
        <v>-164296.15</v>
      </c>
      <c r="J8" s="353">
        <f t="shared" si="3"/>
        <v>-3915.3999999999992</v>
      </c>
      <c r="K8" s="353">
        <f t="shared" si="3"/>
        <v>-131148.05999999997</v>
      </c>
      <c r="U8" s="338"/>
    </row>
    <row r="9" spans="1:36" ht="16.5" thickTop="1" thickBot="1">
      <c r="G9" s="476"/>
      <c r="W9" s="337"/>
      <c r="X9" s="338"/>
    </row>
    <row r="10" spans="1:36" ht="60.75" thickBot="1">
      <c r="B10" s="408" t="str">
        <f>+'PCR Cycle 4'!B10</f>
        <v>Cumulative Over/Under Carryover From 12/01/2025 Filing</v>
      </c>
      <c r="C10" s="421" t="str">
        <f>+'PCR Cycle 4'!C10</f>
        <v>Reverse November 2025 - January 2026 Forecast From 12/01/2025 Filing</v>
      </c>
      <c r="D10" s="472"/>
      <c r="E10" s="529" t="s">
        <v>28</v>
      </c>
      <c r="F10" s="516"/>
      <c r="G10" s="517"/>
      <c r="H10" s="530" t="s">
        <v>28</v>
      </c>
      <c r="I10" s="531"/>
      <c r="J10" s="532"/>
      <c r="K10" s="521" t="s">
        <v>6</v>
      </c>
      <c r="L10" s="522"/>
      <c r="M10" s="523"/>
      <c r="P10" s="461" t="s">
        <v>173</v>
      </c>
    </row>
    <row r="11" spans="1:36">
      <c r="A11" s="334" t="s">
        <v>55</v>
      </c>
      <c r="C11" s="491"/>
      <c r="D11" s="454"/>
      <c r="E11" s="302">
        <f>+'PCR Cycle 4'!E$11</f>
        <v>45991</v>
      </c>
      <c r="F11" s="302">
        <f>+'PCR Cycle 4'!F$11</f>
        <v>46022</v>
      </c>
      <c r="G11" s="302">
        <f>+'PCR Cycle 4'!G$11</f>
        <v>46053</v>
      </c>
      <c r="H11" s="491">
        <f>+'PCR Cycle 4'!H$11</f>
        <v>46081</v>
      </c>
      <c r="I11" s="302">
        <f>+'PCR Cycle 4'!I$11</f>
        <v>46112</v>
      </c>
      <c r="J11" s="492">
        <f>+'PCR Cycle 4'!J$11</f>
        <v>46142</v>
      </c>
      <c r="K11" s="302">
        <f>+'PCR Cycle 4'!K$11</f>
        <v>46173</v>
      </c>
      <c r="L11" s="302">
        <f>+'PCR Cycle 4'!L$11</f>
        <v>46203</v>
      </c>
      <c r="M11" s="493">
        <f>+'PCR Cycle 4'!M$11</f>
        <v>46234</v>
      </c>
      <c r="AA11" s="335"/>
      <c r="AB11" s="335"/>
      <c r="AC11" s="335"/>
      <c r="AD11" s="335"/>
      <c r="AE11" s="335"/>
      <c r="AF11" s="335"/>
      <c r="AG11" s="335"/>
      <c r="AH11" s="335"/>
      <c r="AI11" s="335"/>
      <c r="AJ11" s="335"/>
    </row>
    <row r="12" spans="1:36">
      <c r="A12" s="334" t="s">
        <v>3</v>
      </c>
      <c r="C12" s="314">
        <v>-8820.99</v>
      </c>
      <c r="D12" s="438"/>
      <c r="E12" s="405">
        <f>SUM(E27:E30)</f>
        <v>3622.46</v>
      </c>
      <c r="F12" s="405">
        <f t="shared" ref="F12:L12" si="4">SUM(F27:F30)</f>
        <v>6459.4800000000005</v>
      </c>
      <c r="G12" s="406">
        <f t="shared" si="4"/>
        <v>10458.83</v>
      </c>
      <c r="H12" s="345">
        <f t="shared" si="4"/>
        <v>9903.5899999999983</v>
      </c>
      <c r="I12" s="377">
        <f t="shared" si="4"/>
        <v>15298.619999999999</v>
      </c>
      <c r="J12" s="429">
        <f t="shared" si="4"/>
        <v>14610.289999999997</v>
      </c>
      <c r="K12" s="423">
        <f t="shared" si="4"/>
        <v>19246.370000000003</v>
      </c>
      <c r="L12" s="394">
        <f t="shared" si="4"/>
        <v>75926.75999999998</v>
      </c>
      <c r="M12" s="395"/>
      <c r="P12" s="437">
        <f>-SUM(K12:M12)</f>
        <v>-95173.129999999976</v>
      </c>
    </row>
    <row r="13" spans="1:36">
      <c r="C13" s="402"/>
      <c r="D13" s="439"/>
      <c r="E13" s="346"/>
      <c r="F13" s="346"/>
      <c r="G13" s="346"/>
      <c r="H13" s="340"/>
      <c r="I13" s="346"/>
      <c r="J13" s="341"/>
      <c r="K13" s="356"/>
      <c r="L13" s="356"/>
      <c r="M13" s="354"/>
    </row>
    <row r="14" spans="1:36">
      <c r="A14" s="334" t="s">
        <v>54</v>
      </c>
      <c r="C14" s="402"/>
      <c r="D14" s="439"/>
      <c r="E14" s="230"/>
      <c r="F14" s="230"/>
      <c r="G14" s="230"/>
      <c r="H14" s="503"/>
      <c r="I14" s="230"/>
      <c r="J14" s="502"/>
      <c r="K14" s="228"/>
      <c r="L14" s="228"/>
      <c r="M14" s="489"/>
      <c r="N14" s="383" t="s">
        <v>58</v>
      </c>
      <c r="O14" s="363"/>
    </row>
    <row r="15" spans="1:36">
      <c r="A15" s="334" t="s">
        <v>22</v>
      </c>
      <c r="C15" s="314">
        <v>-19729.22</v>
      </c>
      <c r="D15" s="438"/>
      <c r="E15" s="413">
        <f>ROUND('[3]EMW Nov25'!$G143+'[3]EMW Nov25'!$G150,2)</f>
        <v>4419.82</v>
      </c>
      <c r="F15" s="413">
        <f>ROUND('[3]EMW Dec25'!$G143+'[3]EMW Dec25'!$G150,2)</f>
        <v>6429.86</v>
      </c>
      <c r="G15" s="413">
        <f>ROUND('[3]EMW Jan26'!$G143+'[3]EMW Jan26'!$G150,2)</f>
        <v>7021.46</v>
      </c>
      <c r="H15" s="345">
        <f>ROUND('[3]EMW Feb26'!$G143+'[3]EMW Feb26'!$G150,2)</f>
        <v>3828.75</v>
      </c>
      <c r="I15" s="377">
        <f>ROUND('[3]EMW Mar26'!$G143+'[3]EMW Mar26'!$G150,2)</f>
        <v>2725.07</v>
      </c>
      <c r="J15" s="211">
        <f>ROUND('[3]EMW Apr26'!$G143+'[3]EMW Apr26'!$G150,2)</f>
        <v>2277.59</v>
      </c>
      <c r="K15" s="412">
        <f>ROUND('PCR Cycle 4'!K20*'TDR Cycle 4'!$N15,2)</f>
        <v>2169.29</v>
      </c>
      <c r="L15" s="365">
        <f>ROUND('PCR Cycle 4'!L20*'TDR Cycle 4'!$N15,2)</f>
        <v>2755.13</v>
      </c>
      <c r="M15" s="381">
        <f>ROUND('PCR Cycle 4'!M20*'TDR Cycle 4'!$N15,2)</f>
        <v>3904.15</v>
      </c>
      <c r="N15" s="391">
        <v>1.0000000000000003E-5</v>
      </c>
      <c r="O15" s="337"/>
      <c r="P15" s="437">
        <f t="shared" ref="P15:P18" si="5">-SUM(K15:M15)</f>
        <v>-8828.57</v>
      </c>
    </row>
    <row r="16" spans="1:36">
      <c r="A16" s="334" t="s">
        <v>91</v>
      </c>
      <c r="C16" s="314">
        <v>-15646.210000000003</v>
      </c>
      <c r="D16" s="438"/>
      <c r="E16" s="413">
        <f>ROUND('[3]EMW Nov25'!$G144+'[3]EMW Nov25'!$G151,2)</f>
        <v>5269.78</v>
      </c>
      <c r="F16" s="413">
        <f>ROUND('[3]EMW Dec25'!$G144+'[3]EMW Dec25'!$G151,2)</f>
        <v>6300.48</v>
      </c>
      <c r="G16" s="413">
        <f>ROUND('[3]EMW Jan26'!$G144+'[3]EMW Jan26'!$G151,2)</f>
        <v>6325.93</v>
      </c>
      <c r="H16" s="345">
        <f>ROUND('[3]EMW Feb26'!$G144+'[3]EMW Feb26'!$G151,2)</f>
        <v>11857.63</v>
      </c>
      <c r="I16" s="377">
        <f>ROUND('[3]EMW Mar26'!$G144+'[3]EMW Mar26'!$G151,2)</f>
        <v>9971.73</v>
      </c>
      <c r="J16" s="211">
        <f>ROUND('[3]EMW Apr26'!$G144+'[3]EMW Apr26'!$G151,2)</f>
        <v>9098.76</v>
      </c>
      <c r="K16" s="412">
        <f>ROUND('PCR Cycle 4'!K21*'TDR Cycle 4'!$N16,2)</f>
        <v>11065.36</v>
      </c>
      <c r="L16" s="365">
        <f>ROUND('PCR Cycle 4'!L21*'TDR Cycle 4'!$N16,2)</f>
        <v>12290.84</v>
      </c>
      <c r="M16" s="381">
        <f>ROUND('PCR Cycle 4'!M21*'TDR Cycle 4'!$N16,2)</f>
        <v>13720.02</v>
      </c>
      <c r="N16" s="391">
        <v>9.0000000000000006E-5</v>
      </c>
      <c r="O16" s="337"/>
      <c r="P16" s="437">
        <f t="shared" si="5"/>
        <v>-37076.22</v>
      </c>
    </row>
    <row r="17" spans="1:16">
      <c r="A17" s="334" t="s">
        <v>92</v>
      </c>
      <c r="C17" s="314">
        <v>-10231.06</v>
      </c>
      <c r="D17" s="438"/>
      <c r="E17" s="413">
        <f>ROUND('[3]EMW Nov25'!$G145+'[3]EMW Nov25'!$G152,2)</f>
        <v>3370.31</v>
      </c>
      <c r="F17" s="413">
        <f>ROUND('[3]EMW Dec25'!$G145+'[3]EMW Dec25'!$G152,2)</f>
        <v>3626.42</v>
      </c>
      <c r="G17" s="413">
        <f>ROUND('[3]EMW Jan26'!$G145+'[3]EMW Jan26'!$G152,2)</f>
        <v>3448.15</v>
      </c>
      <c r="H17" s="345">
        <f>ROUND('[3]EMW Feb26'!$G145+'[3]EMW Feb26'!$G152,2)</f>
        <v>4568.91</v>
      </c>
      <c r="I17" s="377">
        <f>ROUND('[3]EMW Mar26'!$G145+'[3]EMW Mar26'!$G152,2)</f>
        <v>4267.87</v>
      </c>
      <c r="J17" s="211">
        <f>ROUND('[3]EMW Apr26'!$G145+'[3]EMW Apr26'!$G152,2)</f>
        <v>4070.5</v>
      </c>
      <c r="K17" s="412">
        <f>ROUND('PCR Cycle 4'!K22*'TDR Cycle 4'!$N17,2)</f>
        <v>4626.13</v>
      </c>
      <c r="L17" s="365">
        <f>ROUND('PCR Cycle 4'!L22*'TDR Cycle 4'!$N17,2)</f>
        <v>5138.47</v>
      </c>
      <c r="M17" s="381">
        <f>ROUND('PCR Cycle 4'!M22*'TDR Cycle 4'!$N17,2)</f>
        <v>5735.97</v>
      </c>
      <c r="N17" s="391">
        <v>4.9999999999999996E-5</v>
      </c>
      <c r="O17" s="337"/>
      <c r="P17" s="437">
        <f t="shared" si="5"/>
        <v>-15500.57</v>
      </c>
    </row>
    <row r="18" spans="1:16">
      <c r="A18" s="334" t="s">
        <v>93</v>
      </c>
      <c r="C18" s="314">
        <v>-1776.87</v>
      </c>
      <c r="D18" s="438"/>
      <c r="E18" s="413">
        <f>ROUND('[3]EMW Nov25'!$G146+'[3]EMW Nov25'!$G153,2)</f>
        <v>900.94</v>
      </c>
      <c r="F18" s="413">
        <f>ROUND('[3]EMW Dec25'!$G146+'[3]EMW Dec25'!$G153,2)</f>
        <v>945.89</v>
      </c>
      <c r="G18" s="413">
        <f>ROUND('[3]EMW Jan26'!$G146+'[3]EMW Jan26'!$G153,2)</f>
        <v>911.97</v>
      </c>
      <c r="H18" s="345">
        <f>ROUND('[3]EMW Feb26'!$G146+'[3]EMW Feb26'!$G153,2)</f>
        <v>-903.69</v>
      </c>
      <c r="I18" s="377">
        <f>ROUND('[3]EMW Mar26'!$G146+'[3]EMW Mar26'!$G153,2)</f>
        <v>-1847.71</v>
      </c>
      <c r="J18" s="211">
        <f>ROUND('[3]EMW Apr26'!$G146+'[3]EMW Apr26'!$G153,2)</f>
        <v>-669.41</v>
      </c>
      <c r="K18" s="412">
        <f>ROUND('PCR Cycle 4'!K23*'TDR Cycle 4'!$N18,2)</f>
        <v>-775.1</v>
      </c>
      <c r="L18" s="365">
        <f>ROUND('PCR Cycle 4'!L23*'TDR Cycle 4'!$N18,2)</f>
        <v>-860.94</v>
      </c>
      <c r="M18" s="381">
        <f>ROUND('PCR Cycle 4'!M23*'TDR Cycle 4'!$N18,2)</f>
        <v>-961.05</v>
      </c>
      <c r="N18" s="391">
        <v>-1.0000000000000001E-5</v>
      </c>
      <c r="O18" s="337"/>
      <c r="P18" s="437">
        <f t="shared" si="5"/>
        <v>2597.09</v>
      </c>
    </row>
    <row r="19" spans="1:16">
      <c r="C19" s="387"/>
      <c r="D19" s="440"/>
      <c r="E19" s="388"/>
      <c r="F19" s="388"/>
      <c r="G19" s="388"/>
      <c r="H19" s="387"/>
      <c r="I19" s="388"/>
      <c r="J19" s="431"/>
      <c r="K19" s="378"/>
      <c r="L19" s="378"/>
      <c r="M19" s="342"/>
      <c r="O19" s="337"/>
    </row>
    <row r="20" spans="1:16">
      <c r="A20" s="363" t="s">
        <v>57</v>
      </c>
      <c r="B20" s="363"/>
      <c r="C20" s="387"/>
      <c r="D20" s="440"/>
      <c r="E20" s="388"/>
      <c r="F20" s="388"/>
      <c r="G20" s="388"/>
      <c r="H20" s="387"/>
      <c r="I20" s="388"/>
      <c r="J20" s="508"/>
      <c r="K20" s="388"/>
      <c r="L20" s="388"/>
      <c r="M20" s="342"/>
      <c r="N20" s="339"/>
    </row>
    <row r="21" spans="1:16">
      <c r="A21" s="334" t="s">
        <v>22</v>
      </c>
      <c r="C21" s="315">
        <v>-12737.28</v>
      </c>
      <c r="D21" s="441"/>
      <c r="E21" s="407">
        <f>ROUND('[16]Summary Monthly TD Calc'!L17,2)</f>
        <v>5293.49</v>
      </c>
      <c r="F21" s="407">
        <f>ROUND('[16]Summary Monthly TD Calc'!M17,2)</f>
        <v>8508.2000000000007</v>
      </c>
      <c r="G21" s="407">
        <f>ROUND('[16]Summary Monthly TD Calc'!N17,2)</f>
        <v>12357.53</v>
      </c>
      <c r="H21" s="392">
        <f>ROUND('[16]Summary Monthly TD Calc'!O17,2)</f>
        <v>10979.34</v>
      </c>
      <c r="I21" s="393">
        <f>ROUND('[16]Summary Monthly TD Calc'!P17,2)</f>
        <v>28248.76</v>
      </c>
      <c r="J21" s="432">
        <f>ROUND('[16]Summary Monthly TD Calc'!Q17,2)</f>
        <v>40211.4</v>
      </c>
      <c r="K21" s="424">
        <f>ROUND('[16]Summary Monthly TD Calc'!R17,2)</f>
        <v>52673.83</v>
      </c>
      <c r="L21" s="417">
        <f>ROUND('[16]Summary Monthly TD Calc'!S17,2)</f>
        <v>215363.01</v>
      </c>
      <c r="M21" s="396"/>
      <c r="N21" s="379">
        <f>SUM(C21:L21)</f>
        <v>360898.28</v>
      </c>
      <c r="P21" s="437">
        <f t="shared" ref="P21:P24" si="6">-SUM(K21:M21)</f>
        <v>-268036.84000000003</v>
      </c>
    </row>
    <row r="22" spans="1:16">
      <c r="A22" s="334" t="s">
        <v>91</v>
      </c>
      <c r="C22" s="315">
        <v>-160687.76999999999</v>
      </c>
      <c r="D22" s="441"/>
      <c r="E22" s="407">
        <f>ROUND('[16]Summary Monthly TD Calc'!L18,2)</f>
        <v>66055.91</v>
      </c>
      <c r="F22" s="407">
        <f>ROUND('[16]Summary Monthly TD Calc'!M18,2)</f>
        <v>105052.69</v>
      </c>
      <c r="G22" s="407">
        <f>ROUND('[16]Summary Monthly TD Calc'!N18,2)</f>
        <v>157773.69</v>
      </c>
      <c r="H22" s="392">
        <f>ROUND('[16]Summary Monthly TD Calc'!O18,2)</f>
        <v>141812.21</v>
      </c>
      <c r="I22" s="393">
        <f>ROUND('[16]Summary Monthly TD Calc'!P18,2)</f>
        <v>161668.26</v>
      </c>
      <c r="J22" s="432">
        <f>ROUND('[16]Summary Monthly TD Calc'!Q18,2)</f>
        <v>149762.9</v>
      </c>
      <c r="K22" s="424">
        <f>ROUND('[16]Summary Monthly TD Calc'!R18,2)</f>
        <v>176888.6</v>
      </c>
      <c r="L22" s="417">
        <f>ROUND('[16]Summary Monthly TD Calc'!S18,2)</f>
        <v>375437.61</v>
      </c>
      <c r="M22" s="396"/>
      <c r="N22" s="379">
        <f t="shared" ref="N22:N24" si="7">SUM(C22:L22)</f>
        <v>1173764.1000000001</v>
      </c>
      <c r="P22" s="437">
        <f t="shared" si="6"/>
        <v>-552326.21</v>
      </c>
    </row>
    <row r="23" spans="1:16">
      <c r="A23" s="334" t="s">
        <v>92</v>
      </c>
      <c r="C23" s="315">
        <v>-47908.729999999996</v>
      </c>
      <c r="D23" s="441"/>
      <c r="E23" s="407">
        <f>ROUND('[16]Summary Monthly TD Calc'!L19,2)</f>
        <v>9931.9599999999991</v>
      </c>
      <c r="F23" s="407">
        <f>ROUND('[16]Summary Monthly TD Calc'!M19,2)</f>
        <v>48395.360000000001</v>
      </c>
      <c r="G23" s="407">
        <f>ROUND('[16]Summary Monthly TD Calc'!N19,2)</f>
        <v>104239.67999999999</v>
      </c>
      <c r="H23" s="392">
        <f>ROUND('[16]Summary Monthly TD Calc'!O19,2)</f>
        <v>113907.3</v>
      </c>
      <c r="I23" s="393">
        <f>ROUND('[16]Summary Monthly TD Calc'!P19,2)</f>
        <v>248173.3</v>
      </c>
      <c r="J23" s="432">
        <f>ROUND('[16]Summary Monthly TD Calc'!Q19,2)</f>
        <v>209816.61</v>
      </c>
      <c r="K23" s="424">
        <f>ROUND('[16]Summary Monthly TD Calc'!R19,2)</f>
        <v>314533.09000000003</v>
      </c>
      <c r="L23" s="417">
        <f>ROUND('[16]Summary Monthly TD Calc'!S19,2)</f>
        <v>815137.3</v>
      </c>
      <c r="M23" s="396"/>
      <c r="N23" s="379">
        <f t="shared" si="7"/>
        <v>1816225.87</v>
      </c>
      <c r="P23" s="437">
        <f t="shared" si="6"/>
        <v>-1129670.3900000001</v>
      </c>
    </row>
    <row r="24" spans="1:16">
      <c r="A24" s="334" t="s">
        <v>93</v>
      </c>
      <c r="C24" s="315">
        <v>0</v>
      </c>
      <c r="D24" s="441"/>
      <c r="E24" s="407">
        <f>ROUND('[16]Summary Monthly TD Calc'!L20,2)</f>
        <v>20284.060000000001</v>
      </c>
      <c r="F24" s="407">
        <f>ROUND('[16]Summary Monthly TD Calc'!M20,2)</f>
        <v>28729.26</v>
      </c>
      <c r="G24" s="407">
        <f>ROUND('[16]Summary Monthly TD Calc'!N20,2)</f>
        <v>38877.199999999997</v>
      </c>
      <c r="H24" s="392">
        <f>ROUND('[16]Summary Monthly TD Calc'!O20,2)</f>
        <v>45003.98</v>
      </c>
      <c r="I24" s="393">
        <f>ROUND('[16]Summary Monthly TD Calc'!P20,2)</f>
        <v>93707.3</v>
      </c>
      <c r="J24" s="432">
        <f>ROUND('[16]Summary Monthly TD Calc'!Q20,2)</f>
        <v>76180.58</v>
      </c>
      <c r="K24" s="424">
        <f>ROUND('[16]Summary Monthly TD Calc'!R20,2)</f>
        <v>110327.43</v>
      </c>
      <c r="L24" s="417">
        <f>ROUND('[16]Summary Monthly TD Calc'!S20,2)</f>
        <v>286935.71000000002</v>
      </c>
      <c r="M24" s="396"/>
      <c r="N24" s="379">
        <f t="shared" si="7"/>
        <v>700045.52</v>
      </c>
      <c r="P24" s="437">
        <f t="shared" si="6"/>
        <v>-397263.14</v>
      </c>
    </row>
    <row r="25" spans="1:16">
      <c r="C25" s="387"/>
      <c r="D25" s="440"/>
      <c r="E25" s="288"/>
      <c r="F25" s="288"/>
      <c r="G25" s="361"/>
      <c r="H25" s="360"/>
      <c r="I25" s="288"/>
      <c r="J25" s="433"/>
      <c r="K25" s="374"/>
      <c r="L25" s="378"/>
      <c r="M25" s="342"/>
    </row>
    <row r="26" spans="1:16">
      <c r="A26" s="334" t="s">
        <v>59</v>
      </c>
      <c r="C26" s="360"/>
      <c r="D26" s="442"/>
      <c r="E26" s="361"/>
      <c r="F26" s="361"/>
      <c r="G26" s="361"/>
      <c r="H26" s="360"/>
      <c r="I26" s="361"/>
      <c r="J26" s="433"/>
      <c r="K26" s="374"/>
      <c r="L26" s="374"/>
      <c r="M26" s="362"/>
    </row>
    <row r="27" spans="1:16">
      <c r="A27" s="334" t="s">
        <v>22</v>
      </c>
      <c r="C27" s="314">
        <v>-817.82999999999993</v>
      </c>
      <c r="D27" s="441"/>
      <c r="E27" s="405">
        <f>ROUND('[16]Summary Monthly TD Calc'!L3,2)</f>
        <v>340.32</v>
      </c>
      <c r="F27" s="405">
        <f>ROUND('[16]Summary Monthly TD Calc'!M3,2)</f>
        <v>545.65</v>
      </c>
      <c r="G27" s="405">
        <f>ROUND('[16]Summary Monthly TD Calc'!N3,2)</f>
        <v>791.83</v>
      </c>
      <c r="H27" s="345">
        <f>ROUND('[16]Summary Monthly TD Calc'!O3,2)</f>
        <v>703.9</v>
      </c>
      <c r="I27" s="377">
        <f>ROUND('[16]Summary Monthly TD Calc'!P3,2)</f>
        <v>1826.61</v>
      </c>
      <c r="J27" s="211">
        <f>ROUND('[16]Summary Monthly TD Calc'!Q3,2)</f>
        <v>2590.6799999999998</v>
      </c>
      <c r="K27" s="423">
        <f>ROUND('[16]Summary Monthly TD Calc'!R3,2)</f>
        <v>3484.6</v>
      </c>
      <c r="L27" s="394">
        <f>ROUND('[16]Summary Monthly TD Calc'!S3,2)</f>
        <v>21789.279999999999</v>
      </c>
      <c r="M27" s="395"/>
      <c r="P27" s="437">
        <f t="shared" ref="P27:P32" si="8">-SUM(K27:M27)</f>
        <v>-25273.879999999997</v>
      </c>
    </row>
    <row r="28" spans="1:16">
      <c r="A28" s="334" t="s">
        <v>91</v>
      </c>
      <c r="C28" s="314">
        <v>-6902.6399999999994</v>
      </c>
      <c r="D28" s="441"/>
      <c r="E28" s="478">
        <f>ROUND('[16]Summary Monthly TD Calc'!L4,2)</f>
        <v>2879.27</v>
      </c>
      <c r="F28" s="405">
        <f>ROUND('[16]Summary Monthly TD Calc'!M4,2)</f>
        <v>4589.7700000000004</v>
      </c>
      <c r="G28" s="405">
        <f>ROUND('[16]Summary Monthly TD Calc'!N4,2)</f>
        <v>6873.98</v>
      </c>
      <c r="H28" s="345">
        <f>ROUND('[16]Summary Monthly TD Calc'!O4,2)</f>
        <v>6183.13</v>
      </c>
      <c r="I28" s="377">
        <f>ROUND('[16]Summary Monthly TD Calc'!P4,2)</f>
        <v>6849.97</v>
      </c>
      <c r="J28" s="211">
        <f>ROUND('[16]Summary Monthly TD Calc'!Q4,2)</f>
        <v>6283.2</v>
      </c>
      <c r="K28" s="423">
        <f>ROUND('[16]Summary Monthly TD Calc'!R4,2)</f>
        <v>7151.83</v>
      </c>
      <c r="L28" s="394">
        <f>ROUND('[16]Summary Monthly TD Calc'!S4,2)</f>
        <v>23885.200000000001</v>
      </c>
      <c r="M28" s="395"/>
      <c r="P28" s="437">
        <f t="shared" si="8"/>
        <v>-31037.03</v>
      </c>
    </row>
    <row r="29" spans="1:16">
      <c r="A29" s="334" t="s">
        <v>92</v>
      </c>
      <c r="C29" s="314">
        <v>-1100.52</v>
      </c>
      <c r="D29" s="441"/>
      <c r="E29" s="478">
        <f>ROUND('[16]Summary Monthly TD Calc'!L5,2)</f>
        <v>234.16</v>
      </c>
      <c r="F29" s="405">
        <f>ROUND('[16]Summary Monthly TD Calc'!M5,2)</f>
        <v>1094.1400000000001</v>
      </c>
      <c r="G29" s="405">
        <f>ROUND('[16]Summary Monthly TD Calc'!N5,2)</f>
        <v>2492.2399999999998</v>
      </c>
      <c r="H29" s="345">
        <f>ROUND('[16]Summary Monthly TD Calc'!O5,2)</f>
        <v>2646.25</v>
      </c>
      <c r="I29" s="377">
        <f>ROUND('[16]Summary Monthly TD Calc'!P5,2)</f>
        <v>5845.47</v>
      </c>
      <c r="J29" s="211">
        <f>ROUND('[16]Summary Monthly TD Calc'!Q5,2)</f>
        <v>5087.8599999999997</v>
      </c>
      <c r="K29" s="423">
        <f>ROUND('[16]Summary Monthly TD Calc'!R5,2)</f>
        <v>7681.47</v>
      </c>
      <c r="L29" s="394">
        <f>ROUND('[16]Summary Monthly TD Calc'!S5,2)</f>
        <v>26613.599999999999</v>
      </c>
      <c r="M29" s="395"/>
      <c r="P29" s="437">
        <f t="shared" si="8"/>
        <v>-34295.07</v>
      </c>
    </row>
    <row r="30" spans="1:16">
      <c r="A30" s="334" t="s">
        <v>93</v>
      </c>
      <c r="C30" s="314">
        <v>0</v>
      </c>
      <c r="D30" s="441"/>
      <c r="E30" s="478">
        <f>ROUND('[16]Summary Monthly TD Calc'!L6,2)</f>
        <v>168.71</v>
      </c>
      <c r="F30" s="405">
        <f>ROUND('[16]Summary Monthly TD Calc'!M6,2)</f>
        <v>229.92</v>
      </c>
      <c r="G30" s="405">
        <f>ROUND('[16]Summary Monthly TD Calc'!N6,2)</f>
        <v>300.77999999999997</v>
      </c>
      <c r="H30" s="345">
        <f>ROUND('[16]Summary Monthly TD Calc'!O6,2)</f>
        <v>370.31</v>
      </c>
      <c r="I30" s="377">
        <f>ROUND('[16]Summary Monthly TD Calc'!P6,2)</f>
        <v>776.57</v>
      </c>
      <c r="J30" s="211">
        <f>ROUND('[16]Summary Monthly TD Calc'!Q6,2)</f>
        <v>648.54999999999995</v>
      </c>
      <c r="K30" s="423">
        <f>ROUND('[16]Summary Monthly TD Calc'!R6,2)</f>
        <v>928.47</v>
      </c>
      <c r="L30" s="394">
        <f>ROUND('[16]Summary Monthly TD Calc'!S6,2)</f>
        <v>3638.68</v>
      </c>
      <c r="M30" s="395"/>
      <c r="O30" s="370"/>
      <c r="P30" s="437">
        <f t="shared" si="8"/>
        <v>-4567.1499999999996</v>
      </c>
    </row>
    <row r="31" spans="1:16">
      <c r="C31" s="402"/>
      <c r="D31" s="439"/>
      <c r="E31" s="301"/>
      <c r="F31" s="347"/>
      <c r="G31" s="347"/>
      <c r="H31" s="401"/>
      <c r="I31" s="347"/>
      <c r="J31" s="430"/>
      <c r="K31" s="378"/>
      <c r="L31" s="378"/>
      <c r="M31" s="342"/>
    </row>
    <row r="32" spans="1:16" ht="15.75" thickBot="1">
      <c r="A32" s="336" t="s">
        <v>13</v>
      </c>
      <c r="B32" s="336"/>
      <c r="C32" s="316">
        <v>1207.19</v>
      </c>
      <c r="D32" s="443"/>
      <c r="E32" s="413">
        <v>-574.79</v>
      </c>
      <c r="F32" s="413">
        <v>-598.82999999999993</v>
      </c>
      <c r="G32" s="414">
        <v>-630.18999999999994</v>
      </c>
      <c r="H32" s="352">
        <v>-666.8900000000001</v>
      </c>
      <c r="I32" s="411">
        <v>-703.02</v>
      </c>
      <c r="J32" s="434">
        <v>-690.37000000000012</v>
      </c>
      <c r="K32" s="425">
        <f>ROUND((SUM(J41:J44)+SUM(J48:J51)+SUM(K35:K38)/2)*K$46,2)</f>
        <v>-689.1</v>
      </c>
      <c r="L32" s="418">
        <f>ROUND((SUM(K41:K44)+SUM(K48:K51)+SUM(L35:L38)/2)*L$46,2)-0.01</f>
        <v>-569.4</v>
      </c>
      <c r="M32" s="397"/>
      <c r="P32" s="437">
        <f t="shared" si="8"/>
        <v>1258.5</v>
      </c>
    </row>
    <row r="33" spans="1:16">
      <c r="C33" s="384"/>
      <c r="D33" s="446"/>
      <c r="E33" s="386"/>
      <c r="F33" s="386"/>
      <c r="G33" s="357"/>
      <c r="H33" s="384"/>
      <c r="I33" s="357"/>
      <c r="J33" s="435"/>
      <c r="K33" s="358"/>
      <c r="L33" s="358"/>
      <c r="M33" s="380"/>
    </row>
    <row r="34" spans="1:16" outlineLevel="1">
      <c r="A34" s="334" t="s">
        <v>46</v>
      </c>
      <c r="C34" s="385"/>
      <c r="D34" s="447"/>
      <c r="E34" s="359"/>
      <c r="F34" s="359"/>
      <c r="G34" s="359"/>
      <c r="H34" s="385"/>
      <c r="I34" s="359"/>
      <c r="J34" s="436"/>
      <c r="K34" s="358"/>
      <c r="L34" s="358"/>
      <c r="M34" s="380"/>
    </row>
    <row r="35" spans="1:16" outlineLevel="1">
      <c r="A35" s="334" t="s">
        <v>22</v>
      </c>
      <c r="C35" s="444">
        <f t="shared" ref="C35:M38" si="9">C27-C15</f>
        <v>18911.39</v>
      </c>
      <c r="D35" s="448">
        <f t="shared" si="9"/>
        <v>0</v>
      </c>
      <c r="E35" s="365">
        <f t="shared" si="9"/>
        <v>-4079.4999999999995</v>
      </c>
      <c r="F35" s="365">
        <f t="shared" si="9"/>
        <v>-5884.21</v>
      </c>
      <c r="G35" s="404">
        <f t="shared" si="9"/>
        <v>-6229.63</v>
      </c>
      <c r="H35" s="364">
        <f t="shared" si="9"/>
        <v>-3124.85</v>
      </c>
      <c r="I35" s="365">
        <f t="shared" si="9"/>
        <v>-898.46000000000026</v>
      </c>
      <c r="J35" s="381">
        <f t="shared" si="9"/>
        <v>313.08999999999969</v>
      </c>
      <c r="K35" s="412">
        <f t="shared" si="9"/>
        <v>1315.31</v>
      </c>
      <c r="L35" s="365">
        <f t="shared" si="9"/>
        <v>19034.149999999998</v>
      </c>
      <c r="M35" s="381">
        <f t="shared" si="9"/>
        <v>-3904.15</v>
      </c>
    </row>
    <row r="36" spans="1:16" outlineLevel="1">
      <c r="A36" s="334" t="s">
        <v>91</v>
      </c>
      <c r="C36" s="444">
        <f t="shared" si="9"/>
        <v>8743.5700000000033</v>
      </c>
      <c r="D36" s="448">
        <f t="shared" si="9"/>
        <v>0</v>
      </c>
      <c r="E36" s="365">
        <f t="shared" si="9"/>
        <v>-2390.5099999999998</v>
      </c>
      <c r="F36" s="365">
        <f t="shared" si="9"/>
        <v>-1710.7099999999991</v>
      </c>
      <c r="G36" s="404">
        <f t="shared" si="9"/>
        <v>548.04999999999927</v>
      </c>
      <c r="H36" s="364">
        <f t="shared" si="9"/>
        <v>-5674.4999999999991</v>
      </c>
      <c r="I36" s="365">
        <f t="shared" si="9"/>
        <v>-3121.7599999999993</v>
      </c>
      <c r="J36" s="381">
        <f t="shared" si="9"/>
        <v>-2815.5600000000004</v>
      </c>
      <c r="K36" s="412">
        <f t="shared" si="9"/>
        <v>-3913.5300000000007</v>
      </c>
      <c r="L36" s="365">
        <f t="shared" si="9"/>
        <v>11594.36</v>
      </c>
      <c r="M36" s="381">
        <f t="shared" si="9"/>
        <v>-13720.02</v>
      </c>
    </row>
    <row r="37" spans="1:16" outlineLevel="1">
      <c r="A37" s="334" t="s">
        <v>92</v>
      </c>
      <c r="C37" s="444">
        <f t="shared" si="9"/>
        <v>9130.5399999999991</v>
      </c>
      <c r="D37" s="448">
        <f t="shared" si="9"/>
        <v>0</v>
      </c>
      <c r="E37" s="365">
        <f t="shared" si="9"/>
        <v>-3136.15</v>
      </c>
      <c r="F37" s="365">
        <f t="shared" si="9"/>
        <v>-2532.2799999999997</v>
      </c>
      <c r="G37" s="404">
        <f t="shared" si="9"/>
        <v>-955.91000000000031</v>
      </c>
      <c r="H37" s="364">
        <f t="shared" si="9"/>
        <v>-1922.6599999999999</v>
      </c>
      <c r="I37" s="365">
        <f t="shared" si="9"/>
        <v>1577.6000000000004</v>
      </c>
      <c r="J37" s="381">
        <f t="shared" si="9"/>
        <v>1017.3599999999997</v>
      </c>
      <c r="K37" s="412">
        <f t="shared" si="9"/>
        <v>3055.34</v>
      </c>
      <c r="L37" s="365">
        <f t="shared" si="9"/>
        <v>21475.129999999997</v>
      </c>
      <c r="M37" s="381">
        <f t="shared" si="9"/>
        <v>-5735.97</v>
      </c>
    </row>
    <row r="38" spans="1:16" outlineLevel="1">
      <c r="A38" s="334" t="s">
        <v>93</v>
      </c>
      <c r="C38" s="444">
        <f t="shared" si="9"/>
        <v>1776.87</v>
      </c>
      <c r="D38" s="448">
        <f t="shared" si="9"/>
        <v>0</v>
      </c>
      <c r="E38" s="365">
        <f t="shared" si="9"/>
        <v>-732.23</v>
      </c>
      <c r="F38" s="365">
        <f t="shared" si="9"/>
        <v>-715.97</v>
      </c>
      <c r="G38" s="404">
        <f t="shared" si="9"/>
        <v>-611.19000000000005</v>
      </c>
      <c r="H38" s="364">
        <f t="shared" si="9"/>
        <v>1274</v>
      </c>
      <c r="I38" s="365">
        <f t="shared" si="9"/>
        <v>2624.28</v>
      </c>
      <c r="J38" s="381">
        <f t="shared" si="9"/>
        <v>1317.96</v>
      </c>
      <c r="K38" s="412">
        <f t="shared" si="9"/>
        <v>1703.5700000000002</v>
      </c>
      <c r="L38" s="365">
        <f t="shared" si="9"/>
        <v>4499.62</v>
      </c>
      <c r="M38" s="381">
        <f t="shared" si="9"/>
        <v>961.05</v>
      </c>
    </row>
    <row r="39" spans="1:16" outlineLevel="1">
      <c r="C39" s="402"/>
      <c r="D39" s="439"/>
      <c r="E39" s="356"/>
      <c r="F39" s="346"/>
      <c r="G39" s="346"/>
      <c r="H39" s="340"/>
      <c r="I39" s="346"/>
      <c r="J39" s="341"/>
      <c r="K39" s="346"/>
      <c r="L39" s="346"/>
      <c r="M39" s="341"/>
    </row>
    <row r="40" spans="1:16" ht="15.75" outlineLevel="1" thickBot="1">
      <c r="A40" s="334" t="s">
        <v>47</v>
      </c>
      <c r="B40" s="363"/>
      <c r="C40" s="402"/>
      <c r="D40" s="439"/>
      <c r="E40" s="346"/>
      <c r="F40" s="346"/>
      <c r="G40" s="346"/>
      <c r="H40" s="340"/>
      <c r="I40" s="346"/>
      <c r="J40" s="341"/>
      <c r="K40" s="346"/>
      <c r="L40" s="346"/>
      <c r="M40" s="341"/>
    </row>
    <row r="41" spans="1:16" outlineLevel="1">
      <c r="A41" s="334" t="s">
        <v>22</v>
      </c>
      <c r="B41" s="464">
        <v>-107921.92999999998</v>
      </c>
      <c r="C41" s="444">
        <f t="shared" ref="C41:M44" si="10">+B41+C35+B48</f>
        <v>-89010.539999999979</v>
      </c>
      <c r="D41" s="448">
        <f t="shared" si="10"/>
        <v>-88172.099999999977</v>
      </c>
      <c r="E41" s="365">
        <f t="shared" si="10"/>
        <v>-92251.599999999977</v>
      </c>
      <c r="F41" s="365">
        <f t="shared" si="10"/>
        <v>-98535.619999999981</v>
      </c>
      <c r="G41" s="404">
        <f t="shared" si="10"/>
        <v>-105171.63999999998</v>
      </c>
      <c r="H41" s="364">
        <f t="shared" si="10"/>
        <v>-108723.81999999999</v>
      </c>
      <c r="I41" s="365">
        <f t="shared" si="10"/>
        <v>-110070.38</v>
      </c>
      <c r="J41" s="381">
        <f t="shared" si="10"/>
        <v>-110224.96000000001</v>
      </c>
      <c r="K41" s="412">
        <f t="shared" si="10"/>
        <v>-109370.16</v>
      </c>
      <c r="L41" s="365">
        <f t="shared" si="10"/>
        <v>-90795.040000000008</v>
      </c>
      <c r="M41" s="381">
        <f t="shared" si="10"/>
        <v>-95117.69</v>
      </c>
    </row>
    <row r="42" spans="1:16" outlineLevel="1">
      <c r="A42" s="334" t="s">
        <v>91</v>
      </c>
      <c r="B42" s="466">
        <v>-23397.360000000004</v>
      </c>
      <c r="C42" s="444">
        <f t="shared" si="10"/>
        <v>-14653.79</v>
      </c>
      <c r="D42" s="448">
        <f t="shared" si="10"/>
        <v>-14510.02</v>
      </c>
      <c r="E42" s="365">
        <f t="shared" si="10"/>
        <v>-16900.53</v>
      </c>
      <c r="F42" s="365">
        <f t="shared" si="10"/>
        <v>-18680.839999999997</v>
      </c>
      <c r="G42" s="404">
        <f t="shared" si="10"/>
        <v>-18208.569999999996</v>
      </c>
      <c r="H42" s="364">
        <f t="shared" si="10"/>
        <v>-23960.459999999995</v>
      </c>
      <c r="I42" s="365">
        <f t="shared" si="10"/>
        <v>-27170.549999999996</v>
      </c>
      <c r="J42" s="381">
        <f t="shared" si="10"/>
        <v>-30095.369999999995</v>
      </c>
      <c r="K42" s="412">
        <f t="shared" si="10"/>
        <v>-34128.579999999994</v>
      </c>
      <c r="L42" s="365">
        <f t="shared" si="10"/>
        <v>-22668.439999999995</v>
      </c>
      <c r="M42" s="381">
        <f t="shared" si="10"/>
        <v>-36507.219999999994</v>
      </c>
    </row>
    <row r="43" spans="1:16" outlineLevel="1">
      <c r="A43" s="334" t="s">
        <v>92</v>
      </c>
      <c r="B43" s="466">
        <v>-24343.040000000005</v>
      </c>
      <c r="C43" s="444">
        <f t="shared" si="10"/>
        <v>-15212.500000000005</v>
      </c>
      <c r="D43" s="448">
        <f t="shared" si="10"/>
        <v>-15053.480000000005</v>
      </c>
      <c r="E43" s="365">
        <f t="shared" si="10"/>
        <v>-18189.630000000005</v>
      </c>
      <c r="F43" s="365">
        <f t="shared" si="10"/>
        <v>-20795.570000000003</v>
      </c>
      <c r="G43" s="404">
        <f t="shared" si="10"/>
        <v>-21834.500000000004</v>
      </c>
      <c r="H43" s="364">
        <f t="shared" si="10"/>
        <v>-23846.58</v>
      </c>
      <c r="I43" s="365">
        <f t="shared" si="10"/>
        <v>-22364.670000000002</v>
      </c>
      <c r="J43" s="381">
        <f t="shared" si="10"/>
        <v>-21446.09</v>
      </c>
      <c r="K43" s="412">
        <f t="shared" si="10"/>
        <v>-18482.34</v>
      </c>
      <c r="L43" s="365">
        <f t="shared" si="10"/>
        <v>2909.3099999999972</v>
      </c>
      <c r="M43" s="381">
        <f t="shared" si="10"/>
        <v>-2859.3200000000029</v>
      </c>
    </row>
    <row r="44" spans="1:16" ht="15.75" outlineLevel="1" thickBot="1">
      <c r="A44" s="334" t="s">
        <v>93</v>
      </c>
      <c r="B44" s="465">
        <v>-8633.82</v>
      </c>
      <c r="C44" s="444">
        <f t="shared" si="10"/>
        <v>-6856.95</v>
      </c>
      <c r="D44" s="448">
        <f t="shared" si="10"/>
        <v>-6790.99</v>
      </c>
      <c r="E44" s="365">
        <f t="shared" si="10"/>
        <v>-7523.2199999999993</v>
      </c>
      <c r="F44" s="365">
        <f t="shared" si="10"/>
        <v>-8270.909999999998</v>
      </c>
      <c r="G44" s="404">
        <f t="shared" si="10"/>
        <v>-8915.739999999998</v>
      </c>
      <c r="H44" s="364">
        <f t="shared" si="10"/>
        <v>-7677.7899999999981</v>
      </c>
      <c r="I44" s="365">
        <f t="shared" si="10"/>
        <v>-5088.2799999999988</v>
      </c>
      <c r="J44" s="381">
        <f t="shared" si="10"/>
        <v>-3797.6299999999987</v>
      </c>
      <c r="K44" s="412">
        <f t="shared" si="10"/>
        <v>-2112.6499999999987</v>
      </c>
      <c r="L44" s="365">
        <f t="shared" si="10"/>
        <v>2374.6000000000013</v>
      </c>
      <c r="M44" s="381">
        <f t="shared" si="10"/>
        <v>3336.1700000000014</v>
      </c>
    </row>
    <row r="45" spans="1:16" outlineLevel="1">
      <c r="C45" s="402"/>
      <c r="D45" s="439"/>
      <c r="E45" s="346"/>
      <c r="F45" s="346"/>
      <c r="G45" s="346"/>
      <c r="H45" s="340"/>
      <c r="I45" s="346"/>
      <c r="J45" s="341"/>
      <c r="K45" s="346"/>
      <c r="L45" s="346"/>
      <c r="M45" s="341"/>
    </row>
    <row r="46" spans="1:16">
      <c r="A46" s="363" t="s">
        <v>104</v>
      </c>
      <c r="B46" s="363"/>
      <c r="C46" s="403"/>
      <c r="D46" s="449"/>
      <c r="E46" s="278">
        <f>+'PCR Cycle 3'!E45</f>
        <v>4.4318500000000002E-3</v>
      </c>
      <c r="F46" s="278">
        <f>+'PCR Cycle 3'!F45</f>
        <v>4.2511800000000002E-3</v>
      </c>
      <c r="G46" s="278">
        <f>+'PCR Cycle 3'!G45</f>
        <v>4.1871699999999996E-3</v>
      </c>
      <c r="H46" s="279">
        <f>+'PCR Cycle 3'!H45</f>
        <v>4.1815100000000003E-3</v>
      </c>
      <c r="I46" s="278">
        <f>+'PCR Cycle 3'!I45</f>
        <v>4.2662200000000003E-3</v>
      </c>
      <c r="J46" s="280">
        <f>+'PCR Cycle 3'!J45</f>
        <v>4.1719399999999998E-3</v>
      </c>
      <c r="K46" s="398">
        <f>J46</f>
        <v>4.1719399999999998E-3</v>
      </c>
      <c r="L46" s="398">
        <f>J46</f>
        <v>4.1719399999999998E-3</v>
      </c>
      <c r="M46" s="400"/>
    </row>
    <row r="47" spans="1:16">
      <c r="A47" s="363" t="s">
        <v>31</v>
      </c>
      <c r="B47" s="363"/>
      <c r="C47" s="509"/>
      <c r="D47" s="450"/>
      <c r="E47" s="398"/>
      <c r="F47" s="398"/>
      <c r="G47" s="398"/>
      <c r="H47" s="399"/>
      <c r="I47" s="398"/>
      <c r="J47" s="400"/>
      <c r="K47" s="398"/>
      <c r="L47" s="398"/>
      <c r="M47" s="400"/>
    </row>
    <row r="48" spans="1:16">
      <c r="A48" s="334" t="s">
        <v>22</v>
      </c>
      <c r="C48" s="473">
        <v>838.44</v>
      </c>
      <c r="D48" s="326"/>
      <c r="E48" s="365">
        <f t="shared" ref="E48:M51" si="11">ROUND((D41+D48+E35/2)*E$46,2)</f>
        <v>-399.81</v>
      </c>
      <c r="F48" s="365">
        <f t="shared" si="11"/>
        <v>-406.39</v>
      </c>
      <c r="G48" s="404">
        <f t="shared" si="11"/>
        <v>-427.33</v>
      </c>
      <c r="H48" s="364">
        <f t="shared" si="11"/>
        <v>-448.1</v>
      </c>
      <c r="I48" s="412">
        <f t="shared" si="11"/>
        <v>-467.67</v>
      </c>
      <c r="J48" s="381">
        <f t="shared" si="11"/>
        <v>-460.51</v>
      </c>
      <c r="K48" s="426">
        <f t="shared" si="11"/>
        <v>-459.03</v>
      </c>
      <c r="L48" s="404">
        <f t="shared" si="11"/>
        <v>-418.5</v>
      </c>
      <c r="M48" s="381">
        <f t="shared" si="11"/>
        <v>0</v>
      </c>
      <c r="P48" s="437">
        <f t="shared" ref="P48:P51" si="12">-SUM(K48:M48)</f>
        <v>877.53</v>
      </c>
    </row>
    <row r="49" spans="1:18">
      <c r="A49" s="334" t="s">
        <v>91</v>
      </c>
      <c r="C49" s="473">
        <v>143.76999999999998</v>
      </c>
      <c r="D49" s="326"/>
      <c r="E49" s="365">
        <f t="shared" si="11"/>
        <v>-69.599999999999994</v>
      </c>
      <c r="F49" s="365">
        <f t="shared" si="11"/>
        <v>-75.78</v>
      </c>
      <c r="G49" s="404">
        <f t="shared" si="11"/>
        <v>-77.39</v>
      </c>
      <c r="H49" s="364">
        <f t="shared" si="11"/>
        <v>-88.33</v>
      </c>
      <c r="I49" s="412">
        <f t="shared" si="11"/>
        <v>-109.26</v>
      </c>
      <c r="J49" s="381">
        <f t="shared" si="11"/>
        <v>-119.68</v>
      </c>
      <c r="K49" s="426">
        <f t="shared" si="11"/>
        <v>-134.22</v>
      </c>
      <c r="L49" s="404">
        <f t="shared" si="11"/>
        <v>-118.76</v>
      </c>
      <c r="M49" s="381"/>
      <c r="P49" s="437">
        <f t="shared" si="12"/>
        <v>252.98000000000002</v>
      </c>
    </row>
    <row r="50" spans="1:18">
      <c r="A50" s="334" t="s">
        <v>92</v>
      </c>
      <c r="C50" s="473">
        <v>159.01999999999998</v>
      </c>
      <c r="D50" s="326"/>
      <c r="E50" s="365">
        <f t="shared" si="11"/>
        <v>-73.66</v>
      </c>
      <c r="F50" s="365">
        <f t="shared" si="11"/>
        <v>-83.02</v>
      </c>
      <c r="G50" s="404">
        <f t="shared" si="11"/>
        <v>-89.42</v>
      </c>
      <c r="H50" s="364">
        <f t="shared" si="11"/>
        <v>-95.69</v>
      </c>
      <c r="I50" s="412">
        <f t="shared" si="11"/>
        <v>-98.78</v>
      </c>
      <c r="J50" s="381">
        <f t="shared" si="11"/>
        <v>-91.59</v>
      </c>
      <c r="K50" s="426">
        <f t="shared" si="11"/>
        <v>-83.48</v>
      </c>
      <c r="L50" s="404">
        <f t="shared" si="11"/>
        <v>-32.659999999999997</v>
      </c>
      <c r="M50" s="381"/>
      <c r="P50" s="437">
        <f t="shared" si="12"/>
        <v>116.14</v>
      </c>
    </row>
    <row r="51" spans="1:18" ht="15.75" thickBot="1">
      <c r="A51" s="334" t="s">
        <v>93</v>
      </c>
      <c r="C51" s="473">
        <v>65.960000000000008</v>
      </c>
      <c r="D51" s="326"/>
      <c r="E51" s="365">
        <f t="shared" si="11"/>
        <v>-31.72</v>
      </c>
      <c r="F51" s="365">
        <f t="shared" si="11"/>
        <v>-33.64</v>
      </c>
      <c r="G51" s="404">
        <f t="shared" si="11"/>
        <v>-36.049999999999997</v>
      </c>
      <c r="H51" s="364">
        <f t="shared" si="11"/>
        <v>-34.770000000000003</v>
      </c>
      <c r="I51" s="412">
        <f t="shared" si="11"/>
        <v>-27.31</v>
      </c>
      <c r="J51" s="381">
        <f t="shared" si="11"/>
        <v>-18.59</v>
      </c>
      <c r="K51" s="426">
        <f t="shared" si="11"/>
        <v>-12.37</v>
      </c>
      <c r="L51" s="404">
        <f t="shared" si="11"/>
        <v>0.52</v>
      </c>
      <c r="M51" s="381">
        <f>ROUND((L44+L51+M38/2)*M$46,2)</f>
        <v>0</v>
      </c>
      <c r="P51" s="437">
        <f t="shared" si="12"/>
        <v>11.85</v>
      </c>
    </row>
    <row r="52" spans="1:18" ht="16.5" thickTop="1" thickBot="1">
      <c r="A52" s="376" t="s">
        <v>20</v>
      </c>
      <c r="B52" s="376"/>
      <c r="C52" s="445">
        <v>0</v>
      </c>
      <c r="D52" s="451"/>
      <c r="E52" s="366">
        <f t="shared" ref="E52:M52" si="13">SUM(E48:E51)+SUM(E41:E44)-E55</f>
        <v>0</v>
      </c>
      <c r="F52" s="366">
        <f t="shared" si="13"/>
        <v>0</v>
      </c>
      <c r="G52" s="372">
        <f t="shared" si="13"/>
        <v>0</v>
      </c>
      <c r="H52" s="373">
        <f t="shared" si="13"/>
        <v>0</v>
      </c>
      <c r="I52" s="366">
        <f t="shared" si="13"/>
        <v>0</v>
      </c>
      <c r="J52" s="382">
        <f t="shared" si="13"/>
        <v>0</v>
      </c>
      <c r="K52" s="427">
        <f t="shared" si="13"/>
        <v>0</v>
      </c>
      <c r="L52" s="372">
        <f t="shared" si="13"/>
        <v>0</v>
      </c>
      <c r="M52" s="382">
        <f t="shared" si="13"/>
        <v>0</v>
      </c>
    </row>
    <row r="53" spans="1:18" ht="16.5" thickTop="1" thickBot="1">
      <c r="A53" s="376" t="s">
        <v>21</v>
      </c>
      <c r="B53" s="376"/>
      <c r="C53" s="445">
        <v>0</v>
      </c>
      <c r="D53" s="451"/>
      <c r="E53" s="366">
        <f t="shared" ref="E53:M53" si="14">SUM(E48:E51)-E32</f>
        <v>0</v>
      </c>
      <c r="F53" s="366">
        <f t="shared" si="14"/>
        <v>0</v>
      </c>
      <c r="G53" s="372">
        <f t="shared" si="14"/>
        <v>0</v>
      </c>
      <c r="H53" s="373">
        <f t="shared" si="14"/>
        <v>0</v>
      </c>
      <c r="I53" s="366">
        <f t="shared" si="14"/>
        <v>0</v>
      </c>
      <c r="J53" s="382">
        <f t="shared" si="14"/>
        <v>0</v>
      </c>
      <c r="K53" s="428">
        <f>SUM(K48:K51)-K32</f>
        <v>0</v>
      </c>
      <c r="L53" s="366">
        <f t="shared" si="14"/>
        <v>0</v>
      </c>
      <c r="M53" s="366">
        <f t="shared" si="14"/>
        <v>0</v>
      </c>
      <c r="Q53" s="476"/>
      <c r="R53" s="476"/>
    </row>
    <row r="54" spans="1:18" ht="16.5" thickTop="1" thickBot="1">
      <c r="C54" s="402"/>
      <c r="D54" s="439"/>
      <c r="E54" s="346"/>
      <c r="F54" s="346"/>
      <c r="G54" s="346"/>
      <c r="H54" s="340"/>
      <c r="I54" s="346"/>
      <c r="J54" s="341"/>
      <c r="K54" s="346"/>
      <c r="L54" s="346"/>
      <c r="M54" s="341"/>
      <c r="Q54" s="476"/>
      <c r="R54" s="476"/>
    </row>
    <row r="55" spans="1:18" ht="15.75" thickBot="1">
      <c r="A55" s="334" t="s">
        <v>30</v>
      </c>
      <c r="B55" s="409">
        <f>SUM(B41:B44)</f>
        <v>-164296.15</v>
      </c>
      <c r="C55" s="444">
        <f t="shared" ref="C55:M55" si="15">(C12-SUM(C15:C18))+SUM(C48:C51)+B55</f>
        <v>-124526.58999999998</v>
      </c>
      <c r="D55" s="448">
        <f t="shared" si="15"/>
        <v>-124526.58999999998</v>
      </c>
      <c r="E55" s="365">
        <f t="shared" si="15"/>
        <v>-135439.76999999999</v>
      </c>
      <c r="F55" s="365">
        <f t="shared" si="15"/>
        <v>-146881.76999999999</v>
      </c>
      <c r="G55" s="404">
        <f t="shared" si="15"/>
        <v>-154760.63999999998</v>
      </c>
      <c r="H55" s="364">
        <f t="shared" si="15"/>
        <v>-164875.53999999998</v>
      </c>
      <c r="I55" s="365">
        <f t="shared" si="15"/>
        <v>-165396.89999999997</v>
      </c>
      <c r="J55" s="381">
        <f t="shared" si="15"/>
        <v>-166254.41999999995</v>
      </c>
      <c r="K55" s="426">
        <f t="shared" si="15"/>
        <v>-164782.82999999996</v>
      </c>
      <c r="L55" s="404">
        <f t="shared" si="15"/>
        <v>-108748.96999999997</v>
      </c>
      <c r="M55" s="381">
        <f t="shared" si="15"/>
        <v>-131148.05999999997</v>
      </c>
      <c r="Q55" s="476"/>
      <c r="R55" s="476"/>
    </row>
    <row r="56" spans="1:18">
      <c r="A56" s="334" t="s">
        <v>10</v>
      </c>
      <c r="C56" s="410"/>
      <c r="D56" s="452"/>
      <c r="E56" s="346"/>
      <c r="F56" s="346"/>
      <c r="G56" s="346"/>
      <c r="H56" s="340"/>
      <c r="I56" s="346"/>
      <c r="J56" s="341"/>
      <c r="K56" s="346"/>
      <c r="L56" s="346"/>
      <c r="M56" s="341"/>
      <c r="Q56" s="476"/>
      <c r="R56" s="476"/>
    </row>
    <row r="57" spans="1:18" ht="15.75" thickBot="1">
      <c r="A57" s="361"/>
      <c r="B57" s="361"/>
      <c r="C57" s="420"/>
      <c r="D57" s="453"/>
      <c r="E57" s="368"/>
      <c r="F57" s="368"/>
      <c r="G57" s="368"/>
      <c r="H57" s="367"/>
      <c r="I57" s="368"/>
      <c r="J57" s="369"/>
      <c r="K57" s="368"/>
      <c r="L57" s="368"/>
      <c r="M57" s="369"/>
      <c r="Q57" s="476"/>
      <c r="R57" s="476"/>
    </row>
    <row r="58" spans="1:18">
      <c r="Q58" s="476"/>
      <c r="R58" s="476"/>
    </row>
    <row r="59" spans="1:18">
      <c r="A59" s="389" t="s">
        <v>9</v>
      </c>
      <c r="B59" s="389"/>
      <c r="C59" s="389"/>
      <c r="D59" s="389"/>
    </row>
    <row r="60" spans="1:18" ht="28.9" customHeight="1">
      <c r="A60" s="515" t="s">
        <v>247</v>
      </c>
      <c r="B60" s="515"/>
      <c r="C60" s="515"/>
      <c r="D60" s="515"/>
      <c r="E60" s="515"/>
      <c r="F60" s="515"/>
      <c r="G60" s="515"/>
      <c r="H60" s="515"/>
      <c r="I60" s="515"/>
      <c r="J60" s="515"/>
      <c r="K60" s="496"/>
      <c r="L60" s="496"/>
      <c r="M60" s="419"/>
    </row>
    <row r="61" spans="1:18" ht="30.6" customHeight="1">
      <c r="A61" s="533" t="s">
        <v>236</v>
      </c>
      <c r="B61" s="533"/>
      <c r="C61" s="533"/>
      <c r="D61" s="533"/>
      <c r="E61" s="533"/>
      <c r="F61" s="533"/>
      <c r="G61" s="533"/>
      <c r="H61" s="533"/>
      <c r="I61" s="533"/>
      <c r="J61" s="533"/>
      <c r="K61" s="533"/>
      <c r="L61" s="533"/>
      <c r="M61" s="419"/>
    </row>
    <row r="62" spans="1:18" ht="33.75" customHeight="1">
      <c r="A62" s="515" t="s">
        <v>248</v>
      </c>
      <c r="B62" s="515"/>
      <c r="C62" s="515"/>
      <c r="D62" s="515"/>
      <c r="E62" s="515"/>
      <c r="F62" s="515"/>
      <c r="G62" s="515"/>
      <c r="H62" s="515"/>
      <c r="I62" s="515"/>
      <c r="J62" s="515"/>
      <c r="K62" s="496"/>
      <c r="L62" s="496"/>
      <c r="M62" s="419"/>
    </row>
    <row r="63" spans="1:18">
      <c r="A63" s="515" t="s">
        <v>190</v>
      </c>
      <c r="B63" s="515"/>
      <c r="C63" s="515"/>
      <c r="D63" s="515"/>
      <c r="E63" s="515"/>
      <c r="F63" s="515"/>
      <c r="G63" s="515"/>
      <c r="H63" s="515"/>
      <c r="I63" s="515"/>
      <c r="J63" s="515"/>
      <c r="K63" s="363"/>
      <c r="L63" s="363"/>
    </row>
    <row r="64" spans="1:18">
      <c r="A64" s="383" t="s">
        <v>240</v>
      </c>
      <c r="B64" s="383"/>
      <c r="C64" s="383"/>
      <c r="D64" s="383"/>
      <c r="E64" s="363"/>
      <c r="F64" s="363"/>
      <c r="G64" s="363"/>
      <c r="H64" s="363"/>
      <c r="I64" s="363"/>
      <c r="J64" s="363"/>
      <c r="K64" s="363"/>
      <c r="L64" s="363"/>
    </row>
    <row r="65" spans="1:12">
      <c r="A65" s="383" t="s">
        <v>60</v>
      </c>
      <c r="B65" s="383"/>
      <c r="C65" s="383"/>
      <c r="D65" s="383"/>
      <c r="E65" s="363"/>
      <c r="F65" s="363"/>
      <c r="G65" s="363"/>
      <c r="H65" s="363"/>
      <c r="I65" s="363"/>
      <c r="J65" s="363"/>
      <c r="K65" s="363"/>
      <c r="L65" s="363"/>
    </row>
    <row r="66" spans="1:12">
      <c r="A66" s="526"/>
      <c r="B66" s="527"/>
      <c r="C66" s="527"/>
      <c r="D66" s="527"/>
      <c r="E66" s="527"/>
      <c r="F66" s="527"/>
      <c r="G66" s="527"/>
      <c r="H66" s="528"/>
      <c r="I66" s="528"/>
      <c r="J66" s="528"/>
      <c r="K66" s="528"/>
      <c r="L66" s="363"/>
    </row>
    <row r="67" spans="1:12">
      <c r="A67" s="527"/>
      <c r="B67" s="527"/>
      <c r="C67" s="527"/>
      <c r="D67" s="527"/>
      <c r="E67" s="527"/>
      <c r="F67" s="527"/>
      <c r="G67" s="527"/>
      <c r="H67" s="528"/>
      <c r="I67" s="528"/>
      <c r="J67" s="528"/>
      <c r="K67" s="528"/>
      <c r="L67" s="363"/>
    </row>
  </sheetData>
  <mergeCells count="8">
    <mergeCell ref="A63:J63"/>
    <mergeCell ref="A66:K67"/>
    <mergeCell ref="E10:G10"/>
    <mergeCell ref="H10:J10"/>
    <mergeCell ref="K10:M10"/>
    <mergeCell ref="A60:J60"/>
    <mergeCell ref="A61:L61"/>
    <mergeCell ref="A62:J62"/>
  </mergeCells>
  <pageMargins left="0.2" right="0.2" top="0.75" bottom="0.25" header="0.3" footer="0.3"/>
  <pageSetup scale="49" orientation="landscape" r:id="rId1"/>
  <headerFooter>
    <oddHeader>&amp;C&amp;F &amp;A&amp;R&amp;"Arial"&amp;10&amp;K000000CONFIDENTIAL</oddHeader>
    <oddFooter xml:space="preserve">&amp;R_x000D_&amp;1#&amp;"Calibri"&amp;10&amp;KA80000 Restricted – Sensitive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475B-D546-4319-B398-EF50E74D6379}">
  <sheetPr>
    <pageSetUpPr fitToPage="1"/>
  </sheetPr>
  <dimension ref="A1:L169"/>
  <sheetViews>
    <sheetView zoomScale="85" zoomScaleNormal="85" workbookViewId="0">
      <pane ySplit="5" topLeftCell="A6" activePane="bottomLeft" state="frozen"/>
      <selection activeCell="C8" sqref="C8"/>
      <selection pane="bottomLeft" activeCell="A6" sqref="A6"/>
    </sheetView>
  </sheetViews>
  <sheetFormatPr defaultColWidth="8.7109375" defaultRowHeight="15"/>
  <cols>
    <col min="1" max="1" width="23.7109375" style="45" customWidth="1"/>
    <col min="2" max="2" width="15.28515625" style="45" bestFit="1" customWidth="1"/>
    <col min="3" max="3" width="14.28515625" style="45" customWidth="1"/>
    <col min="4" max="4" width="13.28515625" style="45" bestFit="1" customWidth="1"/>
    <col min="5" max="5" width="9.7109375" style="45" bestFit="1" customWidth="1"/>
    <col min="6" max="6" width="12.5703125" style="45" bestFit="1" customWidth="1"/>
    <col min="7" max="7" width="13.140625" style="45" customWidth="1"/>
    <col min="8" max="8" width="8.7109375" style="45"/>
    <col min="9" max="9" width="10.85546875" style="45" bestFit="1" customWidth="1"/>
    <col min="10" max="10" width="9.85546875" style="45" bestFit="1" customWidth="1"/>
    <col min="11" max="11" width="12.7109375" style="45" bestFit="1" customWidth="1"/>
    <col min="12" max="12" width="11.7109375" style="45" bestFit="1" customWidth="1"/>
    <col min="13" max="16384" width="8.7109375" style="45"/>
  </cols>
  <sheetData>
    <row r="1" spans="1:12">
      <c r="A1" s="62" t="str">
        <f>+'PTD Cycle 3'!A1</f>
        <v>Evergy Missouri West, Inc. - DSIM Rider Update Filed 06/01/2026</v>
      </c>
    </row>
    <row r="2" spans="1:12">
      <c r="A2" s="8" t="str">
        <f>+'PTD Cycle 3'!A2</f>
        <v>Projections for Cycle 3 July 2026 - June 2027 DSIM</v>
      </c>
    </row>
    <row r="3" spans="1:12">
      <c r="A3" s="8"/>
    </row>
    <row r="4" spans="1:12" ht="45.75" customHeight="1">
      <c r="B4" s="513" t="s">
        <v>133</v>
      </c>
      <c r="C4" s="513"/>
      <c r="D4" s="513"/>
      <c r="G4" s="363"/>
    </row>
    <row r="5" spans="1:12" ht="90">
      <c r="B5" s="69" t="s">
        <v>85</v>
      </c>
      <c r="C5" s="69" t="s">
        <v>86</v>
      </c>
      <c r="D5" s="69" t="s">
        <v>89</v>
      </c>
      <c r="E5" s="69" t="s">
        <v>87</v>
      </c>
      <c r="F5" s="69" t="s">
        <v>84</v>
      </c>
      <c r="G5" s="390" t="s">
        <v>135</v>
      </c>
    </row>
    <row r="6" spans="1:12">
      <c r="A6" s="19"/>
      <c r="B6" s="69"/>
      <c r="C6" s="69"/>
      <c r="D6" s="136"/>
      <c r="G6" s="476"/>
    </row>
    <row r="7" spans="1:12">
      <c r="A7" s="212" t="s">
        <v>134</v>
      </c>
      <c r="B7" s="69"/>
      <c r="C7" s="69"/>
      <c r="D7" s="135"/>
      <c r="G7" s="476"/>
    </row>
    <row r="8" spans="1:12">
      <c r="A8" s="19" t="s">
        <v>22</v>
      </c>
      <c r="B8" s="194">
        <f>SUMIFS(B$18:B$181,$A$18:$A$181,$A8)</f>
        <v>8150623.629999999</v>
      </c>
      <c r="C8" s="194">
        <f>SUMIFS(C$18:C$181,$A$18:$A$181,$A8)</f>
        <v>324871.06999999995</v>
      </c>
      <c r="D8" s="194">
        <f>SUMIFS(D$18:D$181,$A$18:$A$181,$A8)</f>
        <v>-806427.95</v>
      </c>
      <c r="E8" s="194">
        <f>SUMIFS(E$18:E$181,$A$18:$A$181,$A8)</f>
        <v>-12691.189999999999</v>
      </c>
      <c r="F8" s="194">
        <f>SUM(B8:E8)</f>
        <v>7656375.5599999987</v>
      </c>
      <c r="G8" s="459">
        <f>SUMIFS(G$18:G$181,$A$18:$A$181,$A8)</f>
        <v>99025.59</v>
      </c>
      <c r="I8" s="476"/>
      <c r="J8" s="476"/>
      <c r="K8" s="476"/>
      <c r="L8" s="476"/>
    </row>
    <row r="9" spans="1:12">
      <c r="A9" s="19" t="s">
        <v>23</v>
      </c>
      <c r="B9" s="194">
        <f>B15</f>
        <v>5500245.3599999994</v>
      </c>
      <c r="C9" s="194">
        <f>C15</f>
        <v>-18178.539999999997</v>
      </c>
      <c r="D9" s="194">
        <f>D15</f>
        <v>-67355.109999999986</v>
      </c>
      <c r="E9" s="194">
        <f>E15</f>
        <v>-1988.07</v>
      </c>
      <c r="F9" s="194">
        <f>SUM(B9:E9)</f>
        <v>5412723.6399999987</v>
      </c>
      <c r="G9" s="459">
        <f>G15</f>
        <v>95261.239999999991</v>
      </c>
      <c r="I9" s="476"/>
      <c r="J9" s="476"/>
      <c r="K9" s="476"/>
      <c r="L9" s="476"/>
    </row>
    <row r="10" spans="1:12">
      <c r="A10" s="19" t="s">
        <v>3</v>
      </c>
      <c r="B10" s="189">
        <f t="shared" ref="B10" si="0">SUM(B8:B9)</f>
        <v>13650868.989999998</v>
      </c>
      <c r="C10" s="189">
        <f t="shared" ref="C10:E10" si="1">SUM(C8:C9)</f>
        <v>306692.52999999997</v>
      </c>
      <c r="D10" s="189">
        <f t="shared" si="1"/>
        <v>-873783.05999999994</v>
      </c>
      <c r="E10" s="189">
        <f t="shared" si="1"/>
        <v>-14679.259999999998</v>
      </c>
      <c r="F10" s="189">
        <f t="shared" ref="F10" si="2">SUM(F8:F9)</f>
        <v>13069099.199999997</v>
      </c>
      <c r="G10" s="458">
        <f t="shared" ref="G10" si="3">SUM(G8:G9)</f>
        <v>194286.83</v>
      </c>
      <c r="I10" s="476"/>
      <c r="J10" s="476"/>
      <c r="K10" s="476"/>
      <c r="L10" s="476"/>
    </row>
    <row r="11" spans="1:12">
      <c r="B11" s="186"/>
      <c r="C11" s="186"/>
      <c r="D11" s="186"/>
      <c r="E11" s="186"/>
      <c r="G11" s="476"/>
      <c r="I11" s="476"/>
      <c r="J11" s="476"/>
      <c r="K11" s="476"/>
      <c r="L11" s="476"/>
    </row>
    <row r="12" spans="1:12">
      <c r="A12" s="19" t="s">
        <v>91</v>
      </c>
      <c r="B12" s="194">
        <f t="shared" ref="B12:E14" si="4">SUMIFS(B$18:B$181,$A$18:$A$181,$A12)</f>
        <v>1683348.5699999998</v>
      </c>
      <c r="C12" s="194">
        <f t="shared" si="4"/>
        <v>-15253.399999999996</v>
      </c>
      <c r="D12" s="194">
        <f t="shared" si="4"/>
        <v>-16679.259999999998</v>
      </c>
      <c r="E12" s="194">
        <f t="shared" si="4"/>
        <v>-1238.8600000000001</v>
      </c>
      <c r="F12" s="189">
        <f t="shared" ref="F12:F14" si="5">SUM(B12:E12)</f>
        <v>1650177.0499999998</v>
      </c>
      <c r="G12" s="458">
        <f>SUMIFS(G$18:G$181,$A$18:$A$181,$A12)</f>
        <v>35856.29</v>
      </c>
      <c r="I12" s="476"/>
      <c r="J12" s="476"/>
      <c r="K12" s="476"/>
      <c r="L12" s="476"/>
    </row>
    <row r="13" spans="1:12">
      <c r="A13" s="19" t="s">
        <v>92</v>
      </c>
      <c r="B13" s="194">
        <f t="shared" si="4"/>
        <v>2295897.2199999997</v>
      </c>
      <c r="C13" s="194">
        <f t="shared" si="4"/>
        <v>-2963.96</v>
      </c>
      <c r="D13" s="194">
        <f t="shared" si="4"/>
        <v>-41665.86</v>
      </c>
      <c r="E13" s="194">
        <f t="shared" si="4"/>
        <v>-647.83000000000004</v>
      </c>
      <c r="F13" s="189">
        <f t="shared" si="5"/>
        <v>2250619.5699999998</v>
      </c>
      <c r="G13" s="458">
        <f>SUMIFS(G$18:G$181,$A$18:$A$181,$A13)</f>
        <v>35703.42</v>
      </c>
      <c r="I13" s="476"/>
      <c r="J13" s="476"/>
      <c r="K13" s="476"/>
      <c r="L13" s="476"/>
    </row>
    <row r="14" spans="1:12">
      <c r="A14" s="19" t="s">
        <v>93</v>
      </c>
      <c r="B14" s="194">
        <f t="shared" si="4"/>
        <v>1520999.57</v>
      </c>
      <c r="C14" s="194">
        <f t="shared" si="4"/>
        <v>38.819999999999624</v>
      </c>
      <c r="D14" s="194">
        <f t="shared" si="4"/>
        <v>-9009.989999999998</v>
      </c>
      <c r="E14" s="194">
        <f t="shared" si="4"/>
        <v>-101.37999999999998</v>
      </c>
      <c r="F14" s="189">
        <f t="shared" si="5"/>
        <v>1511927.0200000003</v>
      </c>
      <c r="G14" s="458">
        <f>SUMIFS(G$18:G$181,$A$18:$A$181,$A14)</f>
        <v>23701.529999999995</v>
      </c>
      <c r="I14" s="476"/>
      <c r="J14" s="476"/>
      <c r="K14" s="476"/>
      <c r="L14" s="476"/>
    </row>
    <row r="15" spans="1:12">
      <c r="A15" s="29" t="s">
        <v>94</v>
      </c>
      <c r="B15" s="189">
        <f t="shared" ref="B15" si="6">SUM(B12:B14)</f>
        <v>5500245.3599999994</v>
      </c>
      <c r="C15" s="189">
        <f t="shared" ref="C15:E15" si="7">SUM(C12:C14)</f>
        <v>-18178.539999999997</v>
      </c>
      <c r="D15" s="189">
        <f t="shared" si="7"/>
        <v>-67355.109999999986</v>
      </c>
      <c r="E15" s="189">
        <f t="shared" si="7"/>
        <v>-1988.07</v>
      </c>
      <c r="F15" s="189">
        <f t="shared" ref="F15" si="8">SUM(F12:F14)</f>
        <v>5412723.6399999997</v>
      </c>
      <c r="G15" s="458">
        <f t="shared" ref="G15" si="9">SUM(G12:G14)</f>
        <v>95261.239999999991</v>
      </c>
      <c r="I15" s="476"/>
      <c r="J15" s="476"/>
      <c r="K15" s="476"/>
      <c r="L15" s="476"/>
    </row>
    <row r="16" spans="1:12">
      <c r="A16" s="19"/>
      <c r="B16" s="69"/>
      <c r="C16" s="69"/>
      <c r="D16" s="135"/>
      <c r="I16" s="476"/>
      <c r="J16" s="476"/>
      <c r="K16" s="476"/>
      <c r="L16" s="476"/>
    </row>
    <row r="17" spans="1:12">
      <c r="A17" s="19"/>
      <c r="B17" s="69"/>
      <c r="C17" s="69"/>
      <c r="D17" s="135"/>
      <c r="I17" s="476"/>
      <c r="J17" s="476"/>
      <c r="K17" s="476"/>
      <c r="L17" s="476"/>
    </row>
    <row r="18" spans="1:12">
      <c r="A18" s="212" t="s">
        <v>136</v>
      </c>
      <c r="B18" s="69"/>
      <c r="C18" s="69"/>
      <c r="D18" s="135"/>
      <c r="I18" s="476"/>
      <c r="J18" s="476"/>
      <c r="K18" s="476"/>
      <c r="L18" s="476"/>
    </row>
    <row r="19" spans="1:12">
      <c r="A19" s="19" t="s">
        <v>22</v>
      </c>
      <c r="B19" s="24">
        <f>ROUND('[17]EO Matrix @Meter'!$R$20,2)</f>
        <v>1600473.26</v>
      </c>
      <c r="C19" s="24">
        <f>ROUND(SUM('[18]Ex Post Gross TD Calc'!$E$571:$Z$571),2)</f>
        <v>575236.4</v>
      </c>
      <c r="D19" s="24">
        <f>ROUND(SUM('[18]NTG TD Calc'!$E$436:$Z$436),2)</f>
        <v>-545792.23</v>
      </c>
      <c r="E19" s="205">
        <f>ROUND(SUM('[18]EO TD Carrying Costs'!$C$55:$X$55),2)</f>
        <v>6704.6</v>
      </c>
      <c r="F19" s="194">
        <f>SUM(B19:E19)</f>
        <v>1636622.0300000003</v>
      </c>
      <c r="G19" s="206">
        <f>ROUND(F19/12*0,2)</f>
        <v>0</v>
      </c>
      <c r="I19" s="297"/>
    </row>
    <row r="20" spans="1:12">
      <c r="A20" s="19" t="s">
        <v>23</v>
      </c>
      <c r="B20" s="188">
        <f>B26</f>
        <v>893810.55</v>
      </c>
      <c r="C20" s="188">
        <f>C26</f>
        <v>48777.71</v>
      </c>
      <c r="D20" s="188">
        <f>D26</f>
        <v>-18883.82</v>
      </c>
      <c r="E20" s="207">
        <f>E26</f>
        <v>299.14999999999998</v>
      </c>
      <c r="F20" s="194">
        <f>SUM(B20:E20)</f>
        <v>924003.59000000008</v>
      </c>
      <c r="G20" s="206">
        <f>G26</f>
        <v>0</v>
      </c>
      <c r="I20" s="297"/>
    </row>
    <row r="21" spans="1:12">
      <c r="A21" s="19" t="s">
        <v>3</v>
      </c>
      <c r="B21" s="189">
        <f t="shared" ref="B21:G21" si="10">SUM(B19:B20)</f>
        <v>2494283.81</v>
      </c>
      <c r="C21" s="189">
        <f t="shared" si="10"/>
        <v>624014.11</v>
      </c>
      <c r="D21" s="189">
        <f t="shared" si="10"/>
        <v>-564676.04999999993</v>
      </c>
      <c r="E21" s="208">
        <f t="shared" si="10"/>
        <v>7003.75</v>
      </c>
      <c r="F21" s="189">
        <f t="shared" si="10"/>
        <v>2560625.62</v>
      </c>
      <c r="G21" s="209">
        <f t="shared" si="10"/>
        <v>0</v>
      </c>
    </row>
    <row r="22" spans="1:12">
      <c r="B22" s="186"/>
      <c r="C22" s="186"/>
      <c r="D22" s="187"/>
    </row>
    <row r="23" spans="1:12">
      <c r="A23" s="19" t="s">
        <v>91</v>
      </c>
      <c r="B23" s="24">
        <f>ROUND('[17]EO Matrix @Meter'!$V$20,2)</f>
        <v>310910.24</v>
      </c>
      <c r="C23" s="24">
        <f>ROUND(SUM('[18]Ex Post Gross TD Calc'!$E$572:$Z$572),2)</f>
        <v>31691.65</v>
      </c>
      <c r="D23" s="24">
        <f>ROUND(SUM('[18]NTG TD Calc'!$E$437:$Z$437),2)</f>
        <v>-8282.43</v>
      </c>
      <c r="E23" s="205">
        <f>ROUND(SUM('[18]EO TD Carrying Costs'!$C$56:$X$56),2)</f>
        <v>207.66</v>
      </c>
      <c r="F23" s="189">
        <f t="shared" ref="F23:F25" si="11">SUM(B23:E23)</f>
        <v>334527.12</v>
      </c>
      <c r="G23" s="214">
        <f>ROUND(F23/12*0,2)</f>
        <v>0</v>
      </c>
      <c r="I23" s="297"/>
    </row>
    <row r="24" spans="1:12">
      <c r="A24" s="19" t="s">
        <v>92</v>
      </c>
      <c r="B24" s="24">
        <f>ROUND('[17]EO Matrix @Meter'!$X$20,2)</f>
        <v>318131.55</v>
      </c>
      <c r="C24" s="24">
        <f>ROUND(SUM('[18]Ex Post Gross TD Calc'!$E$574:$Z$574),2)</f>
        <v>14779.57</v>
      </c>
      <c r="D24" s="24">
        <f>ROUND(SUM('[18]NTG TD Calc'!$E$439:$Z$439),2)</f>
        <v>-5434.16</v>
      </c>
      <c r="E24" s="205">
        <f>ROUND(SUM('[18]EO TD Carrying Costs'!$C$58:$X$58),2)</f>
        <v>118.71</v>
      </c>
      <c r="F24" s="189">
        <f t="shared" si="11"/>
        <v>327595.67000000004</v>
      </c>
      <c r="G24" s="214">
        <f>ROUND(F24/12*0,2)</f>
        <v>0</v>
      </c>
      <c r="I24" s="297"/>
    </row>
    <row r="25" spans="1:12">
      <c r="A25" s="19" t="s">
        <v>93</v>
      </c>
      <c r="B25" s="24">
        <f>ROUND('[17]EO Matrix @Meter'!$Y$20,2)</f>
        <v>264768.76</v>
      </c>
      <c r="C25" s="24">
        <f>ROUND(SUM('[18]Ex Post Gross TD Calc'!$E$575:$Z$575),2)</f>
        <v>2306.4899999999998</v>
      </c>
      <c r="D25" s="24">
        <f>ROUND(SUM('[18]NTG TD Calc'!$E$440:$Z$440),2)</f>
        <v>-5167.2299999999996</v>
      </c>
      <c r="E25" s="205">
        <f>ROUND(SUM('[18]EO TD Carrying Costs'!$C$59:$X$59),2)</f>
        <v>-27.22</v>
      </c>
      <c r="F25" s="189">
        <f t="shared" si="11"/>
        <v>261880.8</v>
      </c>
      <c r="G25" s="214">
        <f>ROUND(F25/12*0,2)</f>
        <v>0</v>
      </c>
      <c r="I25" s="297"/>
    </row>
    <row r="26" spans="1:12">
      <c r="A26" s="29" t="s">
        <v>94</v>
      </c>
      <c r="B26" s="189">
        <f>SUM(B23:B25)</f>
        <v>893810.55</v>
      </c>
      <c r="C26" s="189">
        <f>SUM(C23:C25)</f>
        <v>48777.71</v>
      </c>
      <c r="D26" s="189">
        <f t="shared" ref="D26:G26" si="12">SUM(D23:D25)</f>
        <v>-18883.82</v>
      </c>
      <c r="E26" s="189">
        <f t="shared" si="12"/>
        <v>299.14999999999998</v>
      </c>
      <c r="F26" s="189">
        <f t="shared" si="12"/>
        <v>924003.59000000008</v>
      </c>
      <c r="G26" s="189">
        <f t="shared" si="12"/>
        <v>0</v>
      </c>
    </row>
    <row r="27" spans="1:12" s="38" customFormat="1">
      <c r="A27" s="29"/>
      <c r="B27" s="213"/>
      <c r="C27" s="213"/>
      <c r="D27" s="213"/>
      <c r="E27" s="213"/>
      <c r="F27" s="213"/>
      <c r="G27" s="213"/>
    </row>
    <row r="28" spans="1:12" s="38" customFormat="1">
      <c r="A28" s="29"/>
      <c r="B28" s="213"/>
      <c r="C28" s="213"/>
      <c r="D28" s="213"/>
      <c r="E28" s="213"/>
      <c r="F28" s="213"/>
      <c r="G28" s="213"/>
    </row>
    <row r="29" spans="1:12">
      <c r="A29" s="248" t="s">
        <v>139</v>
      </c>
      <c r="B29" s="69"/>
      <c r="C29" s="69"/>
      <c r="D29" s="135"/>
    </row>
    <row r="30" spans="1:12">
      <c r="A30" s="19" t="s">
        <v>22</v>
      </c>
      <c r="B30" s="24"/>
      <c r="C30" s="24">
        <f>ROUND(SUM('[18]Ex Post Gross TD Calc'!$AA$571:$AF$571),2)</f>
        <v>62492.85</v>
      </c>
      <c r="D30" s="24">
        <f>ROUND(SUM('[18]NTG TD Calc'!$AA$436:$AF$436),2)</f>
        <v>-64533.46</v>
      </c>
      <c r="E30" s="205">
        <f>ROUND(SUM('[18]EO TD Carrying Costs'!$Y$55:$AD$55),2)</f>
        <v>183.74</v>
      </c>
      <c r="F30" s="194">
        <f>SUM(B30:E30)</f>
        <v>-1856.8700000000006</v>
      </c>
      <c r="G30" s="206">
        <f>ROUND(F30/12*0,2)</f>
        <v>0</v>
      </c>
      <c r="I30" s="297"/>
    </row>
    <row r="31" spans="1:12">
      <c r="A31" s="19" t="s">
        <v>23</v>
      </c>
      <c r="B31" s="188">
        <f>B37</f>
        <v>0</v>
      </c>
      <c r="C31" s="188">
        <f>C37</f>
        <v>16556.97</v>
      </c>
      <c r="D31" s="188">
        <f>D37</f>
        <v>-2227.92</v>
      </c>
      <c r="E31" s="207">
        <f>E37</f>
        <v>448.56</v>
      </c>
      <c r="F31" s="194">
        <f>SUM(B31:E31)</f>
        <v>14777.61</v>
      </c>
      <c r="G31" s="206">
        <f>G37</f>
        <v>0</v>
      </c>
      <c r="I31" s="297"/>
    </row>
    <row r="32" spans="1:12">
      <c r="A32" s="19" t="s">
        <v>3</v>
      </c>
      <c r="B32" s="189">
        <f t="shared" ref="B32:G32" si="13">SUM(B30:B31)</f>
        <v>0</v>
      </c>
      <c r="C32" s="189">
        <f t="shared" si="13"/>
        <v>79049.820000000007</v>
      </c>
      <c r="D32" s="189">
        <f t="shared" si="13"/>
        <v>-66761.38</v>
      </c>
      <c r="E32" s="208">
        <f t="shared" si="13"/>
        <v>632.29999999999995</v>
      </c>
      <c r="F32" s="189">
        <f t="shared" si="13"/>
        <v>12920.74</v>
      </c>
      <c r="G32" s="209">
        <f t="shared" si="13"/>
        <v>0</v>
      </c>
      <c r="I32" s="297"/>
    </row>
    <row r="33" spans="1:11">
      <c r="B33" s="186"/>
      <c r="C33" s="186"/>
      <c r="D33" s="187"/>
      <c r="I33" s="297"/>
    </row>
    <row r="34" spans="1:11">
      <c r="A34" s="19" t="s">
        <v>91</v>
      </c>
      <c r="B34" s="24"/>
      <c r="C34" s="24">
        <f>ROUND(SUM('[18]Ex Post Gross TD Calc'!$AA$572:$AF$572),2)</f>
        <v>10068.67</v>
      </c>
      <c r="D34" s="24">
        <f>ROUND(SUM('[18]NTG TD Calc'!$AA$437:$AF$437),2)</f>
        <v>-753.09</v>
      </c>
      <c r="E34" s="205">
        <f>ROUND(SUM('[18]EO TD Carrying Costs'!$Y$56:$AD$56),2)</f>
        <v>344.55</v>
      </c>
      <c r="F34" s="189">
        <f t="shared" ref="F34:F36" si="14">SUM(B34:E34)</f>
        <v>9660.1299999999992</v>
      </c>
      <c r="G34" s="206">
        <f t="shared" ref="G34:G36" si="15">ROUND(F34/12*0,2)</f>
        <v>0</v>
      </c>
      <c r="I34" s="297"/>
    </row>
    <row r="35" spans="1:11">
      <c r="A35" s="19" t="s">
        <v>92</v>
      </c>
      <c r="B35" s="24"/>
      <c r="C35" s="24">
        <f>ROUND(SUM('[18]Ex Post Gross TD Calc'!$AA$574:$AF$574),2)</f>
        <v>5538.26</v>
      </c>
      <c r="D35" s="24">
        <f>ROUND(SUM('[18]NTG TD Calc'!$AA$439:$AF$439),2)</f>
        <v>-759.03</v>
      </c>
      <c r="E35" s="205">
        <f>ROUND(SUM('[18]EO TD Carrying Costs'!$Y$58:$AD$58),2)</f>
        <v>142</v>
      </c>
      <c r="F35" s="189">
        <f t="shared" si="14"/>
        <v>4921.2300000000005</v>
      </c>
      <c r="G35" s="206">
        <f t="shared" si="15"/>
        <v>0</v>
      </c>
      <c r="I35" s="297"/>
    </row>
    <row r="36" spans="1:11">
      <c r="A36" s="19" t="s">
        <v>93</v>
      </c>
      <c r="B36" s="188"/>
      <c r="C36" s="24">
        <f>ROUND(SUM('[18]Ex Post Gross TD Calc'!$AA$575:$AF$575),2)</f>
        <v>950.04</v>
      </c>
      <c r="D36" s="24">
        <f>ROUND(SUM('[18]NTG TD Calc'!$AA$440:$AF$440),2)</f>
        <v>-715.8</v>
      </c>
      <c r="E36" s="205">
        <f>ROUND(SUM('[18]EO TD Carrying Costs'!$Y$59:$AD$59),2)</f>
        <v>-37.99</v>
      </c>
      <c r="F36" s="189">
        <f t="shared" si="14"/>
        <v>196.25</v>
      </c>
      <c r="G36" s="206">
        <f t="shared" si="15"/>
        <v>0</v>
      </c>
      <c r="I36" s="297"/>
    </row>
    <row r="37" spans="1:11">
      <c r="A37" s="29" t="s">
        <v>94</v>
      </c>
      <c r="B37" s="189">
        <f>SUM(B34:B36)</f>
        <v>0</v>
      </c>
      <c r="C37" s="189">
        <f>SUM(C34:C36)</f>
        <v>16556.97</v>
      </c>
      <c r="D37" s="189">
        <f t="shared" ref="D37:G37" si="16">SUM(D34:D36)</f>
        <v>-2227.92</v>
      </c>
      <c r="E37" s="189">
        <f t="shared" si="16"/>
        <v>448.56</v>
      </c>
      <c r="F37" s="189">
        <f t="shared" si="16"/>
        <v>14777.61</v>
      </c>
      <c r="G37" s="189">
        <f t="shared" si="16"/>
        <v>0</v>
      </c>
    </row>
    <row r="38" spans="1:11">
      <c r="A38" s="29"/>
      <c r="B38" s="210"/>
      <c r="C38" s="210"/>
      <c r="D38" s="210"/>
      <c r="E38" s="210"/>
      <c r="F38" s="210"/>
      <c r="G38" s="210"/>
    </row>
    <row r="39" spans="1:11" s="38" customFormat="1">
      <c r="A39" s="29"/>
      <c r="B39" s="213"/>
      <c r="C39" s="213"/>
      <c r="D39" s="213"/>
      <c r="E39" s="213"/>
      <c r="F39" s="213"/>
      <c r="G39" s="213"/>
    </row>
    <row r="40" spans="1:11">
      <c r="A40" s="251" t="s">
        <v>145</v>
      </c>
      <c r="B40" s="69"/>
      <c r="C40" s="69"/>
      <c r="D40" s="135"/>
    </row>
    <row r="41" spans="1:11">
      <c r="A41" s="19" t="s">
        <v>22</v>
      </c>
      <c r="B41" s="24">
        <v>0</v>
      </c>
      <c r="C41" s="24">
        <f>ROUND(SUM('[18]Ex Post Gross TD Calc'!$AG$571:$AM$571),2)</f>
        <v>71150.52</v>
      </c>
      <c r="D41" s="24">
        <f>ROUND(SUM('[18]NTG TD Calc'!$AG$436:$AM$436),2)</f>
        <v>-0.01</v>
      </c>
      <c r="E41" s="205">
        <f>ROUND(SUM('[18]EO TD Carrying Costs'!$AE$55:$AK$55),2)</f>
        <v>548.88</v>
      </c>
      <c r="F41" s="194">
        <f>SUM(B41:E41)</f>
        <v>71699.390000000014</v>
      </c>
      <c r="G41" s="206">
        <f>ROUND(F41/12*0,2)</f>
        <v>0</v>
      </c>
      <c r="I41" s="297"/>
      <c r="K41" s="287"/>
    </row>
    <row r="42" spans="1:11">
      <c r="A42" s="19" t="s">
        <v>23</v>
      </c>
      <c r="B42" s="188">
        <f>B48</f>
        <v>0</v>
      </c>
      <c r="C42" s="188">
        <f>C48</f>
        <v>28197.040000000001</v>
      </c>
      <c r="D42" s="188">
        <f>D48</f>
        <v>-0.02</v>
      </c>
      <c r="E42" s="207">
        <f>E48</f>
        <v>443.20999999999992</v>
      </c>
      <c r="F42" s="194">
        <f>SUM(B42:E42)</f>
        <v>28640.23</v>
      </c>
      <c r="G42" s="206">
        <f>G48</f>
        <v>0</v>
      </c>
      <c r="I42" s="297"/>
      <c r="K42" s="287"/>
    </row>
    <row r="43" spans="1:11">
      <c r="A43" s="19" t="s">
        <v>3</v>
      </c>
      <c r="B43" s="189">
        <f t="shared" ref="B43:G43" si="17">SUM(B41:B42)</f>
        <v>0</v>
      </c>
      <c r="C43" s="189">
        <f t="shared" si="17"/>
        <v>99347.56</v>
      </c>
      <c r="D43" s="189">
        <f t="shared" si="17"/>
        <v>-0.03</v>
      </c>
      <c r="E43" s="208">
        <f t="shared" si="17"/>
        <v>992.08999999999992</v>
      </c>
      <c r="F43" s="189">
        <f t="shared" si="17"/>
        <v>100339.62000000001</v>
      </c>
      <c r="G43" s="209">
        <f t="shared" si="17"/>
        <v>0</v>
      </c>
      <c r="I43" s="297"/>
    </row>
    <row r="44" spans="1:11">
      <c r="B44" s="186"/>
      <c r="C44" s="186"/>
      <c r="D44" s="187"/>
      <c r="I44" s="297"/>
    </row>
    <row r="45" spans="1:11">
      <c r="A45" s="19" t="s">
        <v>91</v>
      </c>
      <c r="B45" s="24">
        <v>0</v>
      </c>
      <c r="C45" s="24">
        <f>ROUND(SUM('[18]Ex Post Gross TD Calc'!$AG$572:$AM$572),2)</f>
        <v>19392.560000000001</v>
      </c>
      <c r="D45" s="24">
        <f>ROUND(SUM('[18]NTG TD Calc'!$AG$437:$AM$437),2)</f>
        <v>0</v>
      </c>
      <c r="E45" s="205">
        <f>ROUND(SUM('[18]EO TD Carrying Costs'!$AE$56:$AK$56),2)</f>
        <v>322.51</v>
      </c>
      <c r="F45" s="189">
        <f t="shared" ref="F45:F47" si="18">SUM(B45:E45)</f>
        <v>19715.07</v>
      </c>
      <c r="G45" s="206">
        <f t="shared" ref="G45:G47" si="19">ROUND(F45/12*0,2)</f>
        <v>0</v>
      </c>
      <c r="I45" s="297"/>
    </row>
    <row r="46" spans="1:11">
      <c r="A46" s="19" t="s">
        <v>92</v>
      </c>
      <c r="B46" s="24">
        <v>0</v>
      </c>
      <c r="C46" s="24">
        <f>ROUND(SUM('[18]Ex Post Gross TD Calc'!$AG$574:$AM$574),2)</f>
        <v>7522.72</v>
      </c>
      <c r="D46" s="24">
        <f>ROUND(SUM('[18]NTG TD Calc'!$AG$439:$AM$439),2)</f>
        <v>-0.02</v>
      </c>
      <c r="E46" s="205">
        <f>ROUND(SUM('[18]EO TD Carrying Costs'!$AE$58:$AK$58),2)</f>
        <v>134.16999999999999</v>
      </c>
      <c r="F46" s="189">
        <f t="shared" si="18"/>
        <v>7656.87</v>
      </c>
      <c r="G46" s="206">
        <f t="shared" si="19"/>
        <v>0</v>
      </c>
      <c r="I46" s="297"/>
    </row>
    <row r="47" spans="1:11">
      <c r="A47" s="19" t="s">
        <v>93</v>
      </c>
      <c r="B47" s="188">
        <v>0</v>
      </c>
      <c r="C47" s="24">
        <f>ROUND(SUM('[18]Ex Post Gross TD Calc'!$AG$575:$AM$575),2)</f>
        <v>1281.76</v>
      </c>
      <c r="D47" s="24">
        <f>ROUND(SUM('[18]NTG TD Calc'!$AG$440:$AM$440),2)</f>
        <v>0</v>
      </c>
      <c r="E47" s="205">
        <f>ROUND(SUM('[18]EO TD Carrying Costs'!$AE$59:$AK$59),2)</f>
        <v>-13.47</v>
      </c>
      <c r="F47" s="189">
        <f t="shared" si="18"/>
        <v>1268.29</v>
      </c>
      <c r="G47" s="206">
        <f t="shared" si="19"/>
        <v>0</v>
      </c>
      <c r="I47" s="297"/>
    </row>
    <row r="48" spans="1:11">
      <c r="A48" s="29" t="s">
        <v>94</v>
      </c>
      <c r="B48" s="189">
        <f>SUM(B45:B47)</f>
        <v>0</v>
      </c>
      <c r="C48" s="189">
        <f>SUM(C45:C47)</f>
        <v>28197.040000000001</v>
      </c>
      <c r="D48" s="189">
        <f t="shared" ref="D48:G48" si="20">SUM(D45:D47)</f>
        <v>-0.02</v>
      </c>
      <c r="E48" s="189">
        <f t="shared" si="20"/>
        <v>443.20999999999992</v>
      </c>
      <c r="F48" s="189">
        <f t="shared" si="20"/>
        <v>28640.23</v>
      </c>
      <c r="G48" s="189">
        <f t="shared" si="20"/>
        <v>0</v>
      </c>
    </row>
    <row r="49" spans="1:7">
      <c r="A49" s="29"/>
      <c r="B49" s="213"/>
      <c r="C49" s="213"/>
      <c r="D49" s="213"/>
      <c r="E49" s="213"/>
      <c r="F49" s="213"/>
      <c r="G49" s="213"/>
    </row>
    <row r="50" spans="1:7" s="38" customFormat="1">
      <c r="A50" s="29"/>
      <c r="B50" s="213"/>
      <c r="C50" s="213"/>
      <c r="D50" s="213"/>
      <c r="E50" s="213"/>
      <c r="F50" s="213"/>
      <c r="G50" s="213"/>
    </row>
    <row r="51" spans="1:7" s="38" customFormat="1">
      <c r="A51" s="282" t="s">
        <v>175</v>
      </c>
      <c r="B51" s="133"/>
      <c r="C51" s="133"/>
      <c r="D51" s="289"/>
    </row>
    <row r="52" spans="1:7" s="38" customFormat="1">
      <c r="A52" s="19" t="s">
        <v>22</v>
      </c>
      <c r="B52" s="24">
        <v>0</v>
      </c>
      <c r="C52" s="24">
        <f>ROUND(SUM('[18]Ex Post Gross TD Calc'!$AN$571:$AN$571),2)</f>
        <v>10271.9</v>
      </c>
      <c r="D52" s="24">
        <f>ROUND(SUM('[18]NTG TD Calc'!$AN$436:$AN$436),2)</f>
        <v>0</v>
      </c>
      <c r="E52" s="205">
        <f>ROUND(SUM('[18]EO TD Carrying Costs'!$AL$55:$AL$55),2)</f>
        <v>195.78</v>
      </c>
      <c r="F52" s="194">
        <f>SUM(B52:E52)</f>
        <v>10467.68</v>
      </c>
      <c r="G52" s="290">
        <f>ROUND(F52/12*0,2)</f>
        <v>0</v>
      </c>
    </row>
    <row r="53" spans="1:7" s="38" customFormat="1">
      <c r="A53" s="19" t="s">
        <v>23</v>
      </c>
      <c r="B53" s="188">
        <f>B59</f>
        <v>0</v>
      </c>
      <c r="C53" s="188">
        <f>C59</f>
        <v>2693.56</v>
      </c>
      <c r="D53" s="188">
        <f>D59</f>
        <v>-0.01</v>
      </c>
      <c r="E53" s="207">
        <f>E59</f>
        <v>132.03</v>
      </c>
      <c r="F53" s="194">
        <f>SUM(B53:E53)</f>
        <v>2825.58</v>
      </c>
      <c r="G53" s="290">
        <f>G59</f>
        <v>0</v>
      </c>
    </row>
    <row r="54" spans="1:7" s="38" customFormat="1">
      <c r="A54" s="19" t="s">
        <v>3</v>
      </c>
      <c r="B54" s="189">
        <f t="shared" ref="B54:G54" si="21">SUM(B52:B53)</f>
        <v>0</v>
      </c>
      <c r="C54" s="189">
        <f t="shared" si="21"/>
        <v>12965.46</v>
      </c>
      <c r="D54" s="189">
        <f t="shared" si="21"/>
        <v>-0.01</v>
      </c>
      <c r="E54" s="208">
        <f t="shared" si="21"/>
        <v>327.81</v>
      </c>
      <c r="F54" s="189">
        <f t="shared" si="21"/>
        <v>13293.26</v>
      </c>
      <c r="G54" s="209">
        <f t="shared" si="21"/>
        <v>0</v>
      </c>
    </row>
    <row r="55" spans="1:7" s="38" customFormat="1">
      <c r="A55" s="45"/>
      <c r="B55" s="186"/>
      <c r="C55" s="186"/>
      <c r="D55" s="187"/>
      <c r="E55" s="45"/>
      <c r="F55" s="45"/>
      <c r="G55" s="45"/>
    </row>
    <row r="56" spans="1:7" s="38" customFormat="1">
      <c r="A56" s="19" t="s">
        <v>91</v>
      </c>
      <c r="B56" s="24">
        <v>0</v>
      </c>
      <c r="C56" s="24">
        <f>ROUND(SUM('[18]Ex Post Gross TD Calc'!$AN$572:$AN$572),2)</f>
        <v>1616.23</v>
      </c>
      <c r="D56" s="24">
        <f>ROUND(SUM('[18]NTG TD Calc'!$AN$437:$AN$437),2)</f>
        <v>0</v>
      </c>
      <c r="E56" s="205">
        <f>ROUND(SUM('[18]EO TD Carrying Costs'!$AL$56:$AL$56),2)</f>
        <v>94.76</v>
      </c>
      <c r="F56" s="189">
        <f t="shared" ref="F56:F58" si="22">SUM(B56:E56)</f>
        <v>1710.99</v>
      </c>
      <c r="G56" s="290">
        <f>ROUND(F56/12*0,2)</f>
        <v>0</v>
      </c>
    </row>
    <row r="57" spans="1:7" s="38" customFormat="1">
      <c r="A57" s="19" t="s">
        <v>92</v>
      </c>
      <c r="B57" s="24">
        <v>0</v>
      </c>
      <c r="C57" s="24">
        <f>ROUND(SUM('[18]Ex Post Gross TD Calc'!$AN$574:$AN$574),2)</f>
        <v>912.42</v>
      </c>
      <c r="D57" s="24">
        <f>ROUND(SUM('[18]NTG TD Calc'!$AN$439:$AN$439),2)</f>
        <v>-0.01</v>
      </c>
      <c r="E57" s="205">
        <f>ROUND(SUM('[18]EO TD Carrying Costs'!$AL$58:$AL$58),2)</f>
        <v>39.630000000000003</v>
      </c>
      <c r="F57" s="189">
        <f t="shared" si="22"/>
        <v>952.04</v>
      </c>
      <c r="G57" s="290">
        <f>ROUND(F57/12*0,2)</f>
        <v>0</v>
      </c>
    </row>
    <row r="58" spans="1:7" s="38" customFormat="1">
      <c r="A58" s="19" t="s">
        <v>93</v>
      </c>
      <c r="B58" s="188">
        <v>0</v>
      </c>
      <c r="C58" s="24">
        <f>ROUND(SUM('[18]Ex Post Gross TD Calc'!$AN$575:$AN$575),2)</f>
        <v>164.91</v>
      </c>
      <c r="D58" s="24">
        <f>ROUND(SUM('[18]NTG TD Calc'!$AN$440:$AN$440),2)</f>
        <v>0</v>
      </c>
      <c r="E58" s="205">
        <f>ROUND(SUM('[18]EO TD Carrying Costs'!$AL$59:$AL$59),2)</f>
        <v>-2.36</v>
      </c>
      <c r="F58" s="189">
        <f t="shared" si="22"/>
        <v>162.54999999999998</v>
      </c>
      <c r="G58" s="290">
        <f>ROUND(F58/12*0,2)</f>
        <v>0</v>
      </c>
    </row>
    <row r="59" spans="1:7" s="38" customFormat="1">
      <c r="A59" s="19" t="s">
        <v>94</v>
      </c>
      <c r="B59" s="189">
        <f>SUM(B56:B58)</f>
        <v>0</v>
      </c>
      <c r="C59" s="189">
        <f>SUM(C56:C58)</f>
        <v>2693.56</v>
      </c>
      <c r="D59" s="189">
        <f t="shared" ref="D59:G59" si="23">SUM(D56:D58)</f>
        <v>-0.01</v>
      </c>
      <c r="E59" s="189">
        <f t="shared" si="23"/>
        <v>132.03</v>
      </c>
      <c r="F59" s="189">
        <f t="shared" si="23"/>
        <v>2825.58</v>
      </c>
      <c r="G59" s="189">
        <f t="shared" si="23"/>
        <v>0</v>
      </c>
    </row>
    <row r="60" spans="1:7" s="38" customFormat="1">
      <c r="A60" s="29"/>
      <c r="B60" s="213"/>
      <c r="C60" s="213"/>
      <c r="D60" s="213"/>
      <c r="E60" s="213"/>
      <c r="F60" s="213"/>
      <c r="G60" s="213"/>
    </row>
    <row r="61" spans="1:7" s="38" customFormat="1">
      <c r="A61" s="29"/>
      <c r="B61" s="213"/>
      <c r="C61" s="213"/>
      <c r="D61" s="213"/>
      <c r="E61" s="213"/>
      <c r="F61" s="213"/>
      <c r="G61" s="213"/>
    </row>
    <row r="62" spans="1:7">
      <c r="A62" s="251" t="s">
        <v>147</v>
      </c>
      <c r="B62" s="69"/>
      <c r="C62" s="69"/>
      <c r="D62" s="135"/>
    </row>
    <row r="63" spans="1:7">
      <c r="A63" s="19" t="s">
        <v>22</v>
      </c>
      <c r="B63" s="24">
        <f>ROUND('[19]EO Matrix @Meter'!$AL$20,2)</f>
        <v>2070956.04</v>
      </c>
      <c r="C63" s="24">
        <f>ROUND(SUM('[20]Ex Post Gross TD Calc'!$Q$571:$AN$571),2)</f>
        <v>-195811.16</v>
      </c>
      <c r="D63" s="24">
        <f>ROUND(SUM('[20]NTG TD Calc'!$Q$436:$AN$436),2)</f>
        <v>-174531.88</v>
      </c>
      <c r="E63" s="205">
        <f>ROUND(SUM('[20]EO TD Carrying Costs'!$O$55:$AL$55),2)</f>
        <v>-8257.98</v>
      </c>
      <c r="F63" s="194">
        <f>SUM(B63:E63)</f>
        <v>1692355.02</v>
      </c>
      <c r="G63" s="206">
        <f>ROUND(F63/12*0,2)</f>
        <v>0</v>
      </c>
    </row>
    <row r="64" spans="1:7">
      <c r="A64" s="19" t="s">
        <v>23</v>
      </c>
      <c r="B64" s="188">
        <f>B70</f>
        <v>1072812.1200000001</v>
      </c>
      <c r="C64" s="188">
        <f>C70</f>
        <v>1131.53</v>
      </c>
      <c r="D64" s="188">
        <f>D70</f>
        <v>-105892.22</v>
      </c>
      <c r="E64" s="207">
        <f>E70</f>
        <v>-1408.09</v>
      </c>
      <c r="F64" s="194">
        <f>SUM(B64:E64)</f>
        <v>966643.3400000002</v>
      </c>
      <c r="G64" s="290">
        <f>G70</f>
        <v>0</v>
      </c>
    </row>
    <row r="65" spans="1:7">
      <c r="A65" s="19" t="s">
        <v>3</v>
      </c>
      <c r="B65" s="189">
        <f t="shared" ref="B65:G65" si="24">SUM(B63:B64)</f>
        <v>3143768.16</v>
      </c>
      <c r="C65" s="189">
        <f t="shared" si="24"/>
        <v>-194679.63</v>
      </c>
      <c r="D65" s="189">
        <f t="shared" si="24"/>
        <v>-280424.09999999998</v>
      </c>
      <c r="E65" s="208">
        <f t="shared" si="24"/>
        <v>-9666.07</v>
      </c>
      <c r="F65" s="189">
        <f t="shared" si="24"/>
        <v>2658998.3600000003</v>
      </c>
      <c r="G65" s="209">
        <f t="shared" si="24"/>
        <v>0</v>
      </c>
    </row>
    <row r="66" spans="1:7">
      <c r="B66" s="186"/>
      <c r="C66" s="186"/>
      <c r="D66" s="187"/>
    </row>
    <row r="67" spans="1:7">
      <c r="A67" s="19" t="s">
        <v>91</v>
      </c>
      <c r="B67" s="24">
        <f>ROUND('[19]EO Matrix @Meter'!$AP$20,2)</f>
        <v>283722.18</v>
      </c>
      <c r="C67" s="24">
        <f>ROUND(SUM('[20]Ex Post Gross TD Calc'!$Q$572:$AN$572),2)</f>
        <v>6564.41</v>
      </c>
      <c r="D67" s="24">
        <f>ROUND(SUM('[20]NTG TD Calc'!$Q$437:$AN$437),2)</f>
        <v>-47566.93</v>
      </c>
      <c r="E67" s="205">
        <f>ROUND(SUM('[20]EO TD Carrying Costs'!$O$56:$AL$56),2)</f>
        <v>-523.69000000000005</v>
      </c>
      <c r="F67" s="189">
        <f t="shared" ref="F67:F69" si="25">SUM(B67:E67)</f>
        <v>242195.96999999997</v>
      </c>
      <c r="G67" s="206">
        <f>ROUND(F67/12*0,2)</f>
        <v>0</v>
      </c>
    </row>
    <row r="68" spans="1:7">
      <c r="A68" s="19" t="s">
        <v>92</v>
      </c>
      <c r="B68" s="24">
        <f>ROUND('[19]EO Matrix @Meter'!$AR$20,2)</f>
        <v>576681.62</v>
      </c>
      <c r="C68" s="24">
        <f>ROUND(SUM('[20]Ex Post Gross TD Calc'!$Q$574:$AN$574),2)</f>
        <v>-3904.58</v>
      </c>
      <c r="D68" s="24">
        <f>ROUND(SUM('[20]NTG TD Calc'!$Q$439:$AN$439),2)</f>
        <v>-52350.95</v>
      </c>
      <c r="E68" s="205">
        <f>ROUND(SUM('[20]EO TD Carrying Costs'!$O$58:$AL$58),2)</f>
        <v>-794.87</v>
      </c>
      <c r="F68" s="189">
        <f t="shared" si="25"/>
        <v>519631.22000000003</v>
      </c>
      <c r="G68" s="206">
        <f>ROUND(F68/12*0,2)</f>
        <v>0</v>
      </c>
    </row>
    <row r="69" spans="1:7">
      <c r="A69" s="19" t="s">
        <v>93</v>
      </c>
      <c r="B69" s="24">
        <f>ROUND('[19]EO Matrix @Meter'!$AS$20,2)</f>
        <v>212408.32000000001</v>
      </c>
      <c r="C69" s="24">
        <f>ROUND(SUM('[20]Ex Post Gross TD Calc'!$Q$575:$AN$575),2)</f>
        <v>-1528.3</v>
      </c>
      <c r="D69" s="24">
        <f>ROUND(SUM('[20]NTG TD Calc'!$Q$440:$AN$440),2)</f>
        <v>-5974.34</v>
      </c>
      <c r="E69" s="205">
        <f>ROUND(SUM('[20]EO TD Carrying Costs'!$O$59:$AL$59),2)</f>
        <v>-89.53</v>
      </c>
      <c r="F69" s="189">
        <f t="shared" si="25"/>
        <v>204816.15000000002</v>
      </c>
      <c r="G69" s="206">
        <f>ROUND(F69/12*0,2)</f>
        <v>0</v>
      </c>
    </row>
    <row r="70" spans="1:7">
      <c r="A70" s="29" t="s">
        <v>94</v>
      </c>
      <c r="B70" s="189">
        <f>SUM(B67:B69)</f>
        <v>1072812.1200000001</v>
      </c>
      <c r="C70" s="189">
        <f>SUM(C67:C69)</f>
        <v>1131.53</v>
      </c>
      <c r="D70" s="189">
        <f t="shared" ref="D70:G70" si="26">SUM(D67:D69)</f>
        <v>-105892.22</v>
      </c>
      <c r="E70" s="189">
        <f t="shared" si="26"/>
        <v>-1408.09</v>
      </c>
      <c r="F70" s="189">
        <f t="shared" si="26"/>
        <v>966643.34</v>
      </c>
      <c r="G70" s="189">
        <f t="shared" si="26"/>
        <v>0</v>
      </c>
    </row>
    <row r="71" spans="1:7">
      <c r="A71" s="29"/>
      <c r="B71" s="213"/>
      <c r="C71" s="213"/>
      <c r="D71" s="213"/>
      <c r="E71" s="213"/>
      <c r="F71" s="213"/>
      <c r="G71" s="213"/>
    </row>
    <row r="72" spans="1:7" s="38" customFormat="1">
      <c r="A72" s="296"/>
      <c r="B72" s="213"/>
      <c r="C72" s="213"/>
      <c r="D72" s="213"/>
      <c r="E72" s="213"/>
      <c r="F72" s="213"/>
      <c r="G72" s="213"/>
    </row>
    <row r="73" spans="1:7">
      <c r="A73" s="296" t="s">
        <v>174</v>
      </c>
      <c r="B73" s="69"/>
      <c r="C73" s="69"/>
      <c r="D73" s="135"/>
    </row>
    <row r="74" spans="1:7">
      <c r="A74" s="19" t="s">
        <v>22</v>
      </c>
      <c r="B74" s="24">
        <f>ROUND('[21]EO Matrix @Meter'!$AL$22,2)</f>
        <v>1831459.69</v>
      </c>
      <c r="C74" s="24">
        <f>ROUND(SUM('[22]Ex Post Gross TD Calc'!$AC$572:$AX$572),2)</f>
        <v>-87916.71</v>
      </c>
      <c r="D74" s="24">
        <f>ROUND(SUM('[22]NTG TD Calc'!$AC$437:$AX$437),2)</f>
        <v>-17755.330000000002</v>
      </c>
      <c r="E74" s="205">
        <f>ROUND(SUM('[22]EO TD Carrying Costs'!$AA$55:$AV$55),2)</f>
        <v>-1711.57</v>
      </c>
      <c r="F74" s="194">
        <f>SUM(B74:E74)</f>
        <v>1724076.0799999998</v>
      </c>
      <c r="G74" s="206">
        <f>ROUND(F74/12*0,2)</f>
        <v>0</v>
      </c>
    </row>
    <row r="75" spans="1:7">
      <c r="A75" s="19" t="s">
        <v>23</v>
      </c>
      <c r="B75" s="188">
        <f>B81</f>
        <v>1406145.85</v>
      </c>
      <c r="C75" s="188">
        <f>C81</f>
        <v>-53711.969999999994</v>
      </c>
      <c r="D75" s="188">
        <f>D81</f>
        <v>50995.289999999994</v>
      </c>
      <c r="E75" s="188">
        <f>E81</f>
        <v>-425.78000000000003</v>
      </c>
      <c r="F75" s="194">
        <f>SUM(B75:E75)</f>
        <v>1403003.3900000001</v>
      </c>
      <c r="G75" s="206">
        <f>G81</f>
        <v>0</v>
      </c>
    </row>
    <row r="76" spans="1:7">
      <c r="A76" s="19" t="s">
        <v>3</v>
      </c>
      <c r="B76" s="189">
        <f t="shared" ref="B76:G76" si="27">SUM(B74:B75)</f>
        <v>3237605.54</v>
      </c>
      <c r="C76" s="189">
        <f t="shared" si="27"/>
        <v>-141628.68</v>
      </c>
      <c r="D76" s="189">
        <f t="shared" si="27"/>
        <v>33239.959999999992</v>
      </c>
      <c r="E76" s="208">
        <f t="shared" si="27"/>
        <v>-2137.35</v>
      </c>
      <c r="F76" s="189">
        <f t="shared" si="27"/>
        <v>3127079.4699999997</v>
      </c>
      <c r="G76" s="209">
        <f t="shared" si="27"/>
        <v>0</v>
      </c>
    </row>
    <row r="77" spans="1:7">
      <c r="B77" s="186"/>
      <c r="C77" s="186"/>
      <c r="D77" s="187"/>
    </row>
    <row r="78" spans="1:7">
      <c r="A78" s="19" t="s">
        <v>91</v>
      </c>
      <c r="B78" s="24">
        <f>ROUND('[21]EO Matrix @Meter'!$AP$22,2)</f>
        <v>286244.42</v>
      </c>
      <c r="C78" s="24">
        <f>ROUND(SUM('[22]Ex Post Gross TD Calc'!$AC$573:$AX$573),2)</f>
        <v>-39368.74</v>
      </c>
      <c r="D78" s="24">
        <f>ROUND(SUM('[22]NTG TD Calc'!$AC$438:$AX$438),2)</f>
        <v>34141.919999999998</v>
      </c>
      <c r="E78" s="205">
        <f>ROUND(SUM('[22]EO TD Carrying Costs'!$AA$56:$AV$56),2)</f>
        <v>-375.54</v>
      </c>
      <c r="F78" s="189">
        <f t="shared" ref="F78:F80" si="28">SUM(B78:E78)</f>
        <v>280642.06</v>
      </c>
      <c r="G78" s="206">
        <f>ROUND(F78/12*0,2)</f>
        <v>0</v>
      </c>
    </row>
    <row r="79" spans="1:7">
      <c r="A79" s="19" t="s">
        <v>92</v>
      </c>
      <c r="B79" s="24">
        <f>ROUND('[21]EO Matrix @Meter'!$AR$22,2)</f>
        <v>619125.67000000004</v>
      </c>
      <c r="C79" s="24">
        <f>ROUND(SUM('[22]Ex Post Gross TD Calc'!$AC$575:$AX$575),2)</f>
        <v>-13044.06</v>
      </c>
      <c r="D79" s="24">
        <f>ROUND(SUM('[22]NTG TD Calc'!$AC$440:$AX$440),2)</f>
        <v>14350.67</v>
      </c>
      <c r="E79" s="205">
        <f>ROUND(SUM('[22]EO TD Carrying Costs'!$AA$58:$AV$58),2)</f>
        <v>-72.91</v>
      </c>
      <c r="F79" s="189">
        <f t="shared" si="28"/>
        <v>620359.37</v>
      </c>
      <c r="G79" s="206">
        <f>ROUND(F79/12*0,2)</f>
        <v>0</v>
      </c>
    </row>
    <row r="80" spans="1:7">
      <c r="A80" s="19" t="s">
        <v>93</v>
      </c>
      <c r="B80" s="188">
        <f>ROUND('[21]EO Matrix @Meter'!$AS$22,2)</f>
        <v>500775.76</v>
      </c>
      <c r="C80" s="24">
        <f>ROUND(SUM('[22]Ex Post Gross TD Calc'!$AC$576:$AX$576),2)</f>
        <v>-1299.17</v>
      </c>
      <c r="D80" s="24">
        <f>ROUND(SUM('[22]NTG TD Calc'!$AC$441:$AX$441),2)</f>
        <v>2502.6999999999998</v>
      </c>
      <c r="E80" s="205">
        <f>ROUND(SUM('[22]EO TD Carrying Costs'!$AA$59:$AV$59),2)</f>
        <v>22.67</v>
      </c>
      <c r="F80" s="189">
        <f t="shared" si="28"/>
        <v>502001.96</v>
      </c>
      <c r="G80" s="206">
        <f>ROUND(F80/12*0,2)</f>
        <v>0</v>
      </c>
    </row>
    <row r="81" spans="1:8">
      <c r="A81" s="29" t="s">
        <v>94</v>
      </c>
      <c r="B81" s="189">
        <f>SUM(B78:B80)</f>
        <v>1406145.85</v>
      </c>
      <c r="C81" s="189">
        <f>SUM(C78:C80)</f>
        <v>-53711.969999999994</v>
      </c>
      <c r="D81" s="189">
        <f t="shared" ref="D81:G81" si="29">SUM(D78:D80)</f>
        <v>50995.289999999994</v>
      </c>
      <c r="E81" s="189">
        <f t="shared" si="29"/>
        <v>-425.78000000000003</v>
      </c>
      <c r="F81" s="189">
        <f t="shared" si="29"/>
        <v>1403003.39</v>
      </c>
      <c r="G81" s="189">
        <f t="shared" si="29"/>
        <v>0</v>
      </c>
    </row>
    <row r="82" spans="1:8">
      <c r="A82" s="29"/>
      <c r="B82" s="213"/>
      <c r="C82" s="213"/>
      <c r="D82" s="213"/>
      <c r="E82" s="213"/>
      <c r="F82" s="213"/>
      <c r="G82" s="213"/>
    </row>
    <row r="83" spans="1:8" s="38" customFormat="1">
      <c r="A83" s="29"/>
      <c r="B83" s="213"/>
      <c r="C83" s="213"/>
      <c r="D83" s="213"/>
      <c r="E83" s="213"/>
      <c r="F83" s="213"/>
      <c r="G83" s="213"/>
    </row>
    <row r="84" spans="1:8">
      <c r="A84" s="296" t="s">
        <v>187</v>
      </c>
      <c r="B84" s="69"/>
      <c r="C84" s="69"/>
      <c r="D84" s="135"/>
    </row>
    <row r="85" spans="1:8">
      <c r="A85" s="19" t="s">
        <v>22</v>
      </c>
      <c r="B85" s="24">
        <v>0</v>
      </c>
      <c r="C85" s="24">
        <f>ROUND((SUM('[22]Ex Post Gross TD Calc'!$AY$572:$BD$572)),2)</f>
        <v>-34994.239999999998</v>
      </c>
      <c r="D85" s="24">
        <f>ROUND((SUM('[22]NTG TD Calc'!$AY$437:$BD$437)),2)</f>
        <v>-3815.04</v>
      </c>
      <c r="E85" s="205">
        <f>ROUND((SUM('[22]EO TD Carrying Costs'!$AW$55:$BB$55)),2)</f>
        <v>-3630.92</v>
      </c>
      <c r="F85" s="194">
        <f>SUM(B85:E85)</f>
        <v>-42440.2</v>
      </c>
      <c r="G85" s="206">
        <f>ROUND(F85/12*0,2)</f>
        <v>0</v>
      </c>
    </row>
    <row r="86" spans="1:8">
      <c r="A86" s="19" t="s">
        <v>23</v>
      </c>
      <c r="B86" s="188">
        <f>B92</f>
        <v>0</v>
      </c>
      <c r="C86" s="188">
        <f>C92</f>
        <v>-20672.789999999997</v>
      </c>
      <c r="D86" s="188">
        <f>D92</f>
        <v>8653.61</v>
      </c>
      <c r="E86" s="188">
        <f>E92</f>
        <v>-165.42000000000002</v>
      </c>
      <c r="F86" s="194">
        <f>SUM(B86:E86)</f>
        <v>-12184.599999999997</v>
      </c>
      <c r="G86" s="206">
        <f>G92</f>
        <v>0</v>
      </c>
    </row>
    <row r="87" spans="1:8">
      <c r="A87" s="19" t="s">
        <v>3</v>
      </c>
      <c r="B87" s="189">
        <f t="shared" ref="B87:G87" si="30">SUM(B85:B86)</f>
        <v>0</v>
      </c>
      <c r="C87" s="189">
        <f t="shared" si="30"/>
        <v>-55667.03</v>
      </c>
      <c r="D87" s="189">
        <f t="shared" si="30"/>
        <v>4838.5700000000006</v>
      </c>
      <c r="E87" s="208">
        <f t="shared" si="30"/>
        <v>-3796.34</v>
      </c>
      <c r="F87" s="189">
        <f t="shared" si="30"/>
        <v>-54624.799999999996</v>
      </c>
      <c r="G87" s="209">
        <f t="shared" si="30"/>
        <v>0</v>
      </c>
    </row>
    <row r="88" spans="1:8">
      <c r="B88" s="186"/>
      <c r="C88" s="186"/>
      <c r="D88" s="187"/>
    </row>
    <row r="89" spans="1:8">
      <c r="A89" s="19" t="s">
        <v>91</v>
      </c>
      <c r="B89" s="24">
        <v>0</v>
      </c>
      <c r="C89" s="24">
        <f>ROUND((SUM('[22]Ex Post Gross TD Calc'!$AY573:$BD573)),2)</f>
        <v>-14358.12</v>
      </c>
      <c r="D89" s="24">
        <f>ROUND((SUM('[22]NTG TD Calc'!$AY438:$BD438)),2)</f>
        <v>5781.29</v>
      </c>
      <c r="E89" s="205">
        <f>ROUND((SUM('[22]EO TD Carrying Costs'!$AW56:$BB56)),2)</f>
        <v>-217.83</v>
      </c>
      <c r="F89" s="189">
        <f t="shared" ref="F89:F91" si="31">SUM(B89:E89)</f>
        <v>-8794.6600000000017</v>
      </c>
      <c r="G89" s="214">
        <f>ROUND(F89/12*0,2)</f>
        <v>0</v>
      </c>
    </row>
    <row r="90" spans="1:8">
      <c r="A90" s="19" t="s">
        <v>92</v>
      </c>
      <c r="B90" s="24">
        <v>0</v>
      </c>
      <c r="C90" s="24">
        <f>ROUND((SUM('[22]Ex Post Gross TD Calc'!$AY575:$BD575)),2)</f>
        <v>-5704.41</v>
      </c>
      <c r="D90" s="24">
        <f>ROUND((SUM('[22]NTG TD Calc'!$AY440:$BD440)),2)</f>
        <v>2527.65</v>
      </c>
      <c r="E90" s="205">
        <f>ROUND((SUM('[22]EO TD Carrying Costs'!$AW58:$BB58)),2)</f>
        <v>17.940000000000001</v>
      </c>
      <c r="F90" s="189">
        <f t="shared" si="31"/>
        <v>-3158.8199999999997</v>
      </c>
      <c r="G90" s="214">
        <f>ROUND(F90/12*0,2)</f>
        <v>0</v>
      </c>
    </row>
    <row r="91" spans="1:8">
      <c r="A91" s="19" t="s">
        <v>93</v>
      </c>
      <c r="B91" s="24">
        <v>0</v>
      </c>
      <c r="C91" s="24">
        <f>ROUND((SUM('[22]Ex Post Gross TD Calc'!$AY576:$BD576)),2)</f>
        <v>-610.26</v>
      </c>
      <c r="D91" s="24">
        <f>ROUND((SUM('[22]NTG TD Calc'!$AY441:$BD441)),2)</f>
        <v>344.67</v>
      </c>
      <c r="E91" s="205">
        <f>ROUND((SUM('[22]EO TD Carrying Costs'!$AW59:$BB59)),2)</f>
        <v>34.47</v>
      </c>
      <c r="F91" s="189">
        <f t="shared" si="31"/>
        <v>-231.11999999999998</v>
      </c>
      <c r="G91" s="214">
        <f>ROUND(F91/12*0,2)</f>
        <v>0</v>
      </c>
    </row>
    <row r="92" spans="1:8">
      <c r="A92" s="29" t="s">
        <v>94</v>
      </c>
      <c r="B92" s="189">
        <f>SUM(B89:B91)</f>
        <v>0</v>
      </c>
      <c r="C92" s="189">
        <f>SUM(C89:C91)</f>
        <v>-20672.789999999997</v>
      </c>
      <c r="D92" s="189">
        <f t="shared" ref="D92:G92" si="32">SUM(D89:D91)</f>
        <v>8653.61</v>
      </c>
      <c r="E92" s="189">
        <f t="shared" si="32"/>
        <v>-165.42000000000002</v>
      </c>
      <c r="F92" s="189">
        <f t="shared" si="32"/>
        <v>-12184.600000000002</v>
      </c>
      <c r="G92" s="189">
        <f t="shared" si="32"/>
        <v>0</v>
      </c>
    </row>
    <row r="93" spans="1:8">
      <c r="A93" s="29"/>
      <c r="B93" s="213"/>
      <c r="C93" s="213"/>
      <c r="D93" s="213"/>
      <c r="E93" s="213"/>
      <c r="F93" s="213"/>
      <c r="G93" s="213"/>
    </row>
    <row r="94" spans="1:8" s="38" customFormat="1">
      <c r="A94" s="29"/>
      <c r="B94" s="213"/>
      <c r="C94" s="213"/>
      <c r="D94" s="213"/>
      <c r="E94" s="213"/>
      <c r="F94" s="213"/>
      <c r="G94" s="213"/>
    </row>
    <row r="95" spans="1:8">
      <c r="A95" s="296" t="s">
        <v>194</v>
      </c>
      <c r="B95" s="69"/>
      <c r="C95" s="69"/>
      <c r="D95" s="135"/>
      <c r="H95" s="363"/>
    </row>
    <row r="96" spans="1:8">
      <c r="A96" s="19" t="s">
        <v>22</v>
      </c>
      <c r="B96" s="24">
        <v>0</v>
      </c>
      <c r="C96" s="24">
        <f>ROUND((SUM('[22]Ex Post Gross TD Calc'!$BE$572:$BJ$572)),2)</f>
        <v>-63276.46</v>
      </c>
      <c r="D96" s="24">
        <f>ROUND((SUM('[22]NTG TD Calc'!$BE$437:$BJ$437)),2)</f>
        <v>0</v>
      </c>
      <c r="E96" s="205">
        <f>ROUND((SUM('[22]EO TD Carrying Costs'!$BC$55:$BH$55)),2)</f>
        <v>-4803.1000000000004</v>
      </c>
      <c r="F96" s="194">
        <f>SUM(B96:E96)</f>
        <v>-68079.56</v>
      </c>
      <c r="G96" s="206">
        <f>ROUND(F96/12*0,2)</f>
        <v>0</v>
      </c>
      <c r="H96" s="363"/>
    </row>
    <row r="97" spans="1:8">
      <c r="A97" s="19" t="s">
        <v>23</v>
      </c>
      <c r="B97" s="188">
        <f>B103</f>
        <v>0</v>
      </c>
      <c r="C97" s="188">
        <f>C103</f>
        <v>-33721.83</v>
      </c>
      <c r="D97" s="188">
        <f>D103</f>
        <v>-1.9999999999999997E-2</v>
      </c>
      <c r="E97" s="188">
        <f>E103</f>
        <v>-851.76</v>
      </c>
      <c r="F97" s="194">
        <f>SUM(B97:E97)</f>
        <v>-34573.61</v>
      </c>
      <c r="G97" s="206">
        <f>G103</f>
        <v>0</v>
      </c>
      <c r="H97" s="363"/>
    </row>
    <row r="98" spans="1:8">
      <c r="A98" s="19" t="s">
        <v>3</v>
      </c>
      <c r="B98" s="189">
        <f t="shared" ref="B98:E98" si="33">SUM(B96:B97)</f>
        <v>0</v>
      </c>
      <c r="C98" s="189">
        <f t="shared" si="33"/>
        <v>-96998.290000000008</v>
      </c>
      <c r="D98" s="189">
        <f t="shared" si="33"/>
        <v>-1.9999999999999997E-2</v>
      </c>
      <c r="E98" s="208">
        <f t="shared" si="33"/>
        <v>-5654.8600000000006</v>
      </c>
      <c r="F98" s="189">
        <f t="shared" ref="F98:G98" si="34">SUM(F96:F97)</f>
        <v>-102653.17</v>
      </c>
      <c r="G98" s="209">
        <f t="shared" si="34"/>
        <v>0</v>
      </c>
      <c r="H98" s="363"/>
    </row>
    <row r="99" spans="1:8">
      <c r="B99" s="186"/>
      <c r="C99" s="186"/>
      <c r="D99" s="187"/>
      <c r="H99" s="363"/>
    </row>
    <row r="100" spans="1:8">
      <c r="A100" s="19" t="s">
        <v>91</v>
      </c>
      <c r="B100" s="24">
        <v>0</v>
      </c>
      <c r="C100" s="24">
        <f>ROUND((SUM('[22]Ex Post Gross TD Calc'!$BE573:$BJ573)),2)</f>
        <v>-25692.560000000001</v>
      </c>
      <c r="D100" s="24">
        <f>ROUND((SUM('[22]NTG TD Calc'!$BE438:$BJ438)),2)</f>
        <v>-0.02</v>
      </c>
      <c r="E100" s="205">
        <f>ROUND((SUM('[22]EO TD Carrying Costs'!$BC56:$BH56)),2)</f>
        <v>-719.09</v>
      </c>
      <c r="F100" s="189">
        <f t="shared" ref="F100:F102" si="35">SUM(B100:E100)</f>
        <v>-26411.670000000002</v>
      </c>
      <c r="G100" s="214">
        <f>ROUND(F100/12*0,2)</f>
        <v>0</v>
      </c>
      <c r="H100" s="363"/>
    </row>
    <row r="101" spans="1:8">
      <c r="A101" s="19" t="s">
        <v>92</v>
      </c>
      <c r="B101" s="24">
        <v>0</v>
      </c>
      <c r="C101" s="24">
        <f>ROUND((SUM('[22]Ex Post Gross TD Calc'!$BE575:$BJ575)),2)</f>
        <v>-7023.35</v>
      </c>
      <c r="D101" s="24">
        <f>ROUND((SUM('[22]NTG TD Calc'!$BE440:$BJ440)),2)</f>
        <v>-0.01</v>
      </c>
      <c r="E101" s="205">
        <f>ROUND((SUM('[22]EO TD Carrying Costs'!$BC58:$BH58)),2)</f>
        <v>-145.62</v>
      </c>
      <c r="F101" s="189">
        <f t="shared" si="35"/>
        <v>-7168.9800000000005</v>
      </c>
      <c r="G101" s="214">
        <f>ROUND(F101/12*0,2)</f>
        <v>0</v>
      </c>
      <c r="H101" s="363"/>
    </row>
    <row r="102" spans="1:8">
      <c r="A102" s="19" t="s">
        <v>93</v>
      </c>
      <c r="B102" s="24">
        <v>0</v>
      </c>
      <c r="C102" s="24">
        <f>ROUND((SUM('[22]Ex Post Gross TD Calc'!$BE576:$BJ576)),2)</f>
        <v>-1005.92</v>
      </c>
      <c r="D102" s="24">
        <f>ROUND((SUM('[22]NTG TD Calc'!$BE441:$BJ441)),2)</f>
        <v>0.01</v>
      </c>
      <c r="E102" s="205">
        <f>ROUND((SUM('[22]EO TD Carrying Costs'!$BC59:$BH59)),2)</f>
        <v>12.95</v>
      </c>
      <c r="F102" s="189">
        <f t="shared" si="35"/>
        <v>-992.95999999999992</v>
      </c>
      <c r="G102" s="214">
        <f>ROUND(F102/12*0,2)</f>
        <v>0</v>
      </c>
      <c r="H102" s="363"/>
    </row>
    <row r="103" spans="1:8">
      <c r="A103" s="29" t="s">
        <v>94</v>
      </c>
      <c r="B103" s="189">
        <f>SUM(B100:B102)</f>
        <v>0</v>
      </c>
      <c r="C103" s="189">
        <f>SUM(C100:C102)</f>
        <v>-33721.83</v>
      </c>
      <c r="D103" s="189">
        <f t="shared" ref="D103:E103" si="36">SUM(D100:D102)</f>
        <v>-1.9999999999999997E-2</v>
      </c>
      <c r="E103" s="189">
        <f t="shared" si="36"/>
        <v>-851.76</v>
      </c>
      <c r="F103" s="189">
        <f t="shared" ref="F103:G103" si="37">SUM(F100:F102)</f>
        <v>-34573.61</v>
      </c>
      <c r="G103" s="189">
        <f t="shared" si="37"/>
        <v>0</v>
      </c>
      <c r="H103" s="363"/>
    </row>
    <row r="104" spans="1:8" s="334" customFormat="1">
      <c r="A104" s="355"/>
      <c r="B104" s="213"/>
      <c r="C104" s="213"/>
      <c r="D104" s="213"/>
      <c r="E104" s="213"/>
      <c r="F104" s="213"/>
      <c r="G104" s="213"/>
      <c r="H104" s="363"/>
    </row>
    <row r="105" spans="1:8" s="363" customFormat="1">
      <c r="A105" s="355"/>
      <c r="B105" s="213"/>
      <c r="C105" s="213"/>
      <c r="D105" s="213"/>
      <c r="E105" s="213"/>
      <c r="F105" s="213"/>
      <c r="G105" s="213"/>
    </row>
    <row r="106" spans="1:8" s="334" customFormat="1">
      <c r="A106" s="282" t="s">
        <v>217</v>
      </c>
      <c r="B106" s="390"/>
      <c r="C106" s="390"/>
      <c r="D106" s="422"/>
      <c r="H106" s="363"/>
    </row>
    <row r="107" spans="1:8" s="334" customFormat="1">
      <c r="A107" s="349" t="s">
        <v>22</v>
      </c>
      <c r="B107" s="351">
        <v>0</v>
      </c>
      <c r="C107" s="351">
        <f>ROUND((SUM('[22]Ex Post Gross TD Calc'!$BK$572:$BP$572)),2)</f>
        <v>-12282.03</v>
      </c>
      <c r="D107" s="351"/>
      <c r="E107" s="351">
        <f>ROUND((SUM('[22]EO TD Carrying Costs'!$BI$55:$BN$55)),2)</f>
        <v>-1920.62</v>
      </c>
      <c r="F107" s="459">
        <f>SUM(B107:E107)</f>
        <v>-14202.650000000001</v>
      </c>
      <c r="G107" s="206">
        <f>ROUND(F107/12*1,2)</f>
        <v>-1183.55</v>
      </c>
      <c r="H107" s="363"/>
    </row>
    <row r="108" spans="1:8" s="334" customFormat="1">
      <c r="A108" s="349" t="s">
        <v>23</v>
      </c>
      <c r="B108" s="457">
        <f>B114</f>
        <v>0</v>
      </c>
      <c r="C108" s="457">
        <f>C114</f>
        <v>-7428.7599999999993</v>
      </c>
      <c r="D108" s="457">
        <f>D114</f>
        <v>0</v>
      </c>
      <c r="E108" s="457">
        <f>E114</f>
        <v>-459.96999999999997</v>
      </c>
      <c r="F108" s="459">
        <f>SUM(B108:E108)</f>
        <v>-7888.73</v>
      </c>
      <c r="G108" s="206">
        <f>G114</f>
        <v>-657.39</v>
      </c>
      <c r="H108" s="363"/>
    </row>
    <row r="109" spans="1:8" s="334" customFormat="1">
      <c r="A109" s="349" t="s">
        <v>3</v>
      </c>
      <c r="B109" s="458">
        <f t="shared" ref="B109:E109" si="38">SUM(B107:B108)</f>
        <v>0</v>
      </c>
      <c r="C109" s="458">
        <f t="shared" si="38"/>
        <v>-19710.79</v>
      </c>
      <c r="D109" s="458">
        <f t="shared" si="38"/>
        <v>0</v>
      </c>
      <c r="E109" s="208">
        <f t="shared" si="38"/>
        <v>-2380.5899999999997</v>
      </c>
      <c r="F109" s="458">
        <f t="shared" ref="F109:G109" si="39">SUM(F107:F108)</f>
        <v>-22091.38</v>
      </c>
      <c r="G109" s="209">
        <f t="shared" si="39"/>
        <v>-1840.94</v>
      </c>
      <c r="H109" s="363"/>
    </row>
    <row r="110" spans="1:8" s="334" customFormat="1">
      <c r="B110" s="455"/>
      <c r="C110" s="455"/>
      <c r="D110" s="456"/>
      <c r="H110" s="363"/>
    </row>
    <row r="111" spans="1:8" s="334" customFormat="1">
      <c r="A111" s="349" t="s">
        <v>91</v>
      </c>
      <c r="B111" s="351">
        <v>0</v>
      </c>
      <c r="C111" s="351">
        <f>ROUND((SUM('[22]Ex Post Gross TD Calc'!$BK573:$BP573)),2)</f>
        <v>-5167.5</v>
      </c>
      <c r="D111" s="351"/>
      <c r="E111" s="351">
        <f>ROUND((SUM('[22]EO TD Carrying Costs'!$BI56:$BN56)),2)</f>
        <v>-372.19</v>
      </c>
      <c r="F111" s="458">
        <f t="shared" ref="F111:F113" si="40">SUM(B111:E111)</f>
        <v>-5539.69</v>
      </c>
      <c r="G111" s="214">
        <f>ROUND(F111/12*1,2)</f>
        <v>-461.64</v>
      </c>
      <c r="H111" s="363"/>
    </row>
    <row r="112" spans="1:8" s="334" customFormat="1">
      <c r="A112" s="349" t="s">
        <v>92</v>
      </c>
      <c r="B112" s="351">
        <v>0</v>
      </c>
      <c r="C112" s="351">
        <f>ROUND((SUM('[22]Ex Post Gross TD Calc'!$BK575:$BP575)),2)</f>
        <v>-2040.53</v>
      </c>
      <c r="D112" s="351"/>
      <c r="E112" s="351">
        <f>ROUND((SUM('[22]EO TD Carrying Costs'!$BI58:$BN58)),2)</f>
        <v>-86.88</v>
      </c>
      <c r="F112" s="458">
        <f t="shared" si="40"/>
        <v>-2127.41</v>
      </c>
      <c r="G112" s="214">
        <f>ROUND(F112/12*1,2)</f>
        <v>-177.28</v>
      </c>
      <c r="H112" s="363"/>
    </row>
    <row r="113" spans="1:8" s="334" customFormat="1">
      <c r="A113" s="349" t="s">
        <v>93</v>
      </c>
      <c r="B113" s="351">
        <v>0</v>
      </c>
      <c r="C113" s="351">
        <f>ROUND((SUM('[22]Ex Post Gross TD Calc'!$BK576:$BP576)),2)</f>
        <v>-220.73</v>
      </c>
      <c r="D113" s="351"/>
      <c r="E113" s="351">
        <f>ROUND((SUM('[22]EO TD Carrying Costs'!$BI59:$BN59)),2)</f>
        <v>-0.9</v>
      </c>
      <c r="F113" s="458">
        <f t="shared" si="40"/>
        <v>-221.63</v>
      </c>
      <c r="G113" s="214">
        <f>ROUND(F113/12*1,2)</f>
        <v>-18.47</v>
      </c>
      <c r="H113" s="363"/>
    </row>
    <row r="114" spans="1:8" s="334" customFormat="1">
      <c r="A114" s="355" t="s">
        <v>94</v>
      </c>
      <c r="B114" s="458">
        <f>SUM(B111:B113)</f>
        <v>0</v>
      </c>
      <c r="C114" s="458">
        <f>SUM(C111:C113)</f>
        <v>-7428.7599999999993</v>
      </c>
      <c r="D114" s="458">
        <f t="shared" ref="D114:G114" si="41">SUM(D111:D113)</f>
        <v>0</v>
      </c>
      <c r="E114" s="458">
        <f t="shared" si="41"/>
        <v>-459.96999999999997</v>
      </c>
      <c r="F114" s="458">
        <f t="shared" si="41"/>
        <v>-7888.73</v>
      </c>
      <c r="G114" s="458">
        <f t="shared" si="41"/>
        <v>-657.39</v>
      </c>
      <c r="H114" s="363"/>
    </row>
    <row r="115" spans="1:8">
      <c r="A115" s="29"/>
      <c r="B115" s="213"/>
      <c r="C115" s="213"/>
      <c r="D115" s="213"/>
      <c r="E115" s="213"/>
      <c r="F115" s="213"/>
      <c r="G115" s="213"/>
      <c r="H115" s="363"/>
    </row>
    <row r="116" spans="1:8" s="38" customFormat="1">
      <c r="A116" s="29"/>
      <c r="B116" s="213"/>
      <c r="C116" s="213"/>
      <c r="D116" s="213"/>
      <c r="E116" s="213"/>
      <c r="F116" s="213"/>
      <c r="G116" s="213"/>
      <c r="H116" s="363"/>
    </row>
    <row r="117" spans="1:8">
      <c r="A117" s="296" t="s">
        <v>188</v>
      </c>
      <c r="B117" s="69"/>
      <c r="C117" s="69"/>
      <c r="D117" s="135"/>
      <c r="H117" s="363"/>
    </row>
    <row r="118" spans="1:8">
      <c r="A118" s="19" t="s">
        <v>22</v>
      </c>
      <c r="B118" s="24">
        <f>ROUND('[23]PY4 2023 EO'!$E116,2)</f>
        <v>1409245.8</v>
      </c>
      <c r="C118" s="24">
        <v>0</v>
      </c>
      <c r="D118" s="24">
        <v>0</v>
      </c>
      <c r="E118" s="205">
        <v>0</v>
      </c>
      <c r="F118" s="194">
        <f>SUM(B118:E118)</f>
        <v>1409245.8</v>
      </c>
      <c r="G118" s="206">
        <f>ROUND(F118/12*0,2)</f>
        <v>0</v>
      </c>
      <c r="H118" s="363"/>
    </row>
    <row r="119" spans="1:8">
      <c r="A119" s="19" t="s">
        <v>23</v>
      </c>
      <c r="B119" s="188">
        <f>B125</f>
        <v>977559.65999999992</v>
      </c>
      <c r="C119" s="188">
        <f>C125</f>
        <v>0</v>
      </c>
      <c r="D119" s="188">
        <f>D125</f>
        <v>0</v>
      </c>
      <c r="E119" s="188">
        <f>E125</f>
        <v>0</v>
      </c>
      <c r="F119" s="194">
        <f>SUM(B119:E119)</f>
        <v>977559.65999999992</v>
      </c>
      <c r="G119" s="206">
        <f>G125</f>
        <v>0</v>
      </c>
      <c r="H119" s="363"/>
    </row>
    <row r="120" spans="1:8">
      <c r="A120" s="19" t="s">
        <v>3</v>
      </c>
      <c r="B120" s="189">
        <f t="shared" ref="B120:G120" si="42">SUM(B118:B119)</f>
        <v>2386805.46</v>
      </c>
      <c r="C120" s="189">
        <f t="shared" si="42"/>
        <v>0</v>
      </c>
      <c r="D120" s="189">
        <f t="shared" si="42"/>
        <v>0</v>
      </c>
      <c r="E120" s="208">
        <f t="shared" si="42"/>
        <v>0</v>
      </c>
      <c r="F120" s="189">
        <f t="shared" si="42"/>
        <v>2386805.46</v>
      </c>
      <c r="G120" s="209">
        <f t="shared" si="42"/>
        <v>0</v>
      </c>
      <c r="H120" s="363"/>
    </row>
    <row r="121" spans="1:8">
      <c r="B121" s="186"/>
      <c r="C121" s="186"/>
      <c r="D121" s="187"/>
      <c r="H121" s="363"/>
    </row>
    <row r="122" spans="1:8">
      <c r="A122" s="19" t="s">
        <v>91</v>
      </c>
      <c r="B122" s="24">
        <f>ROUND('[23]PY4 2023 EO'!$E117,2)</f>
        <v>366668.97</v>
      </c>
      <c r="C122" s="24">
        <v>0</v>
      </c>
      <c r="D122" s="24">
        <v>0</v>
      </c>
      <c r="E122" s="205">
        <v>0</v>
      </c>
      <c r="F122" s="189">
        <f t="shared" ref="F122:F124" si="43">SUM(B122:E122)</f>
        <v>366668.97</v>
      </c>
      <c r="G122" s="214">
        <f>ROUND(F122/12*0,2)</f>
        <v>0</v>
      </c>
      <c r="H122" s="363"/>
    </row>
    <row r="123" spans="1:8">
      <c r="A123" s="19" t="s">
        <v>92</v>
      </c>
      <c r="B123" s="24">
        <f>ROUND('[23]PY4 2023 EO'!$E119,2)</f>
        <v>351922.98</v>
      </c>
      <c r="C123" s="24">
        <v>0</v>
      </c>
      <c r="D123" s="24">
        <v>0</v>
      </c>
      <c r="E123" s="205">
        <v>0</v>
      </c>
      <c r="F123" s="189">
        <f t="shared" si="43"/>
        <v>351922.98</v>
      </c>
      <c r="G123" s="214">
        <f>ROUND(F123/12*0,2)</f>
        <v>0</v>
      </c>
      <c r="H123" s="363"/>
    </row>
    <row r="124" spans="1:8">
      <c r="A124" s="19" t="s">
        <v>93</v>
      </c>
      <c r="B124" s="24">
        <f>ROUND('[23]PY4 2023 EO'!$E120,2)</f>
        <v>258967.71</v>
      </c>
      <c r="C124" s="24">
        <v>0</v>
      </c>
      <c r="D124" s="24">
        <v>0</v>
      </c>
      <c r="E124" s="205">
        <v>0</v>
      </c>
      <c r="F124" s="189">
        <f t="shared" si="43"/>
        <v>258967.71</v>
      </c>
      <c r="G124" s="214">
        <f>ROUND(F124/12*0,2)</f>
        <v>0</v>
      </c>
      <c r="H124" s="363"/>
    </row>
    <row r="125" spans="1:8">
      <c r="A125" s="29" t="s">
        <v>94</v>
      </c>
      <c r="B125" s="189">
        <f>SUM(B122:B124)</f>
        <v>977559.65999999992</v>
      </c>
      <c r="C125" s="189">
        <f>SUM(C122:C124)</f>
        <v>0</v>
      </c>
      <c r="D125" s="189">
        <f t="shared" ref="D125:G125" si="44">SUM(D122:D124)</f>
        <v>0</v>
      </c>
      <c r="E125" s="189">
        <f t="shared" si="44"/>
        <v>0</v>
      </c>
      <c r="F125" s="189">
        <f t="shared" si="44"/>
        <v>977559.65999999992</v>
      </c>
      <c r="G125" s="189">
        <f t="shared" si="44"/>
        <v>0</v>
      </c>
      <c r="H125" s="363"/>
    </row>
    <row r="126" spans="1:8" s="334" customFormat="1">
      <c r="A126" s="355"/>
      <c r="B126" s="213"/>
      <c r="C126" s="213"/>
      <c r="D126" s="213"/>
      <c r="E126" s="213"/>
      <c r="F126" s="213"/>
      <c r="G126" s="213"/>
      <c r="H126" s="363"/>
    </row>
    <row r="127" spans="1:8" s="363" customFormat="1">
      <c r="A127" s="355"/>
      <c r="B127" s="213"/>
      <c r="C127" s="213"/>
      <c r="D127" s="213"/>
      <c r="E127" s="213"/>
      <c r="F127" s="213"/>
      <c r="G127" s="213"/>
    </row>
    <row r="128" spans="1:8" s="334" customFormat="1">
      <c r="A128" s="460" t="s">
        <v>208</v>
      </c>
      <c r="B128" s="390"/>
      <c r="C128" s="390"/>
      <c r="D128" s="422"/>
      <c r="H128" s="363"/>
    </row>
    <row r="129" spans="1:8" s="334" customFormat="1">
      <c r="A129" s="349" t="s">
        <v>22</v>
      </c>
      <c r="B129" s="351">
        <f>ROUND('[24]MEEIA 3 PY5 EO'!$E$278,2)</f>
        <v>1243468.93</v>
      </c>
      <c r="C129" s="351">
        <v>0</v>
      </c>
      <c r="D129" s="351">
        <v>0</v>
      </c>
      <c r="E129" s="205">
        <v>0</v>
      </c>
      <c r="F129" s="459">
        <f>SUM(B129:E129)</f>
        <v>1243468.93</v>
      </c>
      <c r="G129" s="206">
        <f>ROUND(F129/12*1,2)</f>
        <v>103622.41</v>
      </c>
      <c r="H129" s="363"/>
    </row>
    <row r="130" spans="1:8" s="334" customFormat="1">
      <c r="A130" s="349" t="s">
        <v>23</v>
      </c>
      <c r="B130" s="457">
        <f>B136</f>
        <v>1149165.52</v>
      </c>
      <c r="C130" s="457">
        <f>C136</f>
        <v>0</v>
      </c>
      <c r="D130" s="457">
        <f>D136</f>
        <v>0</v>
      </c>
      <c r="E130" s="457">
        <f>E136</f>
        <v>0</v>
      </c>
      <c r="F130" s="459">
        <f>SUM(B130:E130)</f>
        <v>1149165.52</v>
      </c>
      <c r="G130" s="206">
        <f>G136</f>
        <v>95763.8</v>
      </c>
      <c r="H130" s="363"/>
    </row>
    <row r="131" spans="1:8" s="334" customFormat="1">
      <c r="A131" s="349" t="s">
        <v>3</v>
      </c>
      <c r="B131" s="458">
        <f t="shared" ref="B131:G131" si="45">SUM(B129:B130)</f>
        <v>2392634.4500000002</v>
      </c>
      <c r="C131" s="458">
        <f t="shared" si="45"/>
        <v>0</v>
      </c>
      <c r="D131" s="458">
        <f t="shared" si="45"/>
        <v>0</v>
      </c>
      <c r="E131" s="208">
        <f t="shared" si="45"/>
        <v>0</v>
      </c>
      <c r="F131" s="458">
        <f t="shared" si="45"/>
        <v>2392634.4500000002</v>
      </c>
      <c r="G131" s="209">
        <f t="shared" si="45"/>
        <v>199386.21000000002</v>
      </c>
      <c r="H131" s="363"/>
    </row>
    <row r="132" spans="1:8" s="334" customFormat="1">
      <c r="B132" s="455"/>
      <c r="C132" s="455"/>
      <c r="D132" s="456"/>
      <c r="H132" s="363"/>
    </row>
    <row r="133" spans="1:8" s="334" customFormat="1">
      <c r="A133" s="349" t="s">
        <v>91</v>
      </c>
      <c r="B133" s="351">
        <f>ROUND('[24]MEEIA 3 PY5 EO'!$E$279,2)</f>
        <v>435513.31</v>
      </c>
      <c r="C133" s="351">
        <v>0</v>
      </c>
      <c r="D133" s="351">
        <v>0</v>
      </c>
      <c r="E133" s="205">
        <v>0</v>
      </c>
      <c r="F133" s="458">
        <f t="shared" ref="F133:F135" si="46">SUM(B133:E133)</f>
        <v>435513.31</v>
      </c>
      <c r="G133" s="206">
        <f>ROUND(F133/12*1,2)</f>
        <v>36292.78</v>
      </c>
      <c r="H133" s="363"/>
    </row>
    <row r="134" spans="1:8" s="334" customFormat="1">
      <c r="A134" s="349" t="s">
        <v>92</v>
      </c>
      <c r="B134" s="351">
        <f>ROUND('[24]MEEIA 3 PY5 EO'!$E$281,2)</f>
        <v>429766.2</v>
      </c>
      <c r="C134" s="351">
        <v>0</v>
      </c>
      <c r="D134" s="351">
        <v>0</v>
      </c>
      <c r="E134" s="205">
        <v>0</v>
      </c>
      <c r="F134" s="458">
        <f t="shared" si="46"/>
        <v>429766.2</v>
      </c>
      <c r="G134" s="206">
        <f>ROUND(F134/12*1,2)</f>
        <v>35813.85</v>
      </c>
      <c r="H134" s="363"/>
    </row>
    <row r="135" spans="1:8" s="334" customFormat="1">
      <c r="A135" s="349" t="s">
        <v>93</v>
      </c>
      <c r="B135" s="351">
        <f>ROUND('[24]MEEIA 3 PY5 EO'!$E$282,2)</f>
        <v>283886.01</v>
      </c>
      <c r="C135" s="351">
        <v>0</v>
      </c>
      <c r="D135" s="351">
        <v>0</v>
      </c>
      <c r="E135" s="205">
        <v>0</v>
      </c>
      <c r="F135" s="458">
        <f t="shared" si="46"/>
        <v>283886.01</v>
      </c>
      <c r="G135" s="206">
        <f>ROUND(F135/12*1,2)</f>
        <v>23657.17</v>
      </c>
      <c r="H135" s="363"/>
    </row>
    <row r="136" spans="1:8" s="334" customFormat="1">
      <c r="A136" s="355" t="s">
        <v>94</v>
      </c>
      <c r="B136" s="458">
        <f>SUM(B133:B135)</f>
        <v>1149165.52</v>
      </c>
      <c r="C136" s="458">
        <f>SUM(C133:C135)</f>
        <v>0</v>
      </c>
      <c r="D136" s="458">
        <f t="shared" ref="D136:G136" si="47">SUM(D133:D135)</f>
        <v>0</v>
      </c>
      <c r="E136" s="458">
        <f t="shared" si="47"/>
        <v>0</v>
      </c>
      <c r="F136" s="458">
        <f t="shared" si="47"/>
        <v>1149165.52</v>
      </c>
      <c r="G136" s="458">
        <f t="shared" si="47"/>
        <v>95763.8</v>
      </c>
      <c r="H136" s="363"/>
    </row>
    <row r="137" spans="1:8" s="476" customFormat="1">
      <c r="A137" s="355"/>
      <c r="B137" s="213"/>
      <c r="C137" s="213"/>
      <c r="D137" s="213"/>
      <c r="E137" s="213"/>
      <c r="F137" s="213"/>
      <c r="G137" s="213"/>
      <c r="H137" s="363"/>
    </row>
    <row r="138" spans="1:8" s="363" customFormat="1">
      <c r="A138" s="355"/>
      <c r="B138" s="213"/>
      <c r="C138" s="213"/>
      <c r="D138" s="213"/>
      <c r="E138" s="213"/>
      <c r="F138" s="213"/>
      <c r="G138" s="213"/>
    </row>
    <row r="139" spans="1:8" s="476" customFormat="1">
      <c r="A139" s="481" t="s">
        <v>225</v>
      </c>
      <c r="B139" s="390"/>
      <c r="C139" s="390"/>
      <c r="D139" s="422"/>
      <c r="H139" s="363"/>
    </row>
    <row r="140" spans="1:8" s="476" customFormat="1">
      <c r="A140" s="349" t="s">
        <v>22</v>
      </c>
      <c r="B140" s="351">
        <f>ROUND('[25]MEEIA 3 PY5 EO'!$E$300,2)</f>
        <v>-3455.44</v>
      </c>
      <c r="C140" s="351">
        <v>0</v>
      </c>
      <c r="D140" s="351">
        <v>0</v>
      </c>
      <c r="E140" s="205">
        <v>0</v>
      </c>
      <c r="F140" s="459">
        <f>SUM(B140:E140)</f>
        <v>-3455.44</v>
      </c>
      <c r="G140" s="206">
        <f>ROUND(F140/12*7,2)</f>
        <v>-2015.67</v>
      </c>
      <c r="H140" s="363"/>
    </row>
    <row r="141" spans="1:8" s="476" customFormat="1">
      <c r="A141" s="349" t="s">
        <v>23</v>
      </c>
      <c r="B141" s="457">
        <f>B147</f>
        <v>1602.6</v>
      </c>
      <c r="C141" s="457">
        <f>C147</f>
        <v>0</v>
      </c>
      <c r="D141" s="457">
        <f>D147</f>
        <v>0</v>
      </c>
      <c r="E141" s="457">
        <f>E147</f>
        <v>0</v>
      </c>
      <c r="F141" s="459">
        <f>SUM(B141:E141)</f>
        <v>1602.6</v>
      </c>
      <c r="G141" s="206">
        <f>G147</f>
        <v>934.85</v>
      </c>
      <c r="H141" s="363"/>
    </row>
    <row r="142" spans="1:8" s="476" customFormat="1">
      <c r="A142" s="349" t="s">
        <v>3</v>
      </c>
      <c r="B142" s="458">
        <f t="shared" ref="B142" si="48">SUM(B140:B141)</f>
        <v>-1852.8400000000001</v>
      </c>
      <c r="C142" s="458">
        <f t="shared" ref="C142:G142" si="49">SUM(C140:C141)</f>
        <v>0</v>
      </c>
      <c r="D142" s="458">
        <f t="shared" si="49"/>
        <v>0</v>
      </c>
      <c r="E142" s="208">
        <f t="shared" si="49"/>
        <v>0</v>
      </c>
      <c r="F142" s="458">
        <f t="shared" si="49"/>
        <v>-1852.8400000000001</v>
      </c>
      <c r="G142" s="209">
        <f t="shared" si="49"/>
        <v>-1080.8200000000002</v>
      </c>
      <c r="H142" s="363"/>
    </row>
    <row r="143" spans="1:8" s="476" customFormat="1">
      <c r="B143" s="455"/>
      <c r="C143" s="455"/>
      <c r="D143" s="456"/>
      <c r="H143" s="363"/>
    </row>
    <row r="144" spans="1:8" s="476" customFormat="1">
      <c r="A144" s="349" t="s">
        <v>91</v>
      </c>
      <c r="B144" s="351">
        <f>ROUND('[25]MEEIA 3 PY5 EO'!$E301,2)</f>
        <v>720.56</v>
      </c>
      <c r="C144" s="351">
        <v>0</v>
      </c>
      <c r="D144" s="351">
        <v>0</v>
      </c>
      <c r="E144" s="205">
        <v>0</v>
      </c>
      <c r="F144" s="458">
        <f t="shared" ref="F144:F146" si="50">SUM(B144:E144)</f>
        <v>720.56</v>
      </c>
      <c r="G144" s="206">
        <f>ROUND(F144/12*7,2)</f>
        <v>420.33</v>
      </c>
      <c r="H144" s="363"/>
    </row>
    <row r="145" spans="1:8" s="476" customFormat="1">
      <c r="A145" s="349" t="s">
        <v>92</v>
      </c>
      <c r="B145" s="351">
        <f>ROUND('[25]MEEIA 3 PY5 EO'!$E303,2)</f>
        <v>539.76</v>
      </c>
      <c r="C145" s="351">
        <v>0</v>
      </c>
      <c r="D145" s="351">
        <v>0</v>
      </c>
      <c r="E145" s="205">
        <v>0</v>
      </c>
      <c r="F145" s="458">
        <f t="shared" si="50"/>
        <v>539.76</v>
      </c>
      <c r="G145" s="206">
        <f>ROUND(F145/12*7,2)</f>
        <v>314.86</v>
      </c>
      <c r="H145" s="363"/>
    </row>
    <row r="146" spans="1:8" s="476" customFormat="1">
      <c r="A146" s="349" t="s">
        <v>93</v>
      </c>
      <c r="B146" s="351">
        <f>ROUND('[25]MEEIA 3 PY5 EO'!$E304,2)</f>
        <v>342.28</v>
      </c>
      <c r="C146" s="351">
        <v>0</v>
      </c>
      <c r="D146" s="351">
        <v>0</v>
      </c>
      <c r="E146" s="205">
        <v>0</v>
      </c>
      <c r="F146" s="458">
        <f t="shared" si="50"/>
        <v>342.28</v>
      </c>
      <c r="G146" s="206">
        <f>ROUND(F146/12*7,2)</f>
        <v>199.66</v>
      </c>
      <c r="H146" s="363"/>
    </row>
    <row r="147" spans="1:8" s="476" customFormat="1">
      <c r="A147" s="355" t="s">
        <v>94</v>
      </c>
      <c r="B147" s="458">
        <f>SUM(B144:B146)</f>
        <v>1602.6</v>
      </c>
      <c r="C147" s="458">
        <f>SUM(C144:C146)</f>
        <v>0</v>
      </c>
      <c r="D147" s="458">
        <f t="shared" ref="D147:G147" si="51">SUM(D144:D146)</f>
        <v>0</v>
      </c>
      <c r="E147" s="458">
        <f t="shared" si="51"/>
        <v>0</v>
      </c>
      <c r="F147" s="458">
        <f t="shared" si="51"/>
        <v>1602.6</v>
      </c>
      <c r="G147" s="458">
        <f t="shared" si="51"/>
        <v>934.85</v>
      </c>
      <c r="H147" s="363"/>
    </row>
    <row r="148" spans="1:8" s="476" customFormat="1">
      <c r="A148" s="355"/>
      <c r="B148" s="213"/>
      <c r="C148" s="213"/>
      <c r="D148" s="213"/>
      <c r="E148" s="213"/>
      <c r="F148" s="213"/>
      <c r="G148" s="213"/>
      <c r="H148" s="363"/>
    </row>
    <row r="149" spans="1:8" s="363" customFormat="1">
      <c r="A149" s="355"/>
      <c r="B149" s="213"/>
      <c r="C149" s="213"/>
      <c r="D149" s="213"/>
      <c r="E149" s="213"/>
      <c r="F149" s="213"/>
      <c r="G149" s="213"/>
    </row>
    <row r="150" spans="1:8" s="476" customFormat="1">
      <c r="A150" s="282" t="s">
        <v>232</v>
      </c>
      <c r="B150" s="390"/>
      <c r="C150" s="390"/>
      <c r="D150" s="422"/>
      <c r="H150" s="363"/>
    </row>
    <row r="151" spans="1:8" s="476" customFormat="1">
      <c r="A151" s="349" t="s">
        <v>22</v>
      </c>
      <c r="B151" s="351">
        <f>ROUND('[26]MEEIA 3 PY5 EO'!$E$300,2)</f>
        <v>-1524.65</v>
      </c>
      <c r="C151" s="351">
        <v>0</v>
      </c>
      <c r="D151" s="351">
        <v>0</v>
      </c>
      <c r="E151" s="205">
        <v>0</v>
      </c>
      <c r="F151" s="459">
        <f>SUM(B151:E151)</f>
        <v>-1524.65</v>
      </c>
      <c r="G151" s="206">
        <f>ROUND(F151/12*11,2)</f>
        <v>-1397.6</v>
      </c>
      <c r="H151" s="363"/>
    </row>
    <row r="152" spans="1:8" s="476" customFormat="1">
      <c r="A152" s="349" t="s">
        <v>23</v>
      </c>
      <c r="B152" s="457">
        <f>B158</f>
        <v>-850.94</v>
      </c>
      <c r="C152" s="457">
        <f>C158</f>
        <v>0</v>
      </c>
      <c r="D152" s="457">
        <f>D158</f>
        <v>0</v>
      </c>
      <c r="E152" s="457">
        <f>E158</f>
        <v>0</v>
      </c>
      <c r="F152" s="459">
        <f>SUM(B152:E152)</f>
        <v>-850.94</v>
      </c>
      <c r="G152" s="206">
        <f>G158</f>
        <v>-780.0200000000001</v>
      </c>
      <c r="H152" s="363"/>
    </row>
    <row r="153" spans="1:8" s="476" customFormat="1">
      <c r="A153" s="349" t="s">
        <v>3</v>
      </c>
      <c r="B153" s="458">
        <f t="shared" ref="B153:G153" si="52">SUM(B151:B152)</f>
        <v>-2375.59</v>
      </c>
      <c r="C153" s="458">
        <f t="shared" si="52"/>
        <v>0</v>
      </c>
      <c r="D153" s="458">
        <f t="shared" si="52"/>
        <v>0</v>
      </c>
      <c r="E153" s="208">
        <f t="shared" si="52"/>
        <v>0</v>
      </c>
      <c r="F153" s="458">
        <f t="shared" si="52"/>
        <v>-2375.59</v>
      </c>
      <c r="G153" s="209">
        <f t="shared" si="52"/>
        <v>-2177.62</v>
      </c>
      <c r="H153" s="363"/>
    </row>
    <row r="154" spans="1:8" s="476" customFormat="1">
      <c r="B154" s="455"/>
      <c r="C154" s="455"/>
      <c r="D154" s="456"/>
      <c r="H154" s="363"/>
    </row>
    <row r="155" spans="1:8" s="476" customFormat="1">
      <c r="A155" s="349" t="s">
        <v>91</v>
      </c>
      <c r="B155" s="351">
        <f>ROUND('[26]MEEIA 3 PY5 EO'!$E$301,2)</f>
        <v>-431.11</v>
      </c>
      <c r="C155" s="351">
        <v>0</v>
      </c>
      <c r="D155" s="351">
        <v>0</v>
      </c>
      <c r="E155" s="205">
        <v>0</v>
      </c>
      <c r="F155" s="458">
        <f t="shared" ref="F155:F157" si="53">SUM(B155:E155)</f>
        <v>-431.11</v>
      </c>
      <c r="G155" s="206">
        <f>ROUND(F155/12*11,2)</f>
        <v>-395.18</v>
      </c>
      <c r="H155" s="363"/>
    </row>
    <row r="156" spans="1:8" s="476" customFormat="1">
      <c r="A156" s="349" t="s">
        <v>92</v>
      </c>
      <c r="B156" s="351">
        <f>ROUND('[26]MEEIA 3 PY5 EO'!$E303,2)</f>
        <v>-270.56</v>
      </c>
      <c r="C156" s="351">
        <v>0</v>
      </c>
      <c r="D156" s="351">
        <v>0</v>
      </c>
      <c r="E156" s="205">
        <v>0</v>
      </c>
      <c r="F156" s="458">
        <f t="shared" si="53"/>
        <v>-270.56</v>
      </c>
      <c r="G156" s="206">
        <f>ROUND(F156/12*11,2)</f>
        <v>-248.01</v>
      </c>
      <c r="H156" s="363"/>
    </row>
    <row r="157" spans="1:8" s="476" customFormat="1">
      <c r="A157" s="349" t="s">
        <v>93</v>
      </c>
      <c r="B157" s="351">
        <f>ROUND('[26]MEEIA 3 PY5 EO'!$E304,2)</f>
        <v>-149.27000000000001</v>
      </c>
      <c r="C157" s="351">
        <v>0</v>
      </c>
      <c r="D157" s="351">
        <v>0</v>
      </c>
      <c r="E157" s="205">
        <v>0</v>
      </c>
      <c r="F157" s="458">
        <f t="shared" si="53"/>
        <v>-149.27000000000001</v>
      </c>
      <c r="G157" s="206">
        <f>ROUND(F157/12*11,2)</f>
        <v>-136.83000000000001</v>
      </c>
      <c r="H157" s="363"/>
    </row>
    <row r="158" spans="1:8" s="476" customFormat="1">
      <c r="A158" s="355" t="s">
        <v>94</v>
      </c>
      <c r="B158" s="458">
        <f>SUM(B155:B157)</f>
        <v>-850.94</v>
      </c>
      <c r="C158" s="458">
        <f>SUM(C155:C157)</f>
        <v>0</v>
      </c>
      <c r="D158" s="458">
        <f t="shared" ref="D158:G158" si="54">SUM(D155:D157)</f>
        <v>0</v>
      </c>
      <c r="E158" s="458">
        <f t="shared" si="54"/>
        <v>0</v>
      </c>
      <c r="F158" s="458">
        <f t="shared" si="54"/>
        <v>-850.94</v>
      </c>
      <c r="G158" s="458">
        <f t="shared" si="54"/>
        <v>-780.0200000000001</v>
      </c>
      <c r="H158" s="363"/>
    </row>
    <row r="159" spans="1:8">
      <c r="A159" s="29"/>
      <c r="B159" s="213"/>
      <c r="C159" s="213"/>
      <c r="D159" s="213"/>
      <c r="E159" s="213"/>
      <c r="F159" s="213"/>
      <c r="G159" s="213"/>
      <c r="H159" s="363"/>
    </row>
    <row r="160" spans="1:8">
      <c r="A160" s="29"/>
      <c r="B160" s="213"/>
      <c r="C160" s="213"/>
      <c r="D160" s="213"/>
      <c r="E160" s="213"/>
      <c r="F160" s="213"/>
      <c r="G160" s="213"/>
    </row>
    <row r="161" spans="1:9">
      <c r="A161" s="383" t="s">
        <v>241</v>
      </c>
      <c r="B161" s="363"/>
      <c r="C161" s="363"/>
      <c r="D161" s="363"/>
      <c r="E161" s="363"/>
      <c r="F161" s="363"/>
      <c r="G161" s="363"/>
      <c r="H161" s="363"/>
      <c r="I161" s="363"/>
    </row>
    <row r="162" spans="1:9">
      <c r="A162" s="383" t="s">
        <v>220</v>
      </c>
      <c r="B162" s="363"/>
      <c r="C162" s="363"/>
      <c r="D162" s="363"/>
      <c r="E162" s="363"/>
      <c r="F162" s="363"/>
      <c r="G162" s="363"/>
      <c r="H162" s="363"/>
      <c r="I162" s="363"/>
    </row>
    <row r="163" spans="1:9">
      <c r="A163" s="383" t="s">
        <v>218</v>
      </c>
      <c r="B163" s="363"/>
      <c r="C163" s="363"/>
      <c r="D163" s="363"/>
      <c r="E163" s="363"/>
      <c r="F163" s="363"/>
      <c r="G163" s="363"/>
      <c r="H163" s="363"/>
      <c r="I163" s="363"/>
    </row>
    <row r="164" spans="1:9">
      <c r="A164" s="383" t="s">
        <v>219</v>
      </c>
      <c r="B164" s="363"/>
      <c r="C164" s="363"/>
      <c r="D164" s="363"/>
      <c r="E164" s="363"/>
      <c r="F164" s="363"/>
      <c r="G164" s="363"/>
      <c r="H164" s="363"/>
      <c r="I164" s="363"/>
    </row>
    <row r="165" spans="1:9">
      <c r="A165" s="383" t="s">
        <v>131</v>
      </c>
      <c r="B165" s="363"/>
      <c r="C165" s="363"/>
      <c r="D165" s="363"/>
      <c r="E165" s="363"/>
      <c r="F165" s="363"/>
      <c r="G165" s="363"/>
      <c r="H165" s="363"/>
      <c r="I165" s="363"/>
    </row>
    <row r="166" spans="1:9" ht="108.75" customHeight="1">
      <c r="A166" s="533" t="s">
        <v>242</v>
      </c>
      <c r="B166" s="533"/>
      <c r="C166" s="533"/>
      <c r="D166" s="533"/>
      <c r="E166" s="533"/>
      <c r="F166" s="533"/>
      <c r="G166" s="533"/>
      <c r="H166" s="533"/>
      <c r="I166" s="533"/>
    </row>
    <row r="167" spans="1:9">
      <c r="A167" s="3"/>
    </row>
    <row r="168" spans="1:9">
      <c r="A168" s="3"/>
    </row>
    <row r="169" spans="1:9">
      <c r="A169" s="3"/>
    </row>
  </sheetData>
  <autoFilter ref="A5:L166" xr:uid="{FFD8475B-D546-4319-B398-EF50E74D6379}"/>
  <mergeCells count="2">
    <mergeCell ref="B4:D4"/>
    <mergeCell ref="A166:I166"/>
  </mergeCells>
  <pageMargins left="0.2" right="0.2" top="0.75" bottom="0.25" header="0.3" footer="0.3"/>
  <pageSetup orientation="landscape" r:id="rId1"/>
  <headerFooter>
    <oddHeader>&amp;C&amp;F &amp;A&amp;R&amp;"Arial"&amp;10&amp;K000000CONFIDENTIAL</oddHeader>
    <oddFooter xml:space="preserve">&amp;R_x000D_&amp;1#&amp;"Calibri"&amp;10&amp;KA80000 Restricted – Sensitive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AD30C-FF8D-4608-8CF9-4858A853D870}">
  <sheetPr>
    <pageSetUpPr fitToPage="1"/>
  </sheetPr>
  <dimension ref="A1:J59"/>
  <sheetViews>
    <sheetView zoomScale="85" zoomScaleNormal="85" workbookViewId="0">
      <pane ySplit="5" topLeftCell="A6" activePane="bottomLeft" state="frozen"/>
      <selection activeCell="C8" sqref="C8"/>
      <selection pane="bottomLeft" activeCell="A6" sqref="A6"/>
    </sheetView>
  </sheetViews>
  <sheetFormatPr defaultColWidth="8.7109375" defaultRowHeight="15"/>
  <cols>
    <col min="1" max="1" width="23.7109375" style="45" customWidth="1"/>
    <col min="2" max="2" width="15.28515625" style="45" bestFit="1" customWidth="1"/>
    <col min="3" max="3" width="14.28515625" style="45" customWidth="1"/>
    <col min="4" max="4" width="13.28515625" style="45" bestFit="1" customWidth="1"/>
    <col min="5" max="5" width="9.7109375" style="45" bestFit="1" customWidth="1"/>
    <col min="6" max="6" width="12.5703125" style="45" bestFit="1" customWidth="1"/>
    <col min="7" max="7" width="13.140625" style="45" customWidth="1"/>
    <col min="8" max="16384" width="8.7109375" style="45"/>
  </cols>
  <sheetData>
    <row r="1" spans="1:8">
      <c r="A1" s="62" t="str">
        <f>+'PTD Cycle 3'!A1</f>
        <v>Evergy Missouri West, Inc. - DSIM Rider Update Filed 06/01/2026</v>
      </c>
    </row>
    <row r="2" spans="1:8">
      <c r="A2" s="319" t="str">
        <f>+'PPC Cycle 4'!A2</f>
        <v>Projections for Cycle 4 July 2026 - June 2027 DSIM</v>
      </c>
    </row>
    <row r="3" spans="1:8">
      <c r="A3" s="8"/>
    </row>
    <row r="4" spans="1:8" ht="45.75" customHeight="1">
      <c r="B4" s="513" t="s">
        <v>195</v>
      </c>
      <c r="C4" s="513"/>
      <c r="D4" s="513"/>
      <c r="G4" s="476"/>
    </row>
    <row r="5" spans="1:8" ht="90">
      <c r="B5" s="69" t="s">
        <v>85</v>
      </c>
      <c r="C5" s="69" t="s">
        <v>86</v>
      </c>
      <c r="D5" s="69" t="s">
        <v>89</v>
      </c>
      <c r="E5" s="69" t="s">
        <v>87</v>
      </c>
      <c r="F5" s="69" t="s">
        <v>84</v>
      </c>
      <c r="G5" s="390" t="s">
        <v>135</v>
      </c>
    </row>
    <row r="6" spans="1:8">
      <c r="A6" s="19"/>
      <c r="B6" s="69"/>
      <c r="C6" s="69"/>
      <c r="D6" s="136"/>
      <c r="G6" s="476"/>
    </row>
    <row r="7" spans="1:8">
      <c r="A7" s="296" t="s">
        <v>196</v>
      </c>
      <c r="B7" s="69"/>
      <c r="C7" s="69"/>
      <c r="D7" s="135"/>
      <c r="G7" s="476"/>
    </row>
    <row r="8" spans="1:8">
      <c r="A8" s="19" t="s">
        <v>22</v>
      </c>
      <c r="B8" s="194">
        <f>SUMIFS(B$18:B$65,$A$18:$A$65,$A8)</f>
        <v>87166.040000000008</v>
      </c>
      <c r="C8" s="194">
        <f>SUMIFS(C$18:C$65,$A$18:$A$65,$A8)</f>
        <v>0</v>
      </c>
      <c r="D8" s="194">
        <f>SUMIFS(D$18:D$65,$A$18:$A$65,$A8)</f>
        <v>0</v>
      </c>
      <c r="E8" s="194">
        <f>SUMIFS(E$18:E$65,$A$18:$A$65,$A8)</f>
        <v>0</v>
      </c>
      <c r="F8" s="194">
        <f>SUM(B8:E8)</f>
        <v>87166.040000000008</v>
      </c>
      <c r="G8" s="459">
        <f>SUMIFS(G$18:G$65,$A$18:$A$65,$A8)</f>
        <v>79902.2</v>
      </c>
    </row>
    <row r="9" spans="1:8">
      <c r="A9" s="19" t="s">
        <v>23</v>
      </c>
      <c r="B9" s="194">
        <f>B15</f>
        <v>168460.22</v>
      </c>
      <c r="C9" s="194">
        <f>C15</f>
        <v>0</v>
      </c>
      <c r="D9" s="194">
        <f>D15</f>
        <v>0</v>
      </c>
      <c r="E9" s="194">
        <f>E15</f>
        <v>0</v>
      </c>
      <c r="F9" s="194">
        <f>SUM(B9:E9)</f>
        <v>168460.22</v>
      </c>
      <c r="G9" s="459">
        <f>G15</f>
        <v>154421.87</v>
      </c>
    </row>
    <row r="10" spans="1:8">
      <c r="A10" s="19" t="s">
        <v>3</v>
      </c>
      <c r="B10" s="189">
        <f t="shared" ref="B10:G10" si="0">SUM(B8:B9)</f>
        <v>255626.26</v>
      </c>
      <c r="C10" s="189">
        <f t="shared" si="0"/>
        <v>0</v>
      </c>
      <c r="D10" s="189">
        <f t="shared" si="0"/>
        <v>0</v>
      </c>
      <c r="E10" s="189">
        <f t="shared" si="0"/>
        <v>0</v>
      </c>
      <c r="F10" s="189">
        <f t="shared" si="0"/>
        <v>255626.26</v>
      </c>
      <c r="G10" s="189">
        <f t="shared" si="0"/>
        <v>234324.07</v>
      </c>
    </row>
    <row r="11" spans="1:8">
      <c r="B11" s="186"/>
      <c r="C11" s="186"/>
      <c r="D11" s="186"/>
      <c r="E11" s="186"/>
      <c r="G11" s="186"/>
    </row>
    <row r="12" spans="1:8">
      <c r="A12" s="19" t="s">
        <v>91</v>
      </c>
      <c r="B12" s="194">
        <f t="shared" ref="B12:E14" si="1">SUMIFS(B$18:B$65,$A$18:$A$65,$A12)</f>
        <v>71719.09</v>
      </c>
      <c r="C12" s="194">
        <f t="shared" si="1"/>
        <v>0</v>
      </c>
      <c r="D12" s="194">
        <f t="shared" si="1"/>
        <v>0</v>
      </c>
      <c r="E12" s="194">
        <f t="shared" si="1"/>
        <v>0</v>
      </c>
      <c r="F12" s="189">
        <f t="shared" ref="F12:F14" si="2">SUM(B12:E12)</f>
        <v>71719.09</v>
      </c>
      <c r="G12" s="194">
        <f>SUMIFS(G$18:G$65,$A$18:$A$65,$A12)</f>
        <v>65742.5</v>
      </c>
    </row>
    <row r="13" spans="1:8">
      <c r="A13" s="19" t="s">
        <v>92</v>
      </c>
      <c r="B13" s="194">
        <f t="shared" si="1"/>
        <v>73340.039999999994</v>
      </c>
      <c r="C13" s="194">
        <f t="shared" si="1"/>
        <v>0</v>
      </c>
      <c r="D13" s="194">
        <f t="shared" si="1"/>
        <v>0</v>
      </c>
      <c r="E13" s="194">
        <f t="shared" si="1"/>
        <v>0</v>
      </c>
      <c r="F13" s="189">
        <f t="shared" si="2"/>
        <v>73340.039999999994</v>
      </c>
      <c r="G13" s="194">
        <f>SUMIFS(G$18:G$65,$A$18:$A$65,$A13)</f>
        <v>67228.37</v>
      </c>
    </row>
    <row r="14" spans="1:8">
      <c r="A14" s="19" t="s">
        <v>93</v>
      </c>
      <c r="B14" s="194">
        <f t="shared" si="1"/>
        <v>23401.09</v>
      </c>
      <c r="C14" s="194">
        <f t="shared" si="1"/>
        <v>0</v>
      </c>
      <c r="D14" s="194">
        <f t="shared" si="1"/>
        <v>0</v>
      </c>
      <c r="E14" s="194">
        <f t="shared" si="1"/>
        <v>0</v>
      </c>
      <c r="F14" s="189">
        <f t="shared" si="2"/>
        <v>23401.09</v>
      </c>
      <c r="G14" s="194">
        <f>SUMIFS(G$18:G$65,$A$18:$A$65,$A14)</f>
        <v>21451</v>
      </c>
    </row>
    <row r="15" spans="1:8">
      <c r="A15" s="29" t="s">
        <v>94</v>
      </c>
      <c r="B15" s="189">
        <f t="shared" ref="B15:G15" si="3">SUM(B12:B14)</f>
        <v>168460.22</v>
      </c>
      <c r="C15" s="189">
        <f t="shared" si="3"/>
        <v>0</v>
      </c>
      <c r="D15" s="189">
        <f t="shared" si="3"/>
        <v>0</v>
      </c>
      <c r="E15" s="189">
        <f t="shared" si="3"/>
        <v>0</v>
      </c>
      <c r="F15" s="189">
        <f t="shared" si="3"/>
        <v>168460.22</v>
      </c>
      <c r="G15" s="189">
        <f t="shared" si="3"/>
        <v>154421.87</v>
      </c>
      <c r="H15" s="476"/>
    </row>
    <row r="16" spans="1:8">
      <c r="A16" s="19"/>
      <c r="B16" s="69"/>
      <c r="C16" s="69"/>
      <c r="D16" s="135"/>
      <c r="H16" s="476"/>
    </row>
    <row r="17" spans="1:8">
      <c r="A17" s="19"/>
      <c r="B17" s="69"/>
      <c r="C17" s="69"/>
      <c r="D17" s="135"/>
      <c r="H17" s="476"/>
    </row>
    <row r="18" spans="1:8" s="334" customFormat="1">
      <c r="A18" s="282" t="s">
        <v>214</v>
      </c>
      <c r="B18" s="390"/>
      <c r="C18" s="390"/>
      <c r="D18" s="309"/>
      <c r="E18" s="469"/>
      <c r="H18" s="476"/>
    </row>
    <row r="19" spans="1:8" s="334" customFormat="1">
      <c r="A19" s="349" t="s">
        <v>22</v>
      </c>
      <c r="B19" s="351">
        <f>'[13]Spend EO- MOWest'!$O$13</f>
        <v>87166.040000000008</v>
      </c>
      <c r="C19" s="351"/>
      <c r="D19" s="351"/>
      <c r="E19" s="470"/>
      <c r="F19" s="458">
        <f>SUM(B19:E19)</f>
        <v>87166.040000000008</v>
      </c>
      <c r="G19" s="458">
        <f>ROUND(F19/12*11,2)</f>
        <v>79902.2</v>
      </c>
      <c r="H19" s="476"/>
    </row>
    <row r="20" spans="1:8" s="334" customFormat="1">
      <c r="A20" s="349" t="s">
        <v>23</v>
      </c>
      <c r="B20" s="457">
        <f>B26</f>
        <v>168460.22</v>
      </c>
      <c r="C20" s="457">
        <f>C26</f>
        <v>0</v>
      </c>
      <c r="D20" s="457">
        <f>D26</f>
        <v>0</v>
      </c>
      <c r="E20" s="471">
        <f>E26</f>
        <v>0</v>
      </c>
      <c r="F20" s="458">
        <f>SUM(B20:E20)</f>
        <v>168460.22</v>
      </c>
      <c r="G20" s="458">
        <f>G26</f>
        <v>154421.87</v>
      </c>
      <c r="H20" s="476"/>
    </row>
    <row r="21" spans="1:8" s="334" customFormat="1">
      <c r="A21" s="349" t="s">
        <v>3</v>
      </c>
      <c r="B21" s="458">
        <f t="shared" ref="B21:G21" si="4">SUM(B19:B20)</f>
        <v>255626.26</v>
      </c>
      <c r="C21" s="458">
        <f t="shared" si="4"/>
        <v>0</v>
      </c>
      <c r="D21" s="458">
        <f t="shared" si="4"/>
        <v>0</v>
      </c>
      <c r="E21" s="468">
        <f t="shared" si="4"/>
        <v>0</v>
      </c>
      <c r="F21" s="458">
        <f t="shared" si="4"/>
        <v>255626.26</v>
      </c>
      <c r="G21" s="458">
        <f t="shared" si="4"/>
        <v>234324.07</v>
      </c>
      <c r="H21" s="476"/>
    </row>
    <row r="22" spans="1:8" s="334" customFormat="1">
      <c r="B22" s="455"/>
      <c r="C22" s="455"/>
      <c r="D22" s="456"/>
      <c r="E22" s="469"/>
      <c r="H22" s="476"/>
    </row>
    <row r="23" spans="1:8" s="334" customFormat="1">
      <c r="A23" s="349" t="s">
        <v>91</v>
      </c>
      <c r="B23" s="351">
        <f>'[13]Spend EO- MOWest'!$P$13</f>
        <v>71719.09</v>
      </c>
      <c r="C23" s="351"/>
      <c r="D23" s="351"/>
      <c r="E23" s="471"/>
      <c r="F23" s="458">
        <f t="shared" ref="F23:F25" si="5">SUM(B23:E23)</f>
        <v>71719.09</v>
      </c>
      <c r="G23" s="458">
        <f>ROUND(F23/12*11,2)</f>
        <v>65742.5</v>
      </c>
      <c r="H23" s="476"/>
    </row>
    <row r="24" spans="1:8" s="334" customFormat="1">
      <c r="A24" s="349" t="s">
        <v>92</v>
      </c>
      <c r="B24" s="351">
        <f>'[13]Spend EO- MOWest'!$R$13</f>
        <v>73340.039999999994</v>
      </c>
      <c r="C24" s="351"/>
      <c r="D24" s="351"/>
      <c r="E24" s="470"/>
      <c r="F24" s="458">
        <f t="shared" si="5"/>
        <v>73340.039999999994</v>
      </c>
      <c r="G24" s="458">
        <f>ROUND(F24/12*11,2)</f>
        <v>67228.37</v>
      </c>
      <c r="H24" s="476"/>
    </row>
    <row r="25" spans="1:8" s="334" customFormat="1">
      <c r="A25" s="349" t="s">
        <v>93</v>
      </c>
      <c r="B25" s="351">
        <f>'[13]Spend EO- MOWest'!$S$13</f>
        <v>23401.09</v>
      </c>
      <c r="C25" s="457"/>
      <c r="D25" s="457"/>
      <c r="E25" s="471"/>
      <c r="F25" s="458">
        <f t="shared" si="5"/>
        <v>23401.09</v>
      </c>
      <c r="G25" s="458">
        <f>ROUND(F25/12*11,2)</f>
        <v>21451</v>
      </c>
      <c r="H25" s="476"/>
    </row>
    <row r="26" spans="1:8" s="363" customFormat="1">
      <c r="A26" s="349" t="s">
        <v>94</v>
      </c>
      <c r="B26" s="458">
        <f t="shared" ref="B26:G26" si="6">SUM(B23:B25)</f>
        <v>168460.22</v>
      </c>
      <c r="C26" s="458">
        <f t="shared" si="6"/>
        <v>0</v>
      </c>
      <c r="D26" s="458">
        <f t="shared" si="6"/>
        <v>0</v>
      </c>
      <c r="E26" s="468">
        <f t="shared" si="6"/>
        <v>0</v>
      </c>
      <c r="F26" s="458">
        <f t="shared" si="6"/>
        <v>168460.22</v>
      </c>
      <c r="G26" s="458">
        <f t="shared" si="6"/>
        <v>154421.87</v>
      </c>
      <c r="H26" s="476"/>
    </row>
    <row r="27" spans="1:8" s="363" customFormat="1">
      <c r="A27" s="334"/>
      <c r="B27" s="334"/>
      <c r="C27" s="334"/>
      <c r="D27" s="334"/>
      <c r="E27" s="469"/>
      <c r="F27" s="334"/>
      <c r="G27" s="334"/>
      <c r="H27" s="476"/>
    </row>
    <row r="28" spans="1:8" s="334" customFormat="1">
      <c r="E28" s="469"/>
      <c r="H28" s="476"/>
    </row>
    <row r="29" spans="1:8">
      <c r="A29" s="282" t="s">
        <v>215</v>
      </c>
      <c r="B29" s="69"/>
      <c r="C29" s="69"/>
      <c r="D29" s="309"/>
      <c r="E29" s="310"/>
      <c r="H29" s="476"/>
    </row>
    <row r="30" spans="1:8">
      <c r="A30" s="488" t="s">
        <v>22</v>
      </c>
      <c r="B30" s="24"/>
      <c r="C30" s="24"/>
      <c r="D30" s="24"/>
      <c r="E30" s="311"/>
      <c r="F30" s="189">
        <f>SUM(B30:E30)</f>
        <v>0</v>
      </c>
      <c r="G30" s="458">
        <f>ROUND(F30/12*11,2)</f>
        <v>0</v>
      </c>
      <c r="H30" s="476"/>
    </row>
    <row r="31" spans="1:8">
      <c r="A31" s="488" t="s">
        <v>23</v>
      </c>
      <c r="B31" s="188">
        <f>B37</f>
        <v>0</v>
      </c>
      <c r="C31" s="188">
        <f>C37</f>
        <v>0</v>
      </c>
      <c r="D31" s="188">
        <f>D37</f>
        <v>0</v>
      </c>
      <c r="E31" s="312">
        <f>E37</f>
        <v>0</v>
      </c>
      <c r="F31" s="189">
        <f>SUM(B31:E31)</f>
        <v>0</v>
      </c>
      <c r="G31" s="458">
        <f>G37</f>
        <v>0</v>
      </c>
      <c r="H31" s="476"/>
    </row>
    <row r="32" spans="1:8">
      <c r="A32" s="488" t="s">
        <v>3</v>
      </c>
      <c r="B32" s="189">
        <f t="shared" ref="B32:G32" si="7">SUM(B30:B31)</f>
        <v>0</v>
      </c>
      <c r="C32" s="189">
        <f t="shared" si="7"/>
        <v>0</v>
      </c>
      <c r="D32" s="189">
        <f t="shared" si="7"/>
        <v>0</v>
      </c>
      <c r="E32" s="313">
        <f t="shared" si="7"/>
        <v>0</v>
      </c>
      <c r="F32" s="189">
        <f t="shared" si="7"/>
        <v>0</v>
      </c>
      <c r="G32" s="458">
        <f t="shared" si="7"/>
        <v>0</v>
      </c>
      <c r="H32" s="476"/>
    </row>
    <row r="33" spans="1:10">
      <c r="A33" s="363"/>
      <c r="B33" s="186"/>
      <c r="C33" s="186"/>
      <c r="D33" s="187"/>
      <c r="E33" s="310"/>
      <c r="G33" s="476"/>
      <c r="H33" s="476"/>
    </row>
    <row r="34" spans="1:10">
      <c r="A34" s="488" t="s">
        <v>91</v>
      </c>
      <c r="B34" s="24"/>
      <c r="C34" s="24"/>
      <c r="D34" s="24"/>
      <c r="E34" s="312"/>
      <c r="F34" s="189">
        <f t="shared" ref="F34:F36" si="8">SUM(B34:E34)</f>
        <v>0</v>
      </c>
      <c r="G34" s="458">
        <f>ROUND(F34/12*11,2)</f>
        <v>0</v>
      </c>
      <c r="H34" s="476"/>
    </row>
    <row r="35" spans="1:10">
      <c r="A35" s="488" t="s">
        <v>92</v>
      </c>
      <c r="B35" s="24"/>
      <c r="C35" s="24"/>
      <c r="D35" s="24"/>
      <c r="E35" s="311"/>
      <c r="F35" s="189">
        <f t="shared" si="8"/>
        <v>0</v>
      </c>
      <c r="G35" s="458">
        <f>ROUND(F35/12*11,2)</f>
        <v>0</v>
      </c>
      <c r="H35" s="476"/>
    </row>
    <row r="36" spans="1:10">
      <c r="A36" s="488" t="s">
        <v>93</v>
      </c>
      <c r="B36" s="188"/>
      <c r="C36" s="188"/>
      <c r="D36" s="188"/>
      <c r="E36" s="312"/>
      <c r="F36" s="189">
        <f t="shared" si="8"/>
        <v>0</v>
      </c>
      <c r="G36" s="458">
        <f>ROUND(F36/12*11,2)</f>
        <v>0</v>
      </c>
      <c r="H36" s="476"/>
    </row>
    <row r="37" spans="1:10" s="38" customFormat="1">
      <c r="A37" s="488" t="s">
        <v>94</v>
      </c>
      <c r="B37" s="189">
        <f t="shared" ref="B37:G37" si="9">SUM(B34:B36)</f>
        <v>0</v>
      </c>
      <c r="C37" s="189">
        <f t="shared" si="9"/>
        <v>0</v>
      </c>
      <c r="D37" s="189">
        <f t="shared" si="9"/>
        <v>0</v>
      </c>
      <c r="E37" s="313">
        <f t="shared" si="9"/>
        <v>0</v>
      </c>
      <c r="F37" s="189">
        <f t="shared" si="9"/>
        <v>0</v>
      </c>
      <c r="G37" s="458">
        <f t="shared" si="9"/>
        <v>0</v>
      </c>
      <c r="H37" s="476"/>
    </row>
    <row r="38" spans="1:10">
      <c r="A38" s="363"/>
      <c r="E38" s="310"/>
      <c r="H38" s="476"/>
    </row>
    <row r="39" spans="1:10">
      <c r="A39" s="363"/>
      <c r="E39" s="310"/>
      <c r="H39" s="476"/>
      <c r="J39" s="287"/>
    </row>
    <row r="40" spans="1:10">
      <c r="A40" s="282" t="s">
        <v>216</v>
      </c>
      <c r="B40" s="69"/>
      <c r="C40" s="69"/>
      <c r="D40" s="309"/>
      <c r="E40" s="310"/>
      <c r="H40" s="476"/>
      <c r="J40" s="287"/>
    </row>
    <row r="41" spans="1:10">
      <c r="A41" s="488" t="s">
        <v>22</v>
      </c>
      <c r="B41" s="24"/>
      <c r="C41" s="24"/>
      <c r="D41" s="24"/>
      <c r="E41" s="311"/>
      <c r="F41" s="189">
        <f>SUM(B41:E41)</f>
        <v>0</v>
      </c>
      <c r="G41" s="458">
        <f>ROUND(F41/12*11,2)</f>
        <v>0</v>
      </c>
      <c r="H41" s="476"/>
    </row>
    <row r="42" spans="1:10">
      <c r="A42" s="488" t="s">
        <v>23</v>
      </c>
      <c r="B42" s="188">
        <f>B48</f>
        <v>0</v>
      </c>
      <c r="C42" s="188">
        <f>C48</f>
        <v>0</v>
      </c>
      <c r="D42" s="188">
        <f>D48</f>
        <v>0</v>
      </c>
      <c r="E42" s="312">
        <f>E48</f>
        <v>0</v>
      </c>
      <c r="F42" s="189">
        <f>SUM(B42:E42)</f>
        <v>0</v>
      </c>
      <c r="G42" s="458">
        <f>G48</f>
        <v>0</v>
      </c>
      <c r="H42" s="476"/>
    </row>
    <row r="43" spans="1:10">
      <c r="A43" s="488" t="s">
        <v>3</v>
      </c>
      <c r="B43" s="189">
        <f t="shared" ref="B43:G43" si="10">SUM(B41:B42)</f>
        <v>0</v>
      </c>
      <c r="C43" s="189">
        <f t="shared" si="10"/>
        <v>0</v>
      </c>
      <c r="D43" s="189">
        <f t="shared" si="10"/>
        <v>0</v>
      </c>
      <c r="E43" s="313">
        <f t="shared" si="10"/>
        <v>0</v>
      </c>
      <c r="F43" s="189">
        <f t="shared" si="10"/>
        <v>0</v>
      </c>
      <c r="G43" s="458">
        <f t="shared" si="10"/>
        <v>0</v>
      </c>
      <c r="H43" s="476"/>
    </row>
    <row r="44" spans="1:10">
      <c r="A44" s="363"/>
      <c r="B44" s="186"/>
      <c r="C44" s="186"/>
      <c r="D44" s="187"/>
      <c r="E44" s="310"/>
      <c r="G44" s="476"/>
      <c r="H44" s="476"/>
    </row>
    <row r="45" spans="1:10">
      <c r="A45" s="19" t="s">
        <v>91</v>
      </c>
      <c r="B45" s="24"/>
      <c r="C45" s="24"/>
      <c r="D45" s="24"/>
      <c r="E45" s="312"/>
      <c r="F45" s="189">
        <f t="shared" ref="F45:F47" si="11">SUM(B45:E45)</f>
        <v>0</v>
      </c>
      <c r="G45" s="458">
        <f>ROUND(F45/12*11,2)</f>
        <v>0</v>
      </c>
      <c r="H45" s="476"/>
    </row>
    <row r="46" spans="1:10">
      <c r="A46" s="19" t="s">
        <v>92</v>
      </c>
      <c r="B46" s="24"/>
      <c r="C46" s="24"/>
      <c r="D46" s="24"/>
      <c r="E46" s="311"/>
      <c r="F46" s="189">
        <f t="shared" si="11"/>
        <v>0</v>
      </c>
      <c r="G46" s="458">
        <f>ROUND(F46/12*11,2)</f>
        <v>0</v>
      </c>
      <c r="H46" s="476"/>
    </row>
    <row r="47" spans="1:10" s="38" customFormat="1">
      <c r="A47" s="19" t="s">
        <v>93</v>
      </c>
      <c r="B47" s="188"/>
      <c r="C47" s="188"/>
      <c r="D47" s="188"/>
      <c r="E47" s="312"/>
      <c r="F47" s="189">
        <f t="shared" si="11"/>
        <v>0</v>
      </c>
      <c r="G47" s="458">
        <f>ROUND(F47/12*11,2)</f>
        <v>0</v>
      </c>
      <c r="H47" s="476"/>
    </row>
    <row r="48" spans="1:10" s="38" customFormat="1">
      <c r="A48" s="19" t="s">
        <v>94</v>
      </c>
      <c r="B48" s="189">
        <f>SUM(B45:B47)</f>
        <v>0</v>
      </c>
      <c r="C48" s="189">
        <f>SUM(C45:C47)</f>
        <v>0</v>
      </c>
      <c r="D48" s="189">
        <f t="shared" ref="D48:F48" si="12">SUM(D45:D47)</f>
        <v>0</v>
      </c>
      <c r="E48" s="313">
        <f t="shared" si="12"/>
        <v>0</v>
      </c>
      <c r="F48" s="189">
        <f t="shared" si="12"/>
        <v>0</v>
      </c>
      <c r="G48" s="458">
        <f t="shared" ref="G48" si="13">SUM(G45:G47)</f>
        <v>0</v>
      </c>
      <c r="H48" s="476"/>
    </row>
    <row r="49" spans="1:8" s="38" customFormat="1">
      <c r="A49" s="45"/>
      <c r="B49" s="45"/>
      <c r="C49" s="45"/>
      <c r="D49" s="45"/>
      <c r="E49" s="310"/>
      <c r="F49" s="45"/>
      <c r="G49" s="45"/>
      <c r="H49" s="476"/>
    </row>
    <row r="50" spans="1:8" s="38" customFormat="1">
      <c r="A50" s="29"/>
      <c r="B50" s="213"/>
      <c r="C50" s="213"/>
      <c r="D50" s="213"/>
      <c r="E50" s="213"/>
      <c r="F50" s="213"/>
      <c r="G50" s="213"/>
    </row>
    <row r="51" spans="1:8">
      <c r="A51" s="52" t="s">
        <v>9</v>
      </c>
    </row>
    <row r="52" spans="1:8">
      <c r="A52" s="383" t="s">
        <v>243</v>
      </c>
      <c r="B52" s="363"/>
      <c r="C52" s="363"/>
      <c r="D52" s="363"/>
      <c r="E52" s="363"/>
      <c r="F52" s="363"/>
      <c r="G52" s="363"/>
      <c r="H52" s="363"/>
    </row>
    <row r="53" spans="1:8">
      <c r="A53" s="383" t="s">
        <v>197</v>
      </c>
      <c r="B53" s="363"/>
      <c r="C53" s="363"/>
      <c r="D53" s="363"/>
      <c r="E53" s="363"/>
      <c r="F53" s="363"/>
      <c r="G53" s="363"/>
      <c r="H53" s="363"/>
    </row>
    <row r="54" spans="1:8">
      <c r="A54" s="383" t="s">
        <v>198</v>
      </c>
      <c r="B54" s="363"/>
      <c r="C54" s="363"/>
      <c r="D54" s="363"/>
      <c r="E54" s="363"/>
      <c r="F54" s="363"/>
      <c r="G54" s="363"/>
      <c r="H54" s="363"/>
    </row>
    <row r="55" spans="1:8">
      <c r="A55" s="383" t="s">
        <v>199</v>
      </c>
      <c r="B55" s="363"/>
      <c r="C55" s="363"/>
      <c r="D55" s="363"/>
      <c r="E55" s="363"/>
      <c r="F55" s="363"/>
      <c r="G55" s="363"/>
      <c r="H55" s="363"/>
    </row>
    <row r="56" spans="1:8">
      <c r="A56" s="383" t="s">
        <v>131</v>
      </c>
      <c r="B56" s="363"/>
      <c r="C56" s="363"/>
      <c r="D56" s="363"/>
      <c r="E56" s="363"/>
      <c r="F56" s="363"/>
      <c r="G56" s="363"/>
      <c r="H56" s="363"/>
    </row>
    <row r="57" spans="1:8" ht="33.75" customHeight="1">
      <c r="A57" s="533" t="s">
        <v>244</v>
      </c>
      <c r="B57" s="533"/>
      <c r="C57" s="533"/>
      <c r="D57" s="533"/>
      <c r="E57" s="533"/>
      <c r="F57" s="533"/>
      <c r="G57" s="533"/>
      <c r="H57" s="533"/>
    </row>
    <row r="58" spans="1:8">
      <c r="A58" s="363"/>
      <c r="B58" s="363"/>
      <c r="C58" s="363"/>
      <c r="D58" s="363"/>
      <c r="E58" s="363"/>
      <c r="F58" s="363"/>
      <c r="G58" s="363"/>
      <c r="H58" s="363"/>
    </row>
    <row r="59" spans="1:8">
      <c r="A59" s="363"/>
      <c r="B59" s="363"/>
      <c r="C59" s="363"/>
      <c r="D59" s="363"/>
      <c r="E59" s="363"/>
      <c r="F59" s="363"/>
      <c r="G59" s="363"/>
      <c r="H59" s="363"/>
    </row>
  </sheetData>
  <autoFilter ref="A5:J57" xr:uid="{1A7AD30C-FF8D-4608-8CF9-4858A853D870}"/>
  <mergeCells count="2">
    <mergeCell ref="B4:D4"/>
    <mergeCell ref="A57:H57"/>
  </mergeCells>
  <pageMargins left="0.2" right="0.2" top="0.75" bottom="0.25" header="0.3" footer="0.3"/>
  <pageSetup orientation="landscape" r:id="rId1"/>
  <headerFooter>
    <oddHeader>&amp;C&amp;F &amp;A&amp;R&amp;"Arial"&amp;10&amp;K000000CONFIDENTIAL</oddHeader>
    <oddFooter xml:space="preserve">&amp;R_x000D_&amp;1#&amp;"Calibri"&amp;10&amp;KA80000 Restricted – Sensitive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D152-8B9E-41F1-8D17-EEF361E7FE19}">
  <sheetPr>
    <pageSetUpPr fitToPage="1"/>
  </sheetPr>
  <dimension ref="A1:AJ61"/>
  <sheetViews>
    <sheetView zoomScale="85" zoomScaleNormal="85" workbookViewId="0"/>
  </sheetViews>
  <sheetFormatPr defaultColWidth="9.140625" defaultRowHeight="15" outlineLevelCol="1"/>
  <cols>
    <col min="1" max="1" width="37.7109375" style="45" customWidth="1"/>
    <col min="2" max="3" width="20.7109375" style="45" customWidth="1"/>
    <col min="4" max="4" width="12.42578125" style="45" hidden="1" customWidth="1" outlineLevel="1"/>
    <col min="5" max="5" width="15.42578125" style="45" customWidth="1" collapsed="1"/>
    <col min="6" max="6" width="15.85546875" style="45" bestFit="1" customWidth="1"/>
    <col min="7" max="7" width="12.28515625" style="45" bestFit="1" customWidth="1"/>
    <col min="8" max="9" width="13.28515625" style="45" bestFit="1" customWidth="1"/>
    <col min="10" max="10" width="12.28515625" style="45" bestFit="1" customWidth="1"/>
    <col min="11" max="11" width="12.5703125" style="45" customWidth="1"/>
    <col min="12" max="12" width="12.85546875" style="45" customWidth="1"/>
    <col min="13" max="13" width="16" style="45" customWidth="1"/>
    <col min="14" max="14" width="15" style="45" bestFit="1" customWidth="1"/>
    <col min="15" max="15" width="16" style="45" bestFit="1" customWidth="1"/>
    <col min="16" max="16" width="17.85546875" style="161" hidden="1" customWidth="1" outlineLevel="1"/>
    <col min="17" max="17" width="15.28515625" style="45" bestFit="1" customWidth="1" collapsed="1"/>
    <col min="18" max="18" width="17.42578125" style="45" bestFit="1" customWidth="1"/>
    <col min="19" max="19" width="16.28515625" style="45" bestFit="1" customWidth="1"/>
    <col min="20" max="20" width="15.28515625" style="45" bestFit="1" customWidth="1"/>
    <col min="21" max="21" width="12.42578125" style="45" customWidth="1"/>
    <col min="22" max="23" width="14.28515625" style="45" bestFit="1" customWidth="1"/>
    <col min="24" max="16384" width="9.140625" style="45"/>
  </cols>
  <sheetData>
    <row r="1" spans="1:36">
      <c r="A1" s="3" t="str">
        <f>+'PTD Cycle 3'!A1</f>
        <v>Evergy Missouri West, Inc. - DSIM Rider Update Filed 06/01/2026</v>
      </c>
      <c r="B1" s="3"/>
      <c r="C1" s="3"/>
      <c r="D1" s="3"/>
    </row>
    <row r="2" spans="1:36">
      <c r="E2" s="3" t="s">
        <v>137</v>
      </c>
    </row>
    <row r="3" spans="1:36" ht="30">
      <c r="E3" s="47" t="s">
        <v>40</v>
      </c>
      <c r="F3" s="69" t="s">
        <v>52</v>
      </c>
      <c r="G3" s="47" t="s">
        <v>1</v>
      </c>
      <c r="H3" s="69" t="s">
        <v>49</v>
      </c>
      <c r="I3" s="47" t="s">
        <v>8</v>
      </c>
      <c r="J3" s="47" t="s">
        <v>53</v>
      </c>
      <c r="T3" s="47"/>
    </row>
    <row r="4" spans="1:36">
      <c r="A4" s="19" t="s">
        <v>22</v>
      </c>
      <c r="B4" s="19"/>
      <c r="C4" s="19"/>
      <c r="D4" s="19"/>
      <c r="E4" s="21">
        <f>SUM(C15:M15)</f>
        <v>447080.13000000006</v>
      </c>
      <c r="F4" s="21">
        <f>SUM(C21:L21)</f>
        <v>607520.06000000006</v>
      </c>
      <c r="G4" s="350">
        <f>F4-E4</f>
        <v>160439.93</v>
      </c>
      <c r="H4" s="21">
        <f>+B35</f>
        <v>344903.20999999967</v>
      </c>
      <c r="I4" s="21">
        <f>SUM(C42:L42)</f>
        <v>13532.760000000002</v>
      </c>
      <c r="J4" s="24">
        <f>SUM(G4:I4)</f>
        <v>518875.89999999967</v>
      </c>
      <c r="K4" s="46">
        <f>+J4-M35</f>
        <v>0</v>
      </c>
      <c r="N4" s="46"/>
    </row>
    <row r="5" spans="1:36">
      <c r="A5" s="19" t="s">
        <v>91</v>
      </c>
      <c r="B5" s="19"/>
      <c r="C5" s="19"/>
      <c r="D5" s="19"/>
      <c r="E5" s="21">
        <f t="shared" ref="E5:E7" si="0">SUM(C16:M16)</f>
        <v>155450.87999999995</v>
      </c>
      <c r="F5" s="21">
        <f t="shared" ref="F5:F7" si="1">SUM(C22:L22)</f>
        <v>213086.05999999997</v>
      </c>
      <c r="G5" s="350">
        <f t="shared" ref="G5:G7" si="2">F5-E5</f>
        <v>57635.180000000022</v>
      </c>
      <c r="H5" s="21">
        <f t="shared" ref="H5:H7" si="3">+B36</f>
        <v>537.00999999996009</v>
      </c>
      <c r="I5" s="21">
        <f t="shared" ref="I5:I7" si="4">SUM(C43:L43)</f>
        <v>1104.3499999999999</v>
      </c>
      <c r="J5" s="24">
        <f t="shared" ref="J5:J7" si="5">SUM(G5:I5)</f>
        <v>59276.539999999979</v>
      </c>
      <c r="K5" s="46">
        <f>+J5-M36</f>
        <v>0</v>
      </c>
      <c r="N5" s="46"/>
    </row>
    <row r="6" spans="1:36">
      <c r="A6" s="19" t="s">
        <v>92</v>
      </c>
      <c r="B6" s="19"/>
      <c r="C6" s="19"/>
      <c r="D6" s="19"/>
      <c r="E6" s="21">
        <f t="shared" si="0"/>
        <v>165248.57</v>
      </c>
      <c r="F6" s="21">
        <f t="shared" si="1"/>
        <v>213446.90000000002</v>
      </c>
      <c r="G6" s="350">
        <f t="shared" si="2"/>
        <v>48198.330000000016</v>
      </c>
      <c r="H6" s="21">
        <f t="shared" si="3"/>
        <v>70692.570000000007</v>
      </c>
      <c r="I6" s="21">
        <f t="shared" si="4"/>
        <v>3055.7200000000003</v>
      </c>
      <c r="J6" s="24">
        <f t="shared" si="5"/>
        <v>121946.62000000002</v>
      </c>
      <c r="K6" s="46">
        <f>+J6-M37</f>
        <v>0</v>
      </c>
      <c r="N6" s="46"/>
    </row>
    <row r="7" spans="1:36" ht="15.75" thickBot="1">
      <c r="A7" s="19" t="s">
        <v>93</v>
      </c>
      <c r="B7" s="19"/>
      <c r="C7" s="19"/>
      <c r="D7" s="19"/>
      <c r="E7" s="21">
        <f t="shared" si="0"/>
        <v>63246.950000000012</v>
      </c>
      <c r="F7" s="21">
        <f t="shared" si="1"/>
        <v>141892.04999999999</v>
      </c>
      <c r="G7" s="350">
        <f t="shared" si="2"/>
        <v>78645.099999999977</v>
      </c>
      <c r="H7" s="21">
        <f t="shared" si="3"/>
        <v>-9036.5500000000211</v>
      </c>
      <c r="I7" s="21">
        <f t="shared" si="4"/>
        <v>502.09</v>
      </c>
      <c r="J7" s="24">
        <f t="shared" si="5"/>
        <v>70110.639999999956</v>
      </c>
      <c r="K7" s="46">
        <f>+J7-M38</f>
        <v>0</v>
      </c>
      <c r="N7" s="46"/>
    </row>
    <row r="8" spans="1:36" ht="16.5" thickTop="1" thickBot="1">
      <c r="E8" s="26">
        <f t="shared" ref="E8:J8" si="6">SUM(E4:E7)</f>
        <v>831026.53</v>
      </c>
      <c r="F8" s="26">
        <f t="shared" si="6"/>
        <v>1175945.07</v>
      </c>
      <c r="G8" s="353">
        <f t="shared" si="6"/>
        <v>344918.54000000004</v>
      </c>
      <c r="H8" s="26">
        <f t="shared" si="6"/>
        <v>407096.23999999958</v>
      </c>
      <c r="I8" s="26">
        <f t="shared" si="6"/>
        <v>18194.920000000002</v>
      </c>
      <c r="J8" s="26">
        <f t="shared" si="6"/>
        <v>770209.69999999972</v>
      </c>
      <c r="U8" s="5"/>
    </row>
    <row r="9" spans="1:36" ht="16.5" thickTop="1" thickBot="1">
      <c r="G9" s="476"/>
      <c r="W9" s="4"/>
      <c r="X9" s="5"/>
    </row>
    <row r="10" spans="1:36" ht="60.75" thickBot="1">
      <c r="B10" s="106" t="str">
        <f>+'PCR Cycle 4'!B10</f>
        <v>Cumulative Over/Under Carryover From 12/01/2025 Filing</v>
      </c>
      <c r="C10" s="134" t="str">
        <f>+'PCR Cycle 4'!C10</f>
        <v>Reverse November 2025 - January 2026 Forecast From 12/01/2025 Filing</v>
      </c>
      <c r="D10" s="306"/>
      <c r="E10" s="529" t="s">
        <v>28</v>
      </c>
      <c r="F10" s="516"/>
      <c r="G10" s="517"/>
      <c r="H10" s="530" t="s">
        <v>28</v>
      </c>
      <c r="I10" s="531"/>
      <c r="J10" s="532"/>
      <c r="K10" s="521" t="s">
        <v>6</v>
      </c>
      <c r="L10" s="522"/>
      <c r="M10" s="523"/>
      <c r="P10" s="253" t="s">
        <v>173</v>
      </c>
    </row>
    <row r="11" spans="1:36">
      <c r="A11" s="45" t="s">
        <v>74</v>
      </c>
      <c r="C11" s="491"/>
      <c r="D11" s="302"/>
      <c r="E11" s="302">
        <f>+'PCR Cycle 4'!E$11</f>
        <v>45991</v>
      </c>
      <c r="F11" s="302">
        <f>+'PCR Cycle 4'!F$11</f>
        <v>46022</v>
      </c>
      <c r="G11" s="302">
        <f>+'PCR Cycle 4'!G$11</f>
        <v>46053</v>
      </c>
      <c r="H11" s="491">
        <f>+'PCR Cycle 4'!H$11</f>
        <v>46081</v>
      </c>
      <c r="I11" s="302">
        <f>+'PCR Cycle 4'!I$11</f>
        <v>46112</v>
      </c>
      <c r="J11" s="492">
        <f>+'PCR Cycle 4'!J$11</f>
        <v>46142</v>
      </c>
      <c r="K11" s="302">
        <f>+'PCR Cycle 4'!K$11</f>
        <v>46173</v>
      </c>
      <c r="L11" s="302">
        <f>+'PCR Cycle 4'!L$11</f>
        <v>46203</v>
      </c>
      <c r="M11" s="493">
        <f>+'PCR Cycle 4'!M$11</f>
        <v>46234</v>
      </c>
      <c r="AA11" s="1"/>
      <c r="AB11" s="1"/>
      <c r="AC11" s="1"/>
      <c r="AD11" s="1"/>
      <c r="AE11" s="1"/>
      <c r="AF11" s="1"/>
      <c r="AG11" s="1"/>
      <c r="AH11" s="1"/>
      <c r="AI11" s="1"/>
      <c r="AJ11" s="1"/>
    </row>
    <row r="12" spans="1:36">
      <c r="A12" s="45" t="s">
        <v>3</v>
      </c>
      <c r="C12" s="320">
        <v>-377981.64</v>
      </c>
      <c r="D12" s="229"/>
      <c r="E12" s="100">
        <f t="shared" ref="E12:L12" si="7">SUM(E21:E24)</f>
        <v>188990.82</v>
      </c>
      <c r="F12" s="100">
        <f t="shared" si="7"/>
        <v>188990.82</v>
      </c>
      <c r="G12" s="101">
        <f t="shared" si="7"/>
        <v>188990.82</v>
      </c>
      <c r="H12" s="15">
        <f t="shared" si="7"/>
        <v>197390.85</v>
      </c>
      <c r="I12" s="54">
        <f t="shared" si="7"/>
        <v>197390.85</v>
      </c>
      <c r="J12" s="145">
        <f t="shared" si="7"/>
        <v>197390.85</v>
      </c>
      <c r="K12" s="138">
        <f t="shared" si="7"/>
        <v>197390.85</v>
      </c>
      <c r="L12" s="75">
        <f t="shared" si="7"/>
        <v>197390.85</v>
      </c>
      <c r="M12" s="76"/>
      <c r="P12" s="161">
        <f>-SUM(K12:M12)</f>
        <v>-394781.7</v>
      </c>
    </row>
    <row r="13" spans="1:36">
      <c r="C13" s="95"/>
      <c r="D13" s="132"/>
      <c r="E13" s="16"/>
      <c r="F13" s="16"/>
      <c r="G13" s="16"/>
      <c r="H13" s="9"/>
      <c r="I13" s="16"/>
      <c r="J13" s="10"/>
      <c r="K13" s="30"/>
      <c r="L13" s="30"/>
      <c r="M13" s="28"/>
    </row>
    <row r="14" spans="1:36">
      <c r="A14" s="45" t="s">
        <v>75</v>
      </c>
      <c r="C14" s="95"/>
      <c r="D14" s="132"/>
      <c r="E14" s="230"/>
      <c r="F14" s="230"/>
      <c r="G14" s="230"/>
      <c r="H14" s="503"/>
      <c r="I14" s="230"/>
      <c r="J14" s="502"/>
      <c r="K14" s="228"/>
      <c r="L14" s="228"/>
      <c r="M14" s="489"/>
      <c r="N14" s="383" t="s">
        <v>44</v>
      </c>
      <c r="O14" s="38"/>
    </row>
    <row r="15" spans="1:36">
      <c r="A15" s="45" t="s">
        <v>22</v>
      </c>
      <c r="C15" s="320">
        <v>-503095.11</v>
      </c>
      <c r="D15" s="229"/>
      <c r="E15" s="119">
        <f>'[3]EMW Nov25'!$G122</f>
        <v>112702.19</v>
      </c>
      <c r="F15" s="119">
        <f>'[3]EMW Dec25'!$G122</f>
        <v>163958.57</v>
      </c>
      <c r="G15" s="119">
        <f>'[3]EMW Jan26'!$G122</f>
        <v>179041.53</v>
      </c>
      <c r="H15" s="15">
        <f>'[3]EMW Feb26'!$G122</f>
        <v>107199.71</v>
      </c>
      <c r="I15" s="54">
        <f>'[3]EMW Mar26'!$G122</f>
        <v>76301.040000000008</v>
      </c>
      <c r="J15" s="145">
        <f>'[3]EMW Apr26'!$G122</f>
        <v>63772.21</v>
      </c>
      <c r="K15" s="110">
        <f>ROUND('PCR Cycle 4'!K20*$N15,2)</f>
        <v>60740.05</v>
      </c>
      <c r="L15" s="40">
        <f>ROUND('PCR Cycle 4'!L20*$N15,2)</f>
        <v>77143.740000000005</v>
      </c>
      <c r="M15" s="60">
        <f>ROUND('PCR Cycle 4'!M20*$N15,2)</f>
        <v>109316.2</v>
      </c>
      <c r="N15" s="71">
        <v>2.8000000000000003E-4</v>
      </c>
      <c r="O15" s="4"/>
      <c r="P15" s="161">
        <f t="shared" ref="P15:P18" si="8">-SUM(K15:M15)</f>
        <v>-247199.99</v>
      </c>
    </row>
    <row r="16" spans="1:36">
      <c r="A16" s="45" t="s">
        <v>113</v>
      </c>
      <c r="C16" s="320">
        <v>-134557.43000000002</v>
      </c>
      <c r="D16" s="229"/>
      <c r="E16" s="413">
        <f>'[3]EMW Nov25'!$G123</f>
        <v>45320.93</v>
      </c>
      <c r="F16" s="119">
        <f>'[3]EMW Dec25'!$G123</f>
        <v>54194.02</v>
      </c>
      <c r="G16" s="119">
        <f>'[3]EMW Jan26'!$G123</f>
        <v>54403.64</v>
      </c>
      <c r="H16" s="15">
        <f>'[3]EMW Feb26'!$G123</f>
        <v>23886.949999999997</v>
      </c>
      <c r="I16" s="54">
        <f>'[3]EMW Mar26'!$G123</f>
        <v>19850.899999999998</v>
      </c>
      <c r="J16" s="429">
        <f>'[3]EMW Apr26'!$G123</f>
        <v>18199.41</v>
      </c>
      <c r="K16" s="110">
        <f>ROUND('PCR Cycle 4'!K21*$N16,2)</f>
        <v>22130.73</v>
      </c>
      <c r="L16" s="40">
        <f>ROUND('PCR Cycle 4'!L21*$N16,2)</f>
        <v>24581.68</v>
      </c>
      <c r="M16" s="60">
        <f>ROUND('PCR Cycle 4'!M21*$N16,2)</f>
        <v>27440.05</v>
      </c>
      <c r="N16" s="391">
        <v>1.8000000000000001E-4</v>
      </c>
      <c r="O16" s="4"/>
      <c r="P16" s="161">
        <f t="shared" si="8"/>
        <v>-74152.460000000006</v>
      </c>
    </row>
    <row r="17" spans="1:16">
      <c r="A17" s="45" t="s">
        <v>114</v>
      </c>
      <c r="C17" s="320">
        <v>-161139.26</v>
      </c>
      <c r="D17" s="229"/>
      <c r="E17" s="413">
        <f>'[3]EMW Nov25'!$G124</f>
        <v>53924.92</v>
      </c>
      <c r="F17" s="119">
        <f>'[3]EMW Dec25'!$G124</f>
        <v>58022.65</v>
      </c>
      <c r="G17" s="119">
        <f>'[3]EMW Jan26'!$G124</f>
        <v>55170.41</v>
      </c>
      <c r="H17" s="15">
        <f>'[3]EMW Feb26'!$G124</f>
        <v>25641.61</v>
      </c>
      <c r="I17" s="54">
        <f>'[3]EMW Mar26'!$G124</f>
        <v>24030.31</v>
      </c>
      <c r="J17" s="429">
        <f>'[3]EMW Apr26'!$G124</f>
        <v>22794.79</v>
      </c>
      <c r="K17" s="110">
        <f>ROUND('PCR Cycle 4'!K22*$N17,2)</f>
        <v>25906.31</v>
      </c>
      <c r="L17" s="40">
        <f>ROUND('PCR Cycle 4'!L22*$N17,2)</f>
        <v>28775.41</v>
      </c>
      <c r="M17" s="60">
        <f>ROUND('PCR Cycle 4'!M22*$N17,2)</f>
        <v>32121.42</v>
      </c>
      <c r="N17" s="391">
        <v>2.8000000000000003E-4</v>
      </c>
      <c r="O17" s="4"/>
      <c r="P17" s="161">
        <f t="shared" si="8"/>
        <v>-86803.14</v>
      </c>
    </row>
    <row r="18" spans="1:16">
      <c r="A18" s="45" t="s">
        <v>115</v>
      </c>
      <c r="C18" s="320">
        <v>-104835.73</v>
      </c>
      <c r="D18" s="229"/>
      <c r="E18" s="413">
        <f>'[3]EMW Nov25'!$G125</f>
        <v>53155.19</v>
      </c>
      <c r="F18" s="119">
        <f>'[3]EMW Dec25'!$G125</f>
        <v>55807.73</v>
      </c>
      <c r="G18" s="119">
        <f>'[3]EMW Jan26'!$G125</f>
        <v>53806.42</v>
      </c>
      <c r="H18" s="15">
        <f>'[3]EMW Feb26'!$G125</f>
        <v>17380.79</v>
      </c>
      <c r="I18" s="54">
        <f>'[3]EMW Mar26'!$G125</f>
        <v>-74130.75</v>
      </c>
      <c r="J18" s="429">
        <f>'[3]EMW Apr26'!$G125</f>
        <v>12718.76</v>
      </c>
      <c r="K18" s="110">
        <f>ROUND('PCR Cycle 4'!K23*$N18,2)</f>
        <v>14726.83</v>
      </c>
      <c r="L18" s="40">
        <f>ROUND('PCR Cycle 4'!L23*$N18,2)</f>
        <v>16357.81</v>
      </c>
      <c r="M18" s="60">
        <f>ROUND('PCR Cycle 4'!M23*$N18,2)</f>
        <v>18259.900000000001</v>
      </c>
      <c r="N18" s="391">
        <v>1.9000000000000001E-4</v>
      </c>
      <c r="O18" s="4"/>
      <c r="P18" s="161">
        <f t="shared" si="8"/>
        <v>-49344.54</v>
      </c>
    </row>
    <row r="19" spans="1:16">
      <c r="C19" s="66"/>
      <c r="D19" s="67"/>
      <c r="E19" s="67"/>
      <c r="F19" s="67"/>
      <c r="G19" s="67"/>
      <c r="H19" s="66"/>
      <c r="I19" s="67"/>
      <c r="J19" s="147"/>
      <c r="K19" s="55"/>
      <c r="L19" s="55"/>
      <c r="M19" s="12"/>
      <c r="O19" s="4"/>
    </row>
    <row r="20" spans="1:16">
      <c r="A20" s="45" t="s">
        <v>77</v>
      </c>
      <c r="C20" s="35"/>
      <c r="D20" s="36"/>
      <c r="E20" s="361"/>
      <c r="F20" s="361"/>
      <c r="G20" s="361"/>
      <c r="H20" s="360"/>
      <c r="I20" s="361"/>
      <c r="J20" s="433"/>
      <c r="K20" s="374"/>
      <c r="L20" s="374"/>
      <c r="M20" s="37"/>
    </row>
    <row r="21" spans="1:16">
      <c r="A21" s="45" t="s">
        <v>22</v>
      </c>
      <c r="C21" s="320">
        <v>-193531.12</v>
      </c>
      <c r="D21" s="229"/>
      <c r="E21" s="100">
        <f>ROUND((+'EO Cycle 3'!$F107/12+'EO Cycle 3'!$F129/12+'EO Cycle 3'!$F96/12),2)</f>
        <v>96765.56</v>
      </c>
      <c r="F21" s="100">
        <f>ROUND((+'EO Cycle 3'!$F107/12+'EO Cycle 3'!$F129/12+'EO Cycle 3'!$F96/12),2)</f>
        <v>96765.56</v>
      </c>
      <c r="G21" s="100">
        <f>ROUND((+'EO Cycle 3'!$F107/12+'EO Cycle 3'!$F129/12+'EO Cycle 3'!$F96/12),2)</f>
        <v>96765.56</v>
      </c>
      <c r="H21" s="15">
        <f>ROUND((+'EO Cycle 3'!$F107/12+'EO Cycle 3'!$F129/12+'EO Cycle 3'!$F140/12),2)</f>
        <v>102150.9</v>
      </c>
      <c r="I21" s="54">
        <f>ROUND((+'EO Cycle 3'!$F107/12+'EO Cycle 3'!$F129/12+'EO Cycle 3'!$F140/12),2)</f>
        <v>102150.9</v>
      </c>
      <c r="J21" s="145">
        <f>ROUND((+'EO Cycle 3'!$F107/12+'EO Cycle 3'!$F129/12+'EO Cycle 3'!$F140/12),2)</f>
        <v>102150.9</v>
      </c>
      <c r="K21" s="125">
        <f>ROUND((+'EO Cycle 3'!$F107/12+'EO Cycle 3'!$F129/12+'EO Cycle 3'!$F140/12),2)</f>
        <v>102150.9</v>
      </c>
      <c r="L21" s="125">
        <f>ROUND((+'EO Cycle 3'!$F107/12+'EO Cycle 3'!$F129/12+'EO Cycle 3'!$F140/12),2)</f>
        <v>102150.9</v>
      </c>
      <c r="M21" s="76"/>
      <c r="P21" s="161">
        <f t="shared" ref="P21:P26" si="9">-SUM(K21:M21)</f>
        <v>-204301.8</v>
      </c>
    </row>
    <row r="22" spans="1:16">
      <c r="A22" s="45" t="s">
        <v>113</v>
      </c>
      <c r="C22" s="320">
        <v>-67260.320000000007</v>
      </c>
      <c r="D22" s="229"/>
      <c r="E22" s="405">
        <f>ROUND((+'EO Cycle 3'!$F111/12+'EO Cycle 3'!$F133/12+'EO Cycle 3'!$F100/12),2)</f>
        <v>33630.160000000003</v>
      </c>
      <c r="F22" s="100">
        <f>ROUND((+'EO Cycle 3'!$F111/12+'EO Cycle 3'!$F133/12+'EO Cycle 3'!$F100/12),2)</f>
        <v>33630.160000000003</v>
      </c>
      <c r="G22" s="100">
        <f>ROUND((+'EO Cycle 3'!$F111/12+'EO Cycle 3'!$F133/12+'EO Cycle 3'!$F100/12),2)</f>
        <v>33630.160000000003</v>
      </c>
      <c r="H22" s="15">
        <f>ROUND((+'EO Cycle 3'!$F111/12+'EO Cycle 3'!$F133/12+'EO Cycle 3'!$F144/12),2)</f>
        <v>35891.18</v>
      </c>
      <c r="I22" s="54">
        <f>ROUND((+'EO Cycle 3'!$F111/12+'EO Cycle 3'!$F133/12+'EO Cycle 3'!$F144/12),2)</f>
        <v>35891.18</v>
      </c>
      <c r="J22" s="145">
        <f>ROUND((+'EO Cycle 3'!$F111/12+'EO Cycle 3'!$F133/12+'EO Cycle 3'!$F144/12),2)</f>
        <v>35891.18</v>
      </c>
      <c r="K22" s="125">
        <f>ROUND((+'EO Cycle 3'!$F111/12+'EO Cycle 3'!$F133/12+'EO Cycle 3'!$F144/12),2)</f>
        <v>35891.18</v>
      </c>
      <c r="L22" s="125">
        <f>ROUND((+'EO Cycle 3'!$F111/12+'EO Cycle 3'!$F133/12+'EO Cycle 3'!$F144/12),2)</f>
        <v>35891.18</v>
      </c>
      <c r="M22" s="76"/>
      <c r="P22" s="161">
        <f t="shared" si="9"/>
        <v>-71782.36</v>
      </c>
    </row>
    <row r="23" spans="1:16">
      <c r="A23" s="45" t="s">
        <v>114</v>
      </c>
      <c r="C23" s="320">
        <v>-70078.3</v>
      </c>
      <c r="D23" s="229"/>
      <c r="E23" s="478">
        <f>ROUND((+'EO Cycle 3'!$F112/12+'EO Cycle 3'!$F134/12+'EO Cycle 3'!$F101/12),2)</f>
        <v>35039.15</v>
      </c>
      <c r="F23" s="100">
        <f>ROUND((+'EO Cycle 3'!$F112/12+'EO Cycle 3'!$F134/12+'EO Cycle 3'!$F101/12),2)</f>
        <v>35039.15</v>
      </c>
      <c r="G23" s="100">
        <f>ROUND((+'EO Cycle 3'!$F112/12+'EO Cycle 3'!$F134/12+'EO Cycle 3'!$F101/12),2)</f>
        <v>35039.15</v>
      </c>
      <c r="H23" s="345">
        <f>ROUND((+'EO Cycle 3'!$F112/12+'EO Cycle 3'!$F134/12+'EO Cycle 3'!$F145/12),2)</f>
        <v>35681.550000000003</v>
      </c>
      <c r="I23" s="54">
        <f>ROUND((+'EO Cycle 3'!$F112/12+'EO Cycle 3'!$F134/12+'EO Cycle 3'!$F145/12),2)</f>
        <v>35681.550000000003</v>
      </c>
      <c r="J23" s="145">
        <f>ROUND((+'EO Cycle 3'!$F112/12+'EO Cycle 3'!$F134/12+'EO Cycle 3'!$F145/12),2)</f>
        <v>35681.550000000003</v>
      </c>
      <c r="K23" s="125">
        <f>ROUND((+'EO Cycle 3'!$F112/12+'EO Cycle 3'!$F134/12+'EO Cycle 3'!$F145/12),2)</f>
        <v>35681.550000000003</v>
      </c>
      <c r="L23" s="125">
        <f>ROUND((+'EO Cycle 3'!$F112/12+'EO Cycle 3'!$F134/12+'EO Cycle 3'!$F145/12),2)</f>
        <v>35681.550000000003</v>
      </c>
      <c r="M23" s="76"/>
      <c r="P23" s="161">
        <f t="shared" si="9"/>
        <v>-71363.100000000006</v>
      </c>
    </row>
    <row r="24" spans="1:16">
      <c r="A24" s="45" t="s">
        <v>115</v>
      </c>
      <c r="C24" s="320">
        <v>-47111.9</v>
      </c>
      <c r="D24" s="229"/>
      <c r="E24" s="478">
        <f>ROUND((+'EO Cycle 3'!$F113/12+'EO Cycle 3'!$F135/12+'EO Cycle 3'!$F102/12),2)</f>
        <v>23555.95</v>
      </c>
      <c r="F24" s="100">
        <f>ROUND((+'EO Cycle 3'!$F113/12+'EO Cycle 3'!$F135/12+'EO Cycle 3'!$F102/12),2)</f>
        <v>23555.95</v>
      </c>
      <c r="G24" s="100">
        <f>ROUND((+'EO Cycle 3'!$F113/12+'EO Cycle 3'!$F135/12+'EO Cycle 3'!$F102/12),2)</f>
        <v>23555.95</v>
      </c>
      <c r="H24" s="345">
        <f>ROUND((+'EO Cycle 3'!$F113/12+'EO Cycle 3'!$F135/12+'EO Cycle 3'!$F146/12),2)</f>
        <v>23667.22</v>
      </c>
      <c r="I24" s="54">
        <f>ROUND((+'EO Cycle 3'!$F113/12+'EO Cycle 3'!$F135/12+'EO Cycle 3'!$F146/12),2)</f>
        <v>23667.22</v>
      </c>
      <c r="J24" s="145">
        <f>ROUND((+'EO Cycle 3'!$F113/12+'EO Cycle 3'!$F135/12+'EO Cycle 3'!$F146/12),2)</f>
        <v>23667.22</v>
      </c>
      <c r="K24" s="125">
        <f>ROUND((+'EO Cycle 3'!$F113/12+'EO Cycle 3'!$F135/12+'EO Cycle 3'!$F146/12),2)</f>
        <v>23667.22</v>
      </c>
      <c r="L24" s="125">
        <f>ROUND((+'EO Cycle 3'!$F113/12+'EO Cycle 3'!$F135/12+'EO Cycle 3'!$F146/12),2)</f>
        <v>23667.22</v>
      </c>
      <c r="M24" s="76"/>
      <c r="O24" s="46"/>
      <c r="P24" s="161">
        <f t="shared" si="9"/>
        <v>-47334.44</v>
      </c>
    </row>
    <row r="25" spans="1:16">
      <c r="C25" s="95"/>
      <c r="D25" s="132"/>
      <c r="E25" s="17"/>
      <c r="F25" s="17"/>
      <c r="G25" s="17"/>
      <c r="H25" s="88"/>
      <c r="I25" s="17"/>
      <c r="J25" s="146"/>
      <c r="K25" s="55"/>
      <c r="L25" s="55"/>
      <c r="M25" s="12"/>
    </row>
    <row r="26" spans="1:16" ht="15.75" thickBot="1">
      <c r="A26" s="3" t="s">
        <v>12</v>
      </c>
      <c r="B26" s="3"/>
      <c r="C26" s="322">
        <v>-7689.0899999999992</v>
      </c>
      <c r="D26" s="307"/>
      <c r="E26" s="413">
        <f>3931.07-0.03</f>
        <v>3931.04</v>
      </c>
      <c r="F26" s="413">
        <f>3321.81-0.05</f>
        <v>3321.7599999999998</v>
      </c>
      <c r="G26" s="414">
        <f>2665.11-0.03</f>
        <v>2665.08</v>
      </c>
      <c r="H26" s="352">
        <f>2400.54-0.04</f>
        <v>2400.5</v>
      </c>
      <c r="I26" s="411">
        <f>2831.9-0.04</f>
        <v>2831.86</v>
      </c>
      <c r="J26" s="434">
        <f>3263.5-0.04</f>
        <v>3263.46</v>
      </c>
      <c r="K26" s="141">
        <f>ROUND((SUM(J35:J38)+SUM(J42:J45)+SUM(K29:K32)/2)*K$40,2)-0.01</f>
        <v>3597.8799999999997</v>
      </c>
      <c r="L26" s="127">
        <f>ROUND((SUM(K35:K38)+SUM(K42:K45)+SUM(L29:L32)/2)*L$40,2)</f>
        <v>3872.43</v>
      </c>
      <c r="M26" s="79"/>
      <c r="P26" s="161">
        <f t="shared" si="9"/>
        <v>-7470.3099999999995</v>
      </c>
    </row>
    <row r="27" spans="1:16">
      <c r="C27" s="63"/>
      <c r="D27" s="32"/>
      <c r="E27" s="130"/>
      <c r="F27" s="130"/>
      <c r="G27" s="131"/>
      <c r="H27" s="63"/>
      <c r="I27" s="32"/>
      <c r="J27" s="151"/>
      <c r="K27" s="33"/>
      <c r="L27" s="33"/>
      <c r="M27" s="59"/>
    </row>
    <row r="28" spans="1:16">
      <c r="A28" s="45" t="s">
        <v>46</v>
      </c>
      <c r="C28" s="64"/>
      <c r="D28" s="34"/>
      <c r="E28" s="131"/>
      <c r="F28" s="131"/>
      <c r="G28" s="131"/>
      <c r="H28" s="64"/>
      <c r="I28" s="34"/>
      <c r="J28" s="152"/>
      <c r="K28" s="33"/>
      <c r="L28" s="33"/>
      <c r="M28" s="59"/>
    </row>
    <row r="29" spans="1:16">
      <c r="A29" s="45" t="s">
        <v>22</v>
      </c>
      <c r="C29" s="96">
        <f t="shared" ref="C29:M32" si="10">C21-C15</f>
        <v>309563.99</v>
      </c>
      <c r="D29" s="303">
        <f t="shared" ref="D29" si="11">D21-D15</f>
        <v>0</v>
      </c>
      <c r="E29" s="40">
        <f t="shared" si="10"/>
        <v>-15936.630000000005</v>
      </c>
      <c r="F29" s="40">
        <f t="shared" si="10"/>
        <v>-67193.010000000009</v>
      </c>
      <c r="G29" s="99">
        <f t="shared" si="10"/>
        <v>-82275.97</v>
      </c>
      <c r="H29" s="39">
        <f t="shared" si="10"/>
        <v>-5048.8100000000122</v>
      </c>
      <c r="I29" s="40">
        <f t="shared" si="10"/>
        <v>25849.859999999986</v>
      </c>
      <c r="J29" s="60">
        <f t="shared" si="10"/>
        <v>38378.689999999995</v>
      </c>
      <c r="K29" s="110">
        <f t="shared" si="10"/>
        <v>41410.849999999991</v>
      </c>
      <c r="L29" s="40">
        <f t="shared" si="10"/>
        <v>25007.159999999989</v>
      </c>
      <c r="M29" s="60">
        <f t="shared" si="10"/>
        <v>-109316.2</v>
      </c>
    </row>
    <row r="30" spans="1:16">
      <c r="A30" s="45" t="s">
        <v>113</v>
      </c>
      <c r="C30" s="96">
        <f t="shared" si="10"/>
        <v>67297.110000000015</v>
      </c>
      <c r="D30" s="303">
        <f t="shared" ref="D30" si="12">D22-D16</f>
        <v>0</v>
      </c>
      <c r="E30" s="40">
        <f t="shared" si="10"/>
        <v>-11690.769999999997</v>
      </c>
      <c r="F30" s="40">
        <f t="shared" si="10"/>
        <v>-20563.859999999993</v>
      </c>
      <c r="G30" s="99">
        <f t="shared" si="10"/>
        <v>-20773.479999999996</v>
      </c>
      <c r="H30" s="39">
        <f t="shared" si="10"/>
        <v>12004.230000000003</v>
      </c>
      <c r="I30" s="40">
        <f t="shared" si="10"/>
        <v>16040.280000000002</v>
      </c>
      <c r="J30" s="60">
        <f t="shared" si="10"/>
        <v>17691.77</v>
      </c>
      <c r="K30" s="110">
        <f t="shared" si="10"/>
        <v>13760.45</v>
      </c>
      <c r="L30" s="40">
        <f t="shared" si="10"/>
        <v>11309.5</v>
      </c>
      <c r="M30" s="60">
        <f t="shared" si="10"/>
        <v>-27440.05</v>
      </c>
    </row>
    <row r="31" spans="1:16">
      <c r="A31" s="45" t="s">
        <v>114</v>
      </c>
      <c r="C31" s="96">
        <f t="shared" si="10"/>
        <v>91060.96</v>
      </c>
      <c r="D31" s="303">
        <f t="shared" ref="D31" si="13">D23-D17</f>
        <v>0</v>
      </c>
      <c r="E31" s="40">
        <f t="shared" si="10"/>
        <v>-18885.769999999997</v>
      </c>
      <c r="F31" s="40">
        <f t="shared" si="10"/>
        <v>-22983.5</v>
      </c>
      <c r="G31" s="99">
        <f t="shared" si="10"/>
        <v>-20131.260000000002</v>
      </c>
      <c r="H31" s="39">
        <f t="shared" si="10"/>
        <v>10039.940000000002</v>
      </c>
      <c r="I31" s="40">
        <f t="shared" si="10"/>
        <v>11651.240000000002</v>
      </c>
      <c r="J31" s="60">
        <f t="shared" si="10"/>
        <v>12886.760000000002</v>
      </c>
      <c r="K31" s="110">
        <f t="shared" si="10"/>
        <v>9775.2400000000016</v>
      </c>
      <c r="L31" s="40">
        <f t="shared" si="10"/>
        <v>6906.1400000000031</v>
      </c>
      <c r="M31" s="60">
        <f t="shared" si="10"/>
        <v>-32121.42</v>
      </c>
    </row>
    <row r="32" spans="1:16">
      <c r="A32" s="45" t="s">
        <v>115</v>
      </c>
      <c r="C32" s="96">
        <f t="shared" si="10"/>
        <v>57723.829999999994</v>
      </c>
      <c r="D32" s="303">
        <f t="shared" ref="D32" si="14">D24-D18</f>
        <v>0</v>
      </c>
      <c r="E32" s="40">
        <f t="shared" si="10"/>
        <v>-29599.24</v>
      </c>
      <c r="F32" s="40">
        <f t="shared" si="10"/>
        <v>-32251.780000000002</v>
      </c>
      <c r="G32" s="99">
        <f t="shared" si="10"/>
        <v>-30250.469999999998</v>
      </c>
      <c r="H32" s="39">
        <f t="shared" si="10"/>
        <v>6286.43</v>
      </c>
      <c r="I32" s="40">
        <f t="shared" si="10"/>
        <v>97797.97</v>
      </c>
      <c r="J32" s="60">
        <f t="shared" si="10"/>
        <v>10948.460000000001</v>
      </c>
      <c r="K32" s="110">
        <f t="shared" si="10"/>
        <v>8940.3900000000012</v>
      </c>
      <c r="L32" s="40">
        <f t="shared" si="10"/>
        <v>7309.4100000000017</v>
      </c>
      <c r="M32" s="60">
        <f t="shared" si="10"/>
        <v>-18259.900000000001</v>
      </c>
    </row>
    <row r="33" spans="1:18">
      <c r="C33" s="95"/>
      <c r="D33" s="132"/>
      <c r="E33" s="16"/>
      <c r="F33" s="16"/>
      <c r="G33" s="16"/>
      <c r="H33" s="9"/>
      <c r="I33" s="16"/>
      <c r="J33" s="10"/>
      <c r="K33" s="16"/>
      <c r="L33" s="16"/>
      <c r="M33" s="10"/>
    </row>
    <row r="34" spans="1:18" ht="15.75" thickBot="1">
      <c r="A34" s="45" t="s">
        <v>47</v>
      </c>
      <c r="B34" s="363"/>
      <c r="C34" s="95"/>
      <c r="D34" s="132"/>
      <c r="E34" s="16"/>
      <c r="F34" s="16"/>
      <c r="G34" s="16"/>
      <c r="H34" s="9"/>
      <c r="I34" s="16"/>
      <c r="J34" s="10"/>
      <c r="K34" s="16"/>
      <c r="L34" s="16"/>
      <c r="M34" s="10"/>
    </row>
    <row r="35" spans="1:18">
      <c r="A35" s="45" t="s">
        <v>22</v>
      </c>
      <c r="B35" s="291">
        <v>344903.20999999967</v>
      </c>
      <c r="C35" s="96">
        <f t="shared" ref="C35:M38" si="15">B35+C29+B42</f>
        <v>654467.19999999972</v>
      </c>
      <c r="D35" s="303"/>
      <c r="E35" s="40">
        <f>C35+E29+C42+D29+D42</f>
        <v>633059.86999999976</v>
      </c>
      <c r="F35" s="40">
        <f t="shared" si="15"/>
        <v>568707.7999999997</v>
      </c>
      <c r="G35" s="99">
        <f t="shared" si="15"/>
        <v>488992.32999999973</v>
      </c>
      <c r="H35" s="39">
        <f t="shared" si="15"/>
        <v>486163.26999999973</v>
      </c>
      <c r="I35" s="40">
        <f t="shared" si="15"/>
        <v>514056.57999999973</v>
      </c>
      <c r="J35" s="60">
        <f t="shared" si="15"/>
        <v>554573.20999999961</v>
      </c>
      <c r="K35" s="110">
        <f t="shared" si="15"/>
        <v>598217.64999999956</v>
      </c>
      <c r="L35" s="40">
        <f t="shared" si="15"/>
        <v>625634.15999999957</v>
      </c>
      <c r="M35" s="60">
        <f t="shared" si="15"/>
        <v>518875.89999999956</v>
      </c>
    </row>
    <row r="36" spans="1:18">
      <c r="A36" s="45" t="s">
        <v>113</v>
      </c>
      <c r="B36" s="292">
        <v>537.00999999996009</v>
      </c>
      <c r="C36" s="96">
        <f t="shared" si="15"/>
        <v>67834.119999999981</v>
      </c>
      <c r="D36" s="303"/>
      <c r="E36" s="40">
        <f t="shared" ref="E36:E38" si="16">C36+E30+C43+D36+D43</f>
        <v>55603.249999999985</v>
      </c>
      <c r="F36" s="40">
        <f t="shared" si="15"/>
        <v>35311.719999999994</v>
      </c>
      <c r="G36" s="99">
        <f t="shared" si="15"/>
        <v>14732.069999999998</v>
      </c>
      <c r="H36" s="39">
        <f t="shared" si="15"/>
        <v>26841.480000000003</v>
      </c>
      <c r="I36" s="40">
        <f t="shared" si="15"/>
        <v>42968.900000000009</v>
      </c>
      <c r="J36" s="60">
        <f t="shared" si="15"/>
        <v>60809.770000000011</v>
      </c>
      <c r="K36" s="110">
        <f t="shared" si="15"/>
        <v>74787.010000000009</v>
      </c>
      <c r="L36" s="40">
        <f t="shared" si="15"/>
        <v>86379.810000000012</v>
      </c>
      <c r="M36" s="60">
        <f t="shared" si="15"/>
        <v>59276.540000000008</v>
      </c>
    </row>
    <row r="37" spans="1:18">
      <c r="A37" s="45" t="s">
        <v>114</v>
      </c>
      <c r="B37" s="292">
        <v>70692.570000000007</v>
      </c>
      <c r="C37" s="96">
        <f t="shared" si="15"/>
        <v>161753.53000000003</v>
      </c>
      <c r="D37" s="303"/>
      <c r="E37" s="40">
        <f t="shared" si="16"/>
        <v>141549.58000000005</v>
      </c>
      <c r="F37" s="40">
        <f t="shared" si="15"/>
        <v>119235.26000000004</v>
      </c>
      <c r="G37" s="99">
        <f t="shared" si="15"/>
        <v>99659.740000000034</v>
      </c>
      <c r="H37" s="39">
        <f t="shared" si="15"/>
        <v>110159.12000000004</v>
      </c>
      <c r="I37" s="40">
        <f t="shared" si="15"/>
        <v>122250.00000000004</v>
      </c>
      <c r="J37" s="60">
        <f t="shared" si="15"/>
        <v>135633.45000000004</v>
      </c>
      <c r="K37" s="110">
        <f t="shared" si="15"/>
        <v>145947.66000000003</v>
      </c>
      <c r="L37" s="40">
        <f t="shared" si="15"/>
        <v>153442.29000000004</v>
      </c>
      <c r="M37" s="60">
        <f t="shared" si="15"/>
        <v>121946.62000000004</v>
      </c>
    </row>
    <row r="38" spans="1:18" ht="15.75" thickBot="1">
      <c r="A38" s="45" t="s">
        <v>115</v>
      </c>
      <c r="B38" s="293">
        <v>-9036.5500000000211</v>
      </c>
      <c r="C38" s="96">
        <f t="shared" si="15"/>
        <v>48687.27999999997</v>
      </c>
      <c r="D38" s="303"/>
      <c r="E38" s="40">
        <f t="shared" si="16"/>
        <v>18727.929999999968</v>
      </c>
      <c r="F38" s="40">
        <f t="shared" si="15"/>
        <v>-13375.260000000035</v>
      </c>
      <c r="G38" s="99">
        <f t="shared" si="15"/>
        <v>-43614.04000000003</v>
      </c>
      <c r="H38" s="39">
        <f t="shared" si="15"/>
        <v>-37446.900000000031</v>
      </c>
      <c r="I38" s="40">
        <f t="shared" si="15"/>
        <v>60181.339999999967</v>
      </c>
      <c r="J38" s="60">
        <f t="shared" si="15"/>
        <v>71177.929999999978</v>
      </c>
      <c r="K38" s="110">
        <f t="shared" si="15"/>
        <v>80392.429999999978</v>
      </c>
      <c r="L38" s="40">
        <f t="shared" si="15"/>
        <v>88018.579999999987</v>
      </c>
      <c r="M38" s="60">
        <f t="shared" si="15"/>
        <v>70110.64</v>
      </c>
    </row>
    <row r="39" spans="1:18">
      <c r="C39" s="95"/>
      <c r="D39" s="132"/>
      <c r="E39" s="16"/>
      <c r="F39" s="16"/>
      <c r="G39" s="16"/>
      <c r="H39" s="9"/>
      <c r="I39" s="16"/>
      <c r="J39" s="10"/>
      <c r="K39" s="16"/>
      <c r="L39" s="16"/>
      <c r="M39" s="10"/>
    </row>
    <row r="40" spans="1:18">
      <c r="A40" s="38" t="s">
        <v>76</v>
      </c>
      <c r="B40" s="38"/>
      <c r="C40" s="97"/>
      <c r="D40" s="233"/>
      <c r="E40" s="278">
        <f>'PCR Cycle 3'!E45</f>
        <v>4.4318500000000002E-3</v>
      </c>
      <c r="F40" s="278">
        <f>'PCR Cycle 3'!F45</f>
        <v>4.2511800000000002E-3</v>
      </c>
      <c r="G40" s="278">
        <f>'PCR Cycle 3'!G45</f>
        <v>4.1871699999999996E-3</v>
      </c>
      <c r="H40" s="279">
        <f>'PCR Cycle 3'!H45</f>
        <v>4.1815100000000003E-3</v>
      </c>
      <c r="I40" s="278">
        <f>'PCR Cycle 3'!I45</f>
        <v>4.2662200000000003E-3</v>
      </c>
      <c r="J40" s="280">
        <f>'PCR Cycle 3'!J45</f>
        <v>4.1719399999999998E-3</v>
      </c>
      <c r="K40" s="80">
        <f>J40</f>
        <v>4.1719399999999998E-3</v>
      </c>
      <c r="L40" s="80">
        <f>J40</f>
        <v>4.1719399999999998E-3</v>
      </c>
      <c r="M40" s="82"/>
    </row>
    <row r="41" spans="1:18">
      <c r="A41" s="38" t="s">
        <v>31</v>
      </c>
      <c r="B41" s="38"/>
      <c r="C41" s="509"/>
      <c r="D41" s="304"/>
      <c r="E41" s="80"/>
      <c r="F41" s="80"/>
      <c r="G41" s="80"/>
      <c r="H41" s="81"/>
      <c r="I41" s="80"/>
      <c r="J41" s="82"/>
      <c r="K41" s="80"/>
      <c r="L41" s="80"/>
      <c r="M41" s="82"/>
    </row>
    <row r="42" spans="1:18">
      <c r="A42" s="45" t="s">
        <v>22</v>
      </c>
      <c r="C42" s="294">
        <v>-5470.7</v>
      </c>
      <c r="D42" s="308"/>
      <c r="E42" s="40">
        <f>ROUND((C35+C42+E29/2)*E$40,2)</f>
        <v>2840.94</v>
      </c>
      <c r="F42" s="40">
        <f t="shared" ref="F42:M45" si="17">ROUND((E35+E42+F29/2)*F$40,2)</f>
        <v>2560.5</v>
      </c>
      <c r="G42" s="99">
        <f t="shared" si="17"/>
        <v>2219.75</v>
      </c>
      <c r="H42" s="39">
        <f t="shared" si="17"/>
        <v>2043.45</v>
      </c>
      <c r="I42" s="110">
        <f t="shared" si="17"/>
        <v>2137.94</v>
      </c>
      <c r="J42" s="48">
        <f t="shared" si="17"/>
        <v>2233.59</v>
      </c>
      <c r="K42" s="142">
        <f t="shared" si="17"/>
        <v>2409.35</v>
      </c>
      <c r="L42" s="99">
        <f t="shared" si="17"/>
        <v>2557.94</v>
      </c>
      <c r="M42" s="60">
        <f t="shared" si="17"/>
        <v>0</v>
      </c>
      <c r="P42" s="161">
        <f t="shared" ref="P42:P45" si="18">-SUM(K42:M42)</f>
        <v>-4967.29</v>
      </c>
    </row>
    <row r="43" spans="1:18">
      <c r="A43" s="45" t="s">
        <v>113</v>
      </c>
      <c r="C43" s="294">
        <v>-540.1</v>
      </c>
      <c r="D43" s="308"/>
      <c r="E43" s="40">
        <f>ROUND((C36+C43+E30/2)*E$40,2)</f>
        <v>272.33</v>
      </c>
      <c r="F43" s="40">
        <f t="shared" si="17"/>
        <v>193.83</v>
      </c>
      <c r="G43" s="99">
        <f t="shared" si="17"/>
        <v>105.18</v>
      </c>
      <c r="H43" s="39">
        <f t="shared" si="17"/>
        <v>87.14</v>
      </c>
      <c r="I43" s="110">
        <f t="shared" si="17"/>
        <v>149.1</v>
      </c>
      <c r="J43" s="48">
        <f t="shared" si="17"/>
        <v>216.79</v>
      </c>
      <c r="K43" s="142">
        <f t="shared" si="17"/>
        <v>283.3</v>
      </c>
      <c r="L43" s="99">
        <f t="shared" si="17"/>
        <v>336.78</v>
      </c>
      <c r="M43" s="60">
        <f t="shared" si="17"/>
        <v>0</v>
      </c>
      <c r="P43" s="161">
        <f t="shared" si="18"/>
        <v>-620.07999999999993</v>
      </c>
    </row>
    <row r="44" spans="1:18">
      <c r="A44" s="45" t="s">
        <v>114</v>
      </c>
      <c r="C44" s="294">
        <v>-1318.1799999999998</v>
      </c>
      <c r="D44" s="308"/>
      <c r="E44" s="40">
        <f>ROUND((C37+C44+E31/2)*E$40,2)</f>
        <v>669.18</v>
      </c>
      <c r="F44" s="40">
        <f t="shared" si="17"/>
        <v>555.74</v>
      </c>
      <c r="G44" s="99">
        <f t="shared" si="17"/>
        <v>459.44</v>
      </c>
      <c r="H44" s="39">
        <f t="shared" si="17"/>
        <v>439.64</v>
      </c>
      <c r="I44" s="110">
        <f t="shared" si="17"/>
        <v>496.69</v>
      </c>
      <c r="J44" s="48">
        <f t="shared" si="17"/>
        <v>538.97</v>
      </c>
      <c r="K44" s="142">
        <f t="shared" si="17"/>
        <v>588.49</v>
      </c>
      <c r="L44" s="99">
        <f t="shared" si="17"/>
        <v>625.75</v>
      </c>
      <c r="M44" s="60">
        <f t="shared" si="17"/>
        <v>0</v>
      </c>
      <c r="P44" s="161">
        <f t="shared" si="18"/>
        <v>-1214.24</v>
      </c>
    </row>
    <row r="45" spans="1:18" ht="15.75" thickBot="1">
      <c r="A45" s="45" t="s">
        <v>115</v>
      </c>
      <c r="C45" s="294">
        <v>-360.11</v>
      </c>
      <c r="D45" s="308"/>
      <c r="E45" s="40">
        <f>ROUND((C38+C45+E32/2)*E$40,2)</f>
        <v>148.59</v>
      </c>
      <c r="F45" s="40">
        <f t="shared" si="17"/>
        <v>11.69</v>
      </c>
      <c r="G45" s="99">
        <f t="shared" si="17"/>
        <v>-119.29</v>
      </c>
      <c r="H45" s="39">
        <f t="shared" si="17"/>
        <v>-169.73</v>
      </c>
      <c r="I45" s="110">
        <f t="shared" si="17"/>
        <v>48.13</v>
      </c>
      <c r="J45" s="48">
        <f t="shared" si="17"/>
        <v>274.11</v>
      </c>
      <c r="K45" s="142">
        <f t="shared" si="17"/>
        <v>316.74</v>
      </c>
      <c r="L45" s="99">
        <f t="shared" si="17"/>
        <v>351.96</v>
      </c>
      <c r="M45" s="60">
        <f t="shared" si="17"/>
        <v>0</v>
      </c>
      <c r="P45" s="161">
        <f t="shared" si="18"/>
        <v>-668.7</v>
      </c>
    </row>
    <row r="46" spans="1:18" ht="16.5" thickTop="1" thickBot="1">
      <c r="A46" s="53" t="s">
        <v>20</v>
      </c>
      <c r="B46" s="53"/>
      <c r="C46" s="98">
        <v>0</v>
      </c>
      <c r="D46" s="236"/>
      <c r="E46" s="41">
        <f t="shared" ref="E46:M46" si="19">SUM(E42:E45)+SUM(E35:E38)-E49</f>
        <v>0</v>
      </c>
      <c r="F46" s="41">
        <f t="shared" si="19"/>
        <v>0</v>
      </c>
      <c r="G46" s="49">
        <f t="shared" si="19"/>
        <v>0</v>
      </c>
      <c r="H46" s="128">
        <f t="shared" si="19"/>
        <v>0</v>
      </c>
      <c r="I46" s="49">
        <f t="shared" si="19"/>
        <v>0</v>
      </c>
      <c r="J46" s="61">
        <f t="shared" si="19"/>
        <v>0</v>
      </c>
      <c r="K46" s="143">
        <f t="shared" si="19"/>
        <v>0</v>
      </c>
      <c r="L46" s="49">
        <f t="shared" si="19"/>
        <v>0</v>
      </c>
      <c r="M46" s="61">
        <f t="shared" si="19"/>
        <v>0</v>
      </c>
    </row>
    <row r="47" spans="1:18" ht="16.5" thickTop="1" thickBot="1">
      <c r="A47" s="53" t="s">
        <v>21</v>
      </c>
      <c r="B47" s="53"/>
      <c r="C47" s="98">
        <v>0</v>
      </c>
      <c r="D47" s="236"/>
      <c r="E47" s="41">
        <f t="shared" ref="E47:M47" si="20">SUM(E42:E45)-E26</f>
        <v>0</v>
      </c>
      <c r="F47" s="41">
        <f t="shared" si="20"/>
        <v>0</v>
      </c>
      <c r="G47" s="49">
        <f t="shared" si="20"/>
        <v>0</v>
      </c>
      <c r="H47" s="128">
        <f t="shared" si="20"/>
        <v>0</v>
      </c>
      <c r="I47" s="49">
        <f t="shared" si="20"/>
        <v>0</v>
      </c>
      <c r="J47" s="61">
        <f t="shared" si="20"/>
        <v>0</v>
      </c>
      <c r="K47" s="144">
        <f t="shared" si="20"/>
        <v>0</v>
      </c>
      <c r="L47" s="41">
        <f t="shared" si="20"/>
        <v>0</v>
      </c>
      <c r="M47" s="41">
        <f t="shared" si="20"/>
        <v>0</v>
      </c>
      <c r="Q47" s="476"/>
      <c r="R47" s="476"/>
    </row>
    <row r="48" spans="1:18" ht="16.5" thickTop="1" thickBot="1">
      <c r="C48" s="95"/>
      <c r="D48" s="132"/>
      <c r="E48" s="16"/>
      <c r="F48" s="16"/>
      <c r="G48" s="16"/>
      <c r="H48" s="9"/>
      <c r="I48" s="16"/>
      <c r="J48" s="10"/>
      <c r="K48" s="16"/>
      <c r="L48" s="16"/>
      <c r="M48" s="10"/>
      <c r="Q48" s="476"/>
      <c r="R48" s="476"/>
    </row>
    <row r="49" spans="1:18" ht="15.75" thickBot="1">
      <c r="A49" s="45" t="s">
        <v>30</v>
      </c>
      <c r="B49" s="107">
        <f>SUM(B35:B38)</f>
        <v>407096.23999999958</v>
      </c>
      <c r="C49" s="96">
        <f t="shared" ref="C49:M49" si="21">(C12-SUM(C15:C18))+SUM(C42:C45)+B49</f>
        <v>925053.03999999957</v>
      </c>
      <c r="D49" s="303"/>
      <c r="E49" s="40">
        <f>(E12-SUM(E15:E18))+SUM(D42:E45)+C49+SUM(D29:D32)</f>
        <v>852871.66999999958</v>
      </c>
      <c r="F49" s="40">
        <f t="shared" si="21"/>
        <v>713201.27999999956</v>
      </c>
      <c r="G49" s="99">
        <f t="shared" si="21"/>
        <v>562435.17999999959</v>
      </c>
      <c r="H49" s="39">
        <f t="shared" si="21"/>
        <v>588117.46999999951</v>
      </c>
      <c r="I49" s="40">
        <f t="shared" si="21"/>
        <v>742288.67999999947</v>
      </c>
      <c r="J49" s="60">
        <f t="shared" si="21"/>
        <v>825457.81999999948</v>
      </c>
      <c r="K49" s="142">
        <f t="shared" si="21"/>
        <v>902942.62999999954</v>
      </c>
      <c r="L49" s="99">
        <f t="shared" si="21"/>
        <v>957347.26999999955</v>
      </c>
      <c r="M49" s="60">
        <f t="shared" si="21"/>
        <v>770209.6999999996</v>
      </c>
      <c r="Q49" s="476"/>
      <c r="R49" s="476"/>
    </row>
    <row r="50" spans="1:18">
      <c r="A50" s="45" t="s">
        <v>10</v>
      </c>
      <c r="C50" s="108"/>
      <c r="D50" s="16"/>
      <c r="E50" s="16"/>
      <c r="F50" s="16"/>
      <c r="G50" s="16"/>
      <c r="H50" s="9"/>
      <c r="I50" s="16"/>
      <c r="J50" s="10"/>
      <c r="K50" s="16"/>
      <c r="L50" s="16"/>
      <c r="M50" s="10"/>
      <c r="Q50" s="476"/>
      <c r="R50" s="476"/>
    </row>
    <row r="51" spans="1:18" ht="15.75" thickBot="1">
      <c r="A51" s="36"/>
      <c r="B51" s="36"/>
      <c r="C51" s="129"/>
      <c r="D51" s="305"/>
      <c r="E51" s="43"/>
      <c r="F51" s="43"/>
      <c r="G51" s="43"/>
      <c r="H51" s="42"/>
      <c r="I51" s="43"/>
      <c r="J51" s="44"/>
      <c r="K51" s="43"/>
      <c r="L51" s="43"/>
      <c r="M51" s="44"/>
      <c r="Q51" s="476"/>
      <c r="R51" s="476"/>
    </row>
    <row r="52" spans="1:18">
      <c r="Q52" s="476"/>
      <c r="R52" s="476"/>
    </row>
    <row r="53" spans="1:18">
      <c r="A53" s="68" t="s">
        <v>9</v>
      </c>
      <c r="B53" s="68"/>
      <c r="C53" s="68"/>
      <c r="D53" s="68"/>
    </row>
    <row r="54" spans="1:18" ht="31.5" customHeight="1">
      <c r="A54" s="515" t="s">
        <v>132</v>
      </c>
      <c r="B54" s="515"/>
      <c r="C54" s="515"/>
      <c r="D54" s="515"/>
      <c r="E54" s="515"/>
      <c r="F54" s="515"/>
      <c r="G54" s="515"/>
      <c r="H54" s="515"/>
      <c r="I54" s="515"/>
      <c r="J54" s="515"/>
      <c r="K54" s="244"/>
      <c r="L54" s="244"/>
      <c r="M54" s="244"/>
    </row>
    <row r="55" spans="1:18" ht="62.1" customHeight="1">
      <c r="A55" s="515" t="s">
        <v>237</v>
      </c>
      <c r="B55" s="515"/>
      <c r="C55" s="515"/>
      <c r="D55" s="515"/>
      <c r="E55" s="515"/>
      <c r="F55" s="515"/>
      <c r="G55" s="515"/>
      <c r="H55" s="515"/>
      <c r="I55" s="515"/>
      <c r="J55" s="515"/>
      <c r="K55" s="244"/>
      <c r="L55" s="244"/>
    </row>
    <row r="56" spans="1:18" ht="18.75" customHeight="1">
      <c r="A56" s="515" t="s">
        <v>150</v>
      </c>
      <c r="B56" s="515"/>
      <c r="C56" s="515"/>
      <c r="D56" s="515"/>
      <c r="E56" s="515"/>
      <c r="F56" s="515"/>
      <c r="G56" s="515"/>
      <c r="H56" s="515"/>
      <c r="I56" s="515"/>
      <c r="J56" s="515"/>
      <c r="K56" s="244"/>
      <c r="L56" s="244"/>
      <c r="M56" s="244"/>
    </row>
    <row r="57" spans="1:18">
      <c r="A57" s="515" t="s">
        <v>189</v>
      </c>
      <c r="B57" s="515"/>
      <c r="C57" s="515"/>
      <c r="D57" s="515"/>
      <c r="E57" s="515"/>
      <c r="F57" s="515"/>
      <c r="G57" s="515"/>
      <c r="H57" s="515"/>
      <c r="I57" s="515"/>
      <c r="J57" s="515"/>
    </row>
    <row r="58" spans="1:18">
      <c r="A58" s="383" t="s">
        <v>239</v>
      </c>
      <c r="B58" s="383"/>
      <c r="C58" s="383"/>
      <c r="D58" s="383"/>
      <c r="E58" s="363"/>
      <c r="F58" s="363"/>
      <c r="G58" s="363"/>
      <c r="H58" s="363"/>
      <c r="I58" s="363"/>
      <c r="J58" s="363"/>
    </row>
    <row r="59" spans="1:18">
      <c r="A59" s="383" t="s">
        <v>83</v>
      </c>
      <c r="B59" s="383"/>
      <c r="C59" s="383"/>
      <c r="D59" s="383"/>
      <c r="E59" s="363"/>
      <c r="F59" s="363"/>
      <c r="G59" s="363"/>
      <c r="H59" s="363"/>
      <c r="I59" s="363"/>
      <c r="J59" s="363"/>
    </row>
    <row r="60" spans="1:18">
      <c r="A60" s="510"/>
      <c r="B60" s="383"/>
      <c r="C60" s="383"/>
      <c r="D60" s="383"/>
      <c r="E60" s="363"/>
      <c r="F60" s="363"/>
      <c r="G60" s="363"/>
      <c r="H60" s="363"/>
      <c r="I60" s="363"/>
      <c r="J60" s="363"/>
    </row>
    <row r="61" spans="1:18">
      <c r="A61" s="363"/>
      <c r="B61" s="363"/>
      <c r="C61" s="363"/>
      <c r="D61" s="363"/>
      <c r="E61" s="363"/>
      <c r="F61" s="363"/>
      <c r="G61" s="363"/>
      <c r="H61" s="363"/>
      <c r="I61" s="363"/>
      <c r="J61" s="363"/>
    </row>
  </sheetData>
  <mergeCells count="7">
    <mergeCell ref="A57:J57"/>
    <mergeCell ref="A56:J56"/>
    <mergeCell ref="E10:G10"/>
    <mergeCell ref="H10:J10"/>
    <mergeCell ref="K10:M10"/>
    <mergeCell ref="A54:J54"/>
    <mergeCell ref="A55:J55"/>
  </mergeCells>
  <pageMargins left="0.2" right="0.2" top="0.75" bottom="0.25" header="0.3" footer="0.3"/>
  <pageSetup scale="57" orientation="landscape" r:id="rId1"/>
  <headerFooter>
    <oddHeader>&amp;C&amp;F &amp;A&amp;R&amp;"Arial"&amp;10&amp;K000000CONFIDENTIAL</oddHeader>
    <oddFooter xml:space="preserve">&amp;R_x000D_&amp;1#&amp;"Calibri"&amp;10&amp;KA80000 Restricted – Sensitive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5FAA-E64F-44DA-8ADF-AFC1E38B881D}">
  <sheetPr>
    <pageSetUpPr fitToPage="1"/>
  </sheetPr>
  <dimension ref="A1:G35"/>
  <sheetViews>
    <sheetView workbookViewId="0"/>
  </sheetViews>
  <sheetFormatPr defaultColWidth="9.140625" defaultRowHeight="15"/>
  <cols>
    <col min="1" max="1" width="43.140625" style="45" customWidth="1"/>
    <col min="2" max="2" width="14.28515625" style="45" bestFit="1" customWidth="1"/>
    <col min="3" max="3" width="14.28515625" style="45" customWidth="1"/>
    <col min="4" max="4" width="13.28515625" style="45" bestFit="1" customWidth="1"/>
    <col min="5" max="6" width="13.42578125" style="45" bestFit="1" customWidth="1"/>
    <col min="7" max="16384" width="9.140625" style="45"/>
  </cols>
  <sheetData>
    <row r="1" spans="1:7">
      <c r="A1" s="62" t="str">
        <f>+'PTD Cycle 3'!A1</f>
        <v>Evergy Missouri West, Inc. - DSIM Rider Update Filed 06/01/2026</v>
      </c>
    </row>
    <row r="2" spans="1:7">
      <c r="A2" s="8" t="str">
        <f>+'PTD Cycle 3'!A2</f>
        <v>Projections for Cycle 3 July 2026 - June 2027 DSIM</v>
      </c>
    </row>
    <row r="3" spans="1:7" ht="45.75" customHeight="1">
      <c r="B3" s="513" t="s">
        <v>140</v>
      </c>
      <c r="C3" s="513"/>
      <c r="D3" s="513"/>
    </row>
    <row r="4" spans="1:7">
      <c r="B4" s="47" t="s">
        <v>15</v>
      </c>
      <c r="G4" s="476"/>
    </row>
    <row r="5" spans="1:7">
      <c r="A5" s="19" t="s">
        <v>141</v>
      </c>
      <c r="B5" s="246">
        <f>+B11</f>
        <v>0</v>
      </c>
      <c r="G5" s="476"/>
    </row>
    <row r="6" spans="1:7">
      <c r="A6" s="19" t="s">
        <v>142</v>
      </c>
      <c r="B6" s="246">
        <f>+C11</f>
        <v>0</v>
      </c>
      <c r="G6" s="476"/>
    </row>
    <row r="7" spans="1:7">
      <c r="A7" s="19" t="s">
        <v>143</v>
      </c>
      <c r="B7" s="246">
        <f>+D11</f>
        <v>0</v>
      </c>
      <c r="G7" s="476"/>
    </row>
    <row r="8" spans="1:7" ht="60">
      <c r="A8" s="19"/>
      <c r="B8" s="226" t="s">
        <v>141</v>
      </c>
      <c r="C8" s="226" t="s">
        <v>142</v>
      </c>
      <c r="D8" s="227" t="s">
        <v>143</v>
      </c>
      <c r="E8" s="227" t="s">
        <v>3</v>
      </c>
      <c r="G8" s="476"/>
    </row>
    <row r="9" spans="1:7">
      <c r="A9" s="19" t="s">
        <v>22</v>
      </c>
      <c r="B9" s="183">
        <v>0</v>
      </c>
      <c r="C9" s="183">
        <v>0</v>
      </c>
      <c r="D9" s="183">
        <v>0</v>
      </c>
      <c r="E9" s="183">
        <f>SUM(B9:D9)</f>
        <v>0</v>
      </c>
      <c r="G9" s="476"/>
    </row>
    <row r="10" spans="1:7">
      <c r="A10" s="19" t="s">
        <v>23</v>
      </c>
      <c r="B10" s="183">
        <v>0</v>
      </c>
      <c r="C10" s="183">
        <v>0</v>
      </c>
      <c r="D10" s="183">
        <v>0</v>
      </c>
      <c r="E10" s="183">
        <f>SUM(B10:D10)</f>
        <v>0</v>
      </c>
      <c r="G10" s="476"/>
    </row>
    <row r="11" spans="1:7" ht="15.75" thickBot="1">
      <c r="A11" s="19" t="s">
        <v>3</v>
      </c>
      <c r="B11" s="184">
        <f>SUM(B9:B10)</f>
        <v>0</v>
      </c>
      <c r="C11" s="184">
        <f>SUM(C9:C10)</f>
        <v>0</v>
      </c>
      <c r="D11" s="184">
        <f>SUM(D9:D10)</f>
        <v>0</v>
      </c>
      <c r="E11" s="184">
        <f>SUM(E9:E10)</f>
        <v>0</v>
      </c>
    </row>
    <row r="12" spans="1:7" ht="16.5" thickTop="1" thickBot="1">
      <c r="B12" s="185">
        <f>+B11-B5</f>
        <v>0</v>
      </c>
      <c r="C12" s="185">
        <f>+C11-B6</f>
        <v>0</v>
      </c>
      <c r="D12" s="185">
        <f>+D11-B7</f>
        <v>0</v>
      </c>
      <c r="E12" s="185">
        <f>ROUND(B5+B6+B7,2)-E11</f>
        <v>0</v>
      </c>
    </row>
    <row r="13" spans="1:7" ht="15.75" thickTop="1">
      <c r="B13" s="192"/>
      <c r="C13" s="252" t="s">
        <v>146</v>
      </c>
    </row>
    <row r="14" spans="1:7">
      <c r="A14" s="19" t="s">
        <v>91</v>
      </c>
      <c r="B14" s="183">
        <f>ROUND($E$10*C14,2)</f>
        <v>0</v>
      </c>
      <c r="C14" s="190"/>
    </row>
    <row r="15" spans="1:7">
      <c r="A15" s="19" t="s">
        <v>92</v>
      </c>
      <c r="B15" s="183">
        <f>ROUND($E$10*C15,2)</f>
        <v>0</v>
      </c>
      <c r="C15" s="190"/>
    </row>
    <row r="16" spans="1:7" ht="15.75" thickBot="1">
      <c r="A16" s="19" t="s">
        <v>93</v>
      </c>
      <c r="B16" s="183">
        <f>ROUND($E$10*C16,2)</f>
        <v>0</v>
      </c>
      <c r="C16" s="190"/>
    </row>
    <row r="17" spans="1:5" ht="16.5" thickTop="1" thickBot="1">
      <c r="A17" s="19" t="s">
        <v>94</v>
      </c>
      <c r="B17" s="31">
        <f>SUM(B14:B16)</f>
        <v>0</v>
      </c>
      <c r="C17" s="191">
        <f>SUM(C14:C16)</f>
        <v>0</v>
      </c>
    </row>
    <row r="18" spans="1:5" ht="15.75" thickTop="1"/>
    <row r="19" spans="1:5">
      <c r="A19" s="52" t="s">
        <v>9</v>
      </c>
    </row>
    <row r="20" spans="1:5" s="38" customFormat="1">
      <c r="A20" s="3" t="s">
        <v>169</v>
      </c>
      <c r="B20" s="45"/>
      <c r="C20" s="45"/>
      <c r="D20" s="45"/>
    </row>
    <row r="21" spans="1:5" s="38" customFormat="1">
      <c r="A21" s="3" t="s">
        <v>170</v>
      </c>
      <c r="B21" s="45"/>
      <c r="C21" s="45"/>
      <c r="D21" s="45"/>
    </row>
    <row r="22" spans="1:5" s="38" customFormat="1">
      <c r="A22" s="3" t="s">
        <v>171</v>
      </c>
      <c r="B22" s="45"/>
      <c r="C22" s="45"/>
      <c r="D22" s="45"/>
    </row>
    <row r="23" spans="1:5" s="38" customFormat="1">
      <c r="A23" s="3"/>
      <c r="B23" s="45"/>
      <c r="C23" s="45"/>
      <c r="D23" s="45"/>
    </row>
    <row r="25" spans="1:5">
      <c r="A25" s="3"/>
      <c r="D25" s="161"/>
    </row>
    <row r="26" spans="1:5">
      <c r="D26" s="161"/>
    </row>
    <row r="27" spans="1:5">
      <c r="B27" s="69"/>
      <c r="D27" s="161"/>
    </row>
    <row r="28" spans="1:5">
      <c r="A28" s="180"/>
      <c r="B28" s="181"/>
      <c r="D28" s="161"/>
    </row>
    <row r="29" spans="1:5">
      <c r="A29" s="180"/>
      <c r="B29" s="181"/>
      <c r="D29" s="161"/>
    </row>
    <row r="30" spans="1:5">
      <c r="A30" s="180"/>
      <c r="B30" s="181"/>
      <c r="D30" s="161"/>
    </row>
    <row r="31" spans="1:5">
      <c r="A31" s="180"/>
      <c r="B31" s="181"/>
      <c r="D31" s="161"/>
      <c r="E31" s="225"/>
    </row>
    <row r="32" spans="1:5">
      <c r="A32" s="180"/>
      <c r="B32" s="162"/>
      <c r="D32" s="161"/>
    </row>
    <row r="33" spans="1:4">
      <c r="A33" s="180"/>
      <c r="B33" s="162"/>
      <c r="D33" s="161"/>
    </row>
    <row r="34" spans="1:4" ht="17.25">
      <c r="A34" s="180"/>
      <c r="B34" s="162"/>
      <c r="D34" s="182"/>
    </row>
    <row r="35" spans="1:4">
      <c r="A35" s="180"/>
      <c r="D35" s="161"/>
    </row>
  </sheetData>
  <mergeCells count="1">
    <mergeCell ref="B3:D3"/>
  </mergeCells>
  <pageMargins left="0.2" right="0.2" top="0.75" bottom="0.25" header="0.3" footer="0.3"/>
  <pageSetup scale="99" orientation="landscape" r:id="rId1"/>
  <headerFooter>
    <oddHeader>&amp;C&amp;F &amp;A&amp;R&amp;"Arial"&amp;10&amp;K000000CONFIDENTIAL</oddHeader>
    <oddFooter xml:space="preserve">&amp;R_x000D_&amp;1#&amp;"Calibri"&amp;10&amp;KA80000 Restricted – Sensitive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5197-5D25-4B83-9D4C-E7AB3BA59864}">
  <sheetPr>
    <pageSetUpPr fitToPage="1"/>
  </sheetPr>
  <dimension ref="A1:AI60"/>
  <sheetViews>
    <sheetView zoomScale="85" zoomScaleNormal="85" workbookViewId="0"/>
  </sheetViews>
  <sheetFormatPr defaultColWidth="9.140625" defaultRowHeight="15" outlineLevelCol="1"/>
  <cols>
    <col min="1" max="1" width="37.7109375" style="45" customWidth="1"/>
    <col min="2" max="3" width="20.7109375" style="45" customWidth="1"/>
    <col min="4" max="4" width="15.42578125" style="45" customWidth="1"/>
    <col min="5" max="5" width="15.85546875" style="45" bestFit="1" customWidth="1"/>
    <col min="6" max="6" width="12.28515625" style="45" bestFit="1" customWidth="1"/>
    <col min="7" max="8" width="13.28515625" style="45" bestFit="1" customWidth="1"/>
    <col min="9" max="9" width="14.42578125" style="45" bestFit="1" customWidth="1"/>
    <col min="10" max="10" width="12.42578125" style="45" customWidth="1"/>
    <col min="11" max="11" width="12.85546875" style="45" customWidth="1"/>
    <col min="12" max="12" width="16" style="45" customWidth="1"/>
    <col min="13" max="13" width="15" style="45" bestFit="1" customWidth="1"/>
    <col min="14" max="14" width="16" style="45" bestFit="1" customWidth="1"/>
    <col min="15" max="15" width="17.85546875" style="45" hidden="1" customWidth="1" outlineLevel="1"/>
    <col min="16" max="16" width="15.28515625" style="45" bestFit="1" customWidth="1" collapsed="1"/>
    <col min="17" max="17" width="17.42578125" style="45" bestFit="1" customWidth="1"/>
    <col min="18" max="18" width="16.28515625" style="45" bestFit="1" customWidth="1"/>
    <col min="19" max="19" width="15.28515625" style="45" bestFit="1" customWidth="1"/>
    <col min="20" max="20" width="12.42578125" style="45" customWidth="1"/>
    <col min="21" max="22" width="14.28515625" style="45" bestFit="1" customWidth="1"/>
    <col min="23" max="16384" width="9.140625" style="45"/>
  </cols>
  <sheetData>
    <row r="1" spans="1:35">
      <c r="A1" s="3" t="str">
        <f>+'PTD Cycle 3'!A1</f>
        <v>Evergy Missouri West, Inc. - DSIM Rider Update Filed 06/01/2026</v>
      </c>
      <c r="B1" s="3"/>
      <c r="C1" s="3"/>
    </row>
    <row r="2" spans="1:35">
      <c r="D2" s="3" t="s">
        <v>144</v>
      </c>
    </row>
    <row r="3" spans="1:35" ht="30">
      <c r="D3" s="47" t="s">
        <v>40</v>
      </c>
      <c r="E3" s="69" t="s">
        <v>15</v>
      </c>
      <c r="F3" s="47" t="s">
        <v>1</v>
      </c>
      <c r="G3" s="69" t="s">
        <v>49</v>
      </c>
      <c r="H3" s="47" t="s">
        <v>8</v>
      </c>
      <c r="I3" s="47" t="s">
        <v>16</v>
      </c>
      <c r="S3" s="47"/>
    </row>
    <row r="4" spans="1:35">
      <c r="A4" s="19" t="s">
        <v>22</v>
      </c>
      <c r="B4" s="19"/>
      <c r="C4" s="19"/>
      <c r="D4" s="21">
        <f>SUM(C15:L15)</f>
        <v>-47404.899999999994</v>
      </c>
      <c r="E4" s="21">
        <f>SUM(C21:K21)</f>
        <v>-19503</v>
      </c>
      <c r="F4" s="21">
        <f>E4-D4</f>
        <v>27901.899999999994</v>
      </c>
      <c r="G4" s="350">
        <f>+B35</f>
        <v>-124964.8599999998</v>
      </c>
      <c r="H4" s="21">
        <f>SUM(C42:K42)</f>
        <v>-3229.21</v>
      </c>
      <c r="I4" s="24">
        <f>SUM(F4:H4)</f>
        <v>-100292.16999999981</v>
      </c>
      <c r="J4" s="276">
        <f>+I4-L35</f>
        <v>0</v>
      </c>
      <c r="M4" s="46"/>
    </row>
    <row r="5" spans="1:35">
      <c r="A5" s="19" t="s">
        <v>91</v>
      </c>
      <c r="B5" s="19"/>
      <c r="C5" s="19"/>
      <c r="D5" s="21">
        <f t="shared" ref="D5:D6" si="0">SUM(C16:L16)</f>
        <v>-17367.819999999996</v>
      </c>
      <c r="E5" s="21">
        <f t="shared" ref="E5:E6" si="1">SUM(C22:K22)</f>
        <v>-1816.0300000000002</v>
      </c>
      <c r="F5" s="21">
        <f t="shared" ref="F5:F6" si="2">E5-D5</f>
        <v>15551.789999999995</v>
      </c>
      <c r="G5" s="350">
        <f t="shared" ref="G5:G6" si="3">+B36</f>
        <v>-25075.62</v>
      </c>
      <c r="H5" s="21">
        <f t="shared" ref="H5:H6" si="4">SUM(C43:K43)</f>
        <v>-485.86</v>
      </c>
      <c r="I5" s="24">
        <f t="shared" ref="I5:I6" si="5">SUM(F5:H5)</f>
        <v>-10009.690000000004</v>
      </c>
      <c r="J5" s="276">
        <f>+I5-L36</f>
        <v>-1.6370904631912708E-11</v>
      </c>
      <c r="M5" s="46"/>
    </row>
    <row r="6" spans="1:35">
      <c r="A6" s="19" t="s">
        <v>92</v>
      </c>
      <c r="B6" s="19"/>
      <c r="C6" s="19"/>
      <c r="D6" s="21">
        <f t="shared" si="0"/>
        <v>-11709.81</v>
      </c>
      <c r="E6" s="21">
        <f t="shared" si="1"/>
        <v>-1376.22</v>
      </c>
      <c r="F6" s="21">
        <f t="shared" si="2"/>
        <v>10333.59</v>
      </c>
      <c r="G6" s="350">
        <f t="shared" si="3"/>
        <v>-28332.219999999965</v>
      </c>
      <c r="H6" s="21">
        <f t="shared" si="4"/>
        <v>-640.36</v>
      </c>
      <c r="I6" s="24">
        <f t="shared" si="5"/>
        <v>-18638.989999999965</v>
      </c>
      <c r="J6" s="276">
        <f>+I6-L37</f>
        <v>0</v>
      </c>
      <c r="M6" s="46"/>
    </row>
    <row r="7" spans="1:35" ht="15.75" thickBot="1">
      <c r="A7" s="19" t="s">
        <v>93</v>
      </c>
      <c r="B7" s="19"/>
      <c r="C7" s="19"/>
      <c r="D7" s="21">
        <f>SUM(C18:L18)</f>
        <v>721.53000000000088</v>
      </c>
      <c r="E7" s="21">
        <f>SUM(C24:K24)</f>
        <v>-1212.8</v>
      </c>
      <c r="F7" s="21">
        <f>E7-D7</f>
        <v>-1934.3300000000008</v>
      </c>
      <c r="G7" s="350">
        <f>+B38</f>
        <v>-12065.440000000046</v>
      </c>
      <c r="H7" s="21">
        <f>SUM(C45:K45)</f>
        <v>-294.34000000000003</v>
      </c>
      <c r="I7" s="24">
        <f>SUM(F7:H7)</f>
        <v>-14294.110000000048</v>
      </c>
      <c r="J7" s="276">
        <f>+I7-L38</f>
        <v>0</v>
      </c>
      <c r="M7" s="46"/>
    </row>
    <row r="8" spans="1:35" ht="16.5" thickTop="1" thickBot="1">
      <c r="D8" s="26">
        <f t="shared" ref="D8" si="6">SUM(D4:D7)</f>
        <v>-75760.999999999985</v>
      </c>
      <c r="E8" s="26">
        <f>SUM(E4:E7)</f>
        <v>-23908.05</v>
      </c>
      <c r="F8" s="26">
        <f>SUM(F4:F7)</f>
        <v>51852.949999999983</v>
      </c>
      <c r="G8" s="353">
        <f>SUM(G4:G7)</f>
        <v>-190438.13999999984</v>
      </c>
      <c r="H8" s="26">
        <f>SUM(H4:H7)</f>
        <v>-4649.7700000000004</v>
      </c>
      <c r="I8" s="26">
        <f>SUM(I4:I7)</f>
        <v>-143234.95999999982</v>
      </c>
      <c r="T8" s="5"/>
    </row>
    <row r="9" spans="1:35" ht="15.75" customHeight="1" thickTop="1" thickBot="1">
      <c r="G9" s="476"/>
      <c r="Q9" s="334"/>
    </row>
    <row r="10" spans="1:35" ht="60.75" thickBot="1">
      <c r="B10" s="106" t="str">
        <f>+'PCR Cycle 4'!B10</f>
        <v>Cumulative Over/Under Carryover From 12/01/2025 Filing</v>
      </c>
      <c r="C10" s="134" t="str">
        <f>+'PCR Cycle 4'!C10</f>
        <v>Reverse November 2025 - January 2026 Forecast From 12/01/2025 Filing</v>
      </c>
      <c r="D10" s="516" t="s">
        <v>28</v>
      </c>
      <c r="E10" s="516"/>
      <c r="F10" s="517"/>
      <c r="G10" s="530" t="s">
        <v>28</v>
      </c>
      <c r="H10" s="531"/>
      <c r="I10" s="532"/>
      <c r="J10" s="521" t="s">
        <v>6</v>
      </c>
      <c r="K10" s="522"/>
      <c r="L10" s="523"/>
      <c r="O10" s="253" t="s">
        <v>173</v>
      </c>
    </row>
    <row r="11" spans="1:35">
      <c r="A11" s="45" t="s">
        <v>79</v>
      </c>
      <c r="C11" s="491"/>
      <c r="D11" s="302">
        <f>+'PCR Cycle 4'!E$11</f>
        <v>45991</v>
      </c>
      <c r="E11" s="302">
        <f>+'PCR Cycle 4'!F$11</f>
        <v>46022</v>
      </c>
      <c r="F11" s="302">
        <f>+'PCR Cycle 4'!G$11</f>
        <v>46053</v>
      </c>
      <c r="G11" s="491">
        <f>+'PCR Cycle 4'!H$11</f>
        <v>46081</v>
      </c>
      <c r="H11" s="302">
        <f>+'PCR Cycle 4'!I$11</f>
        <v>46112</v>
      </c>
      <c r="I11" s="492">
        <f>+'PCR Cycle 4'!J$11</f>
        <v>46142</v>
      </c>
      <c r="J11" s="302">
        <f>+'PCR Cycle 4'!K$11</f>
        <v>46173</v>
      </c>
      <c r="K11" s="302">
        <f>+'PCR Cycle 4'!L$11</f>
        <v>46203</v>
      </c>
      <c r="L11" s="493">
        <f>+'PCR Cycle 4'!M$11</f>
        <v>46234</v>
      </c>
      <c r="P11" s="476"/>
      <c r="Q11" s="476"/>
      <c r="Z11" s="1"/>
      <c r="AA11" s="1"/>
      <c r="AB11" s="1"/>
      <c r="AC11" s="1"/>
      <c r="AD11" s="1"/>
      <c r="AE11" s="1"/>
      <c r="AF11" s="1"/>
      <c r="AG11" s="1"/>
      <c r="AH11" s="1"/>
      <c r="AI11" s="1"/>
    </row>
    <row r="12" spans="1:35">
      <c r="A12" s="45" t="s">
        <v>3</v>
      </c>
      <c r="C12" s="320">
        <v>0</v>
      </c>
      <c r="D12" s="100">
        <f>SUM(D21:D24)</f>
        <v>0</v>
      </c>
      <c r="E12" s="100">
        <f t="shared" ref="E12:H12" si="7">SUM(E21:E24)</f>
        <v>0</v>
      </c>
      <c r="F12" s="101">
        <f t="shared" si="7"/>
        <v>0</v>
      </c>
      <c r="G12" s="15">
        <f t="shared" si="7"/>
        <v>-23908.05</v>
      </c>
      <c r="H12" s="54">
        <f t="shared" si="7"/>
        <v>0</v>
      </c>
      <c r="I12" s="145">
        <f>+I21+I24</f>
        <v>0</v>
      </c>
      <c r="J12" s="138">
        <f t="shared" ref="J12:K12" si="8">+J21+J24</f>
        <v>0</v>
      </c>
      <c r="K12" s="75">
        <f t="shared" si="8"/>
        <v>0</v>
      </c>
      <c r="L12" s="76"/>
      <c r="O12" s="46">
        <f>-SUM(J12:L12)</f>
        <v>0</v>
      </c>
      <c r="P12" s="476"/>
      <c r="Q12" s="476"/>
    </row>
    <row r="13" spans="1:35">
      <c r="C13" s="95"/>
      <c r="D13" s="16"/>
      <c r="E13" s="16"/>
      <c r="F13" s="16"/>
      <c r="G13" s="27"/>
      <c r="H13" s="16"/>
      <c r="I13" s="10"/>
      <c r="J13" s="30"/>
      <c r="K13" s="30"/>
      <c r="L13" s="28"/>
      <c r="P13" s="476"/>
      <c r="Q13" s="476"/>
    </row>
    <row r="14" spans="1:35">
      <c r="A14" s="45" t="s">
        <v>78</v>
      </c>
      <c r="C14" s="95"/>
      <c r="D14" s="230"/>
      <c r="E14" s="230"/>
      <c r="F14" s="230"/>
      <c r="G14" s="511"/>
      <c r="H14" s="230"/>
      <c r="I14" s="502"/>
      <c r="J14" s="228"/>
      <c r="K14" s="228"/>
      <c r="L14" s="489"/>
      <c r="M14" s="383" t="s">
        <v>44</v>
      </c>
      <c r="N14" s="38"/>
      <c r="P14" s="476"/>
      <c r="Q14" s="476"/>
    </row>
    <row r="15" spans="1:35">
      <c r="A15" s="45" t="s">
        <v>22</v>
      </c>
      <c r="C15" s="320">
        <v>59187.66</v>
      </c>
      <c r="D15" s="119">
        <f>ROUND('[3]EMW Nov25'!$G115,2)</f>
        <v>-13259.4</v>
      </c>
      <c r="E15" s="119">
        <f>ROUND('[3]EMW Dec25'!$G115,2)</f>
        <v>-19289.93</v>
      </c>
      <c r="F15" s="119">
        <f>ROUND('[3]EMW Jan26'!$G115,2)</f>
        <v>-21063.86</v>
      </c>
      <c r="G15" s="15">
        <f>ROUND('[3]EMW Feb26'!$G115,2)</f>
        <v>-11486.2</v>
      </c>
      <c r="H15" s="54">
        <f>ROUND('[3]EMW Mar26'!$G115,2)</f>
        <v>-8174.84</v>
      </c>
      <c r="I15" s="145">
        <f>ROUND('[3]EMW Apr26'!$G115,2)</f>
        <v>-6832.62</v>
      </c>
      <c r="J15" s="110">
        <f>ROUND('PCR Cycle 4'!K20*$M15,2)</f>
        <v>-6507.86</v>
      </c>
      <c r="K15" s="40">
        <f>ROUND('PCR Cycle 4'!L20*$M15,2)</f>
        <v>-8265.4</v>
      </c>
      <c r="L15" s="60">
        <f>ROUND('PCR Cycle 4'!M20*$M15,2)</f>
        <v>-11712.45</v>
      </c>
      <c r="M15" s="71">
        <v>-3.0000000000000001E-5</v>
      </c>
      <c r="N15" s="4"/>
      <c r="O15" s="46">
        <f>-SUM(J15:L15)</f>
        <v>26485.71</v>
      </c>
      <c r="P15" s="476"/>
      <c r="Q15" s="476"/>
    </row>
    <row r="16" spans="1:35">
      <c r="A16" s="45" t="s">
        <v>91</v>
      </c>
      <c r="C16" s="320">
        <v>15646.210000000003</v>
      </c>
      <c r="D16" s="413">
        <f>ROUND('[3]EMW Nov25'!$G116,2)</f>
        <v>-5270.27</v>
      </c>
      <c r="E16" s="119">
        <f>ROUND('[3]EMW Dec25'!$G116,2)</f>
        <v>-6300.1</v>
      </c>
      <c r="F16" s="119">
        <f>ROUND('[3]EMW Jan26'!$G116,2)</f>
        <v>-6325.95</v>
      </c>
      <c r="G16" s="15">
        <f>ROUND('[3]EMW Feb26'!$G116,2)</f>
        <v>-2657.34</v>
      </c>
      <c r="H16" s="54">
        <f>ROUND('[3]EMW Mar26'!$G116,2)</f>
        <v>-2199.04</v>
      </c>
      <c r="I16" s="429">
        <f>ROUND('[3]EMW Apr26'!$G116,2)</f>
        <v>-2022.17</v>
      </c>
      <c r="J16" s="110">
        <f>ROUND('PCR Cycle 4'!K21*$M16,2)</f>
        <v>-2458.9699999999998</v>
      </c>
      <c r="K16" s="40">
        <f>ROUND('PCR Cycle 4'!L21*$M16,2)</f>
        <v>-2731.3</v>
      </c>
      <c r="L16" s="60">
        <f>ROUND('PCR Cycle 4'!M21*$M16,2)</f>
        <v>-3048.89</v>
      </c>
      <c r="M16" s="391">
        <v>-2.0000000000000002E-5</v>
      </c>
      <c r="N16" s="4"/>
      <c r="O16" s="46">
        <f t="shared" ref="O16:O18" si="9">-SUM(J16:L16)</f>
        <v>8239.16</v>
      </c>
      <c r="P16" s="476"/>
      <c r="Q16" s="476"/>
    </row>
    <row r="17" spans="1:17">
      <c r="A17" s="45" t="s">
        <v>92</v>
      </c>
      <c r="C17" s="320">
        <v>15346.6</v>
      </c>
      <c r="D17" s="413">
        <f>ROUND('[3]EMW Nov25'!$G117,2)</f>
        <v>-5055.46</v>
      </c>
      <c r="E17" s="119">
        <f>ROUND('[3]EMW Dec25'!$G117,2)</f>
        <v>-5439.62</v>
      </c>
      <c r="F17" s="119">
        <f>ROUND('[3]EMW Jan26'!$G117,2)</f>
        <v>-5172.2299999999996</v>
      </c>
      <c r="G17" s="15">
        <f>ROUND('[3]EMW Feb26'!$G117,2)</f>
        <v>-1833.46</v>
      </c>
      <c r="H17" s="54">
        <f>ROUND('[3]EMW Mar26'!$G117,2)</f>
        <v>-1727.21</v>
      </c>
      <c r="I17" s="429">
        <f>ROUND('[3]EMW Apr26'!$G117,2)</f>
        <v>-1628.2</v>
      </c>
      <c r="J17" s="110">
        <f>ROUND('PCR Cycle 4'!K22*$M17,2)</f>
        <v>-1850.45</v>
      </c>
      <c r="K17" s="40">
        <f>ROUND('PCR Cycle 4'!L22*$M17,2)</f>
        <v>-2055.39</v>
      </c>
      <c r="L17" s="60">
        <f>ROUND('PCR Cycle 4'!M22*$M17,2)</f>
        <v>-2294.39</v>
      </c>
      <c r="M17" s="391">
        <v>-2.0000000000000002E-5</v>
      </c>
      <c r="N17" s="4"/>
      <c r="O17" s="46">
        <f t="shared" si="9"/>
        <v>6200.23</v>
      </c>
      <c r="P17" s="476"/>
      <c r="Q17" s="476"/>
    </row>
    <row r="18" spans="1:17">
      <c r="A18" s="45" t="s">
        <v>93</v>
      </c>
      <c r="C18" s="320">
        <v>10661.27</v>
      </c>
      <c r="D18" s="413">
        <f>ROUND('[3]EMW Nov25'!$G118,2)</f>
        <v>-5405.61</v>
      </c>
      <c r="E18" s="119">
        <f>ROUND('[3]EMW Dec25'!$G118,2)</f>
        <v>-5675.36</v>
      </c>
      <c r="F18" s="119">
        <f>ROUND('[3]EMW Jan26'!$G118,2)</f>
        <v>-5471.84</v>
      </c>
      <c r="G18" s="15">
        <f>ROUND('[3]EMW Feb26'!$G118,2)</f>
        <v>-922.6</v>
      </c>
      <c r="H18" s="54">
        <f>ROUND('[3]EMW Mar26'!$G118,2)</f>
        <v>10802.17</v>
      </c>
      <c r="I18" s="429">
        <f>ROUND('[3]EMW Apr26'!$G118,2)</f>
        <v>-669.41</v>
      </c>
      <c r="J18" s="110">
        <f>ROUND('PCR Cycle 4'!K23*$M18,2)</f>
        <v>-775.1</v>
      </c>
      <c r="K18" s="40">
        <f>ROUND('PCR Cycle 4'!L23*$M18,2)</f>
        <v>-860.94</v>
      </c>
      <c r="L18" s="60">
        <f>ROUND('PCR Cycle 4'!M23*$M18,2)</f>
        <v>-961.05</v>
      </c>
      <c r="M18" s="391">
        <v>-1.0000000000000001E-5</v>
      </c>
      <c r="N18" s="4"/>
      <c r="O18" s="46">
        <f t="shared" si="9"/>
        <v>2597.09</v>
      </c>
      <c r="P18" s="476"/>
      <c r="Q18" s="476"/>
    </row>
    <row r="19" spans="1:17">
      <c r="C19" s="66"/>
      <c r="D19" s="67"/>
      <c r="E19" s="67"/>
      <c r="F19" s="67"/>
      <c r="G19" s="94"/>
      <c r="H19" s="67"/>
      <c r="I19" s="147"/>
      <c r="J19" s="55"/>
      <c r="K19" s="55"/>
      <c r="L19" s="12"/>
      <c r="N19" s="4"/>
      <c r="P19" s="476"/>
      <c r="Q19" s="476"/>
    </row>
    <row r="20" spans="1:17">
      <c r="A20" s="45" t="s">
        <v>80</v>
      </c>
      <c r="C20" s="35"/>
      <c r="D20" s="361"/>
      <c r="E20" s="361"/>
      <c r="F20" s="361"/>
      <c r="G20" s="360"/>
      <c r="H20" s="361"/>
      <c r="I20" s="433"/>
      <c r="J20" s="51"/>
      <c r="K20" s="51"/>
      <c r="L20" s="37"/>
      <c r="P20" s="476"/>
      <c r="Q20" s="476"/>
    </row>
    <row r="21" spans="1:17">
      <c r="A21" s="45" t="s">
        <v>22</v>
      </c>
      <c r="C21" s="320">
        <v>0</v>
      </c>
      <c r="D21" s="100">
        <v>0</v>
      </c>
      <c r="E21" s="100">
        <v>0</v>
      </c>
      <c r="F21" s="101">
        <v>0</v>
      </c>
      <c r="G21" s="15">
        <f>'[27]OA Summary by Rate Class'!$D16</f>
        <v>-19503</v>
      </c>
      <c r="H21" s="54">
        <v>0</v>
      </c>
      <c r="I21" s="145">
        <v>0</v>
      </c>
      <c r="J21" s="140">
        <v>0</v>
      </c>
      <c r="K21" s="125">
        <v>0</v>
      </c>
      <c r="L21" s="76"/>
      <c r="O21" s="46">
        <f>-SUM(J21:L21)</f>
        <v>0</v>
      </c>
      <c r="P21" s="476"/>
      <c r="Q21" s="476"/>
    </row>
    <row r="22" spans="1:17">
      <c r="A22" s="45" t="s">
        <v>91</v>
      </c>
      <c r="C22" s="320">
        <v>0</v>
      </c>
      <c r="D22" s="100">
        <v>0</v>
      </c>
      <c r="E22" s="100">
        <v>0</v>
      </c>
      <c r="F22" s="101">
        <v>0</v>
      </c>
      <c r="G22" s="345">
        <f>'[27]OA Summary by Rate Class'!$D17</f>
        <v>-1816.0300000000002</v>
      </c>
      <c r="H22" s="54">
        <v>0</v>
      </c>
      <c r="I22" s="145">
        <v>0</v>
      </c>
      <c r="J22" s="140">
        <v>0</v>
      </c>
      <c r="K22" s="125">
        <v>0</v>
      </c>
      <c r="L22" s="76"/>
      <c r="O22" s="46">
        <f t="shared" ref="O22:O26" si="10">-SUM(J22:L22)</f>
        <v>0</v>
      </c>
      <c r="P22" s="476"/>
      <c r="Q22" s="476"/>
    </row>
    <row r="23" spans="1:17">
      <c r="A23" s="45" t="s">
        <v>92</v>
      </c>
      <c r="C23" s="320">
        <v>0</v>
      </c>
      <c r="D23" s="100">
        <v>0</v>
      </c>
      <c r="E23" s="100">
        <v>0</v>
      </c>
      <c r="F23" s="101">
        <v>0</v>
      </c>
      <c r="G23" s="345">
        <f>'[27]OA Summary by Rate Class'!$D18</f>
        <v>-1376.22</v>
      </c>
      <c r="H23" s="54">
        <v>0</v>
      </c>
      <c r="I23" s="145">
        <v>0</v>
      </c>
      <c r="J23" s="140">
        <v>0</v>
      </c>
      <c r="K23" s="125">
        <v>0</v>
      </c>
      <c r="L23" s="76"/>
      <c r="O23" s="46">
        <f t="shared" si="10"/>
        <v>0</v>
      </c>
      <c r="P23" s="476"/>
      <c r="Q23" s="476"/>
    </row>
    <row r="24" spans="1:17">
      <c r="A24" s="45" t="s">
        <v>93</v>
      </c>
      <c r="C24" s="320">
        <v>0</v>
      </c>
      <c r="D24" s="100">
        <v>0</v>
      </c>
      <c r="E24" s="100">
        <v>0</v>
      </c>
      <c r="F24" s="101">
        <v>0</v>
      </c>
      <c r="G24" s="345">
        <f>'[27]OA Summary by Rate Class'!$D19</f>
        <v>-1212.8</v>
      </c>
      <c r="H24" s="54">
        <v>0</v>
      </c>
      <c r="I24" s="145">
        <v>0</v>
      </c>
      <c r="J24" s="140">
        <v>0</v>
      </c>
      <c r="K24" s="125">
        <v>0</v>
      </c>
      <c r="L24" s="76"/>
      <c r="N24" s="46"/>
      <c r="O24" s="46">
        <f t="shared" si="10"/>
        <v>0</v>
      </c>
      <c r="P24" s="476"/>
      <c r="Q24" s="476"/>
    </row>
    <row r="25" spans="1:17">
      <c r="C25" s="95"/>
      <c r="D25" s="17"/>
      <c r="E25" s="17"/>
      <c r="F25" s="17"/>
      <c r="G25" s="241"/>
      <c r="H25" s="17"/>
      <c r="I25" s="146"/>
      <c r="J25" s="55"/>
      <c r="K25" s="55"/>
      <c r="L25" s="12"/>
      <c r="P25" s="476"/>
      <c r="Q25" s="476"/>
    </row>
    <row r="26" spans="1:17" ht="15.75" thickBot="1">
      <c r="A26" s="3" t="s">
        <v>12</v>
      </c>
      <c r="B26" s="3"/>
      <c r="C26" s="322">
        <v>2340.23</v>
      </c>
      <c r="D26" s="119">
        <v>-1216.29</v>
      </c>
      <c r="E26" s="119">
        <v>-1032.24</v>
      </c>
      <c r="F26" s="120">
        <v>-864.54</v>
      </c>
      <c r="G26" s="25">
        <v>-802.13</v>
      </c>
      <c r="H26" s="109">
        <v>-833.98</v>
      </c>
      <c r="I26" s="150">
        <v>-793.06</v>
      </c>
      <c r="J26" s="141">
        <f>ROUND((SUM(I35:I38)+SUM(I42:I45)+SUM(J29:J32)/2)*J$40,2)</f>
        <v>-748.92</v>
      </c>
      <c r="K26" s="127">
        <f>ROUND((SUM(J35:J38)+SUM(J42:J45)+SUM(K29:K32)/2)*K$40,2)</f>
        <v>-698.84</v>
      </c>
      <c r="L26" s="79"/>
      <c r="O26" s="46">
        <f t="shared" si="10"/>
        <v>1447.76</v>
      </c>
      <c r="P26" s="476"/>
      <c r="Q26" s="476"/>
    </row>
    <row r="27" spans="1:17">
      <c r="C27" s="63"/>
      <c r="D27" s="130"/>
      <c r="E27" s="130"/>
      <c r="F27" s="131"/>
      <c r="G27" s="63"/>
      <c r="H27" s="32"/>
      <c r="I27" s="151"/>
      <c r="J27" s="33"/>
      <c r="K27" s="33"/>
      <c r="L27" s="59"/>
      <c r="P27" s="476"/>
      <c r="Q27" s="476"/>
    </row>
    <row r="28" spans="1:17">
      <c r="A28" s="45" t="s">
        <v>46</v>
      </c>
      <c r="C28" s="64"/>
      <c r="D28" s="131"/>
      <c r="E28" s="131"/>
      <c r="F28" s="131"/>
      <c r="G28" s="242"/>
      <c r="H28" s="34"/>
      <c r="I28" s="152"/>
      <c r="J28" s="33"/>
      <c r="K28" s="33"/>
      <c r="L28" s="59"/>
      <c r="P28" s="476"/>
      <c r="Q28" s="476"/>
    </row>
    <row r="29" spans="1:17">
      <c r="A29" s="45" t="s">
        <v>22</v>
      </c>
      <c r="C29" s="96">
        <f>C21-C15</f>
        <v>-59187.66</v>
      </c>
      <c r="D29" s="40">
        <f t="shared" ref="D29:L29" si="11">D21-D15</f>
        <v>13259.4</v>
      </c>
      <c r="E29" s="40">
        <f t="shared" si="11"/>
        <v>19289.93</v>
      </c>
      <c r="F29" s="99">
        <f t="shared" si="11"/>
        <v>21063.86</v>
      </c>
      <c r="G29" s="39">
        <f t="shared" si="11"/>
        <v>-8016.7999999999993</v>
      </c>
      <c r="H29" s="40">
        <f t="shared" si="11"/>
        <v>8174.84</v>
      </c>
      <c r="I29" s="60">
        <f t="shared" si="11"/>
        <v>6832.62</v>
      </c>
      <c r="J29" s="110">
        <f t="shared" si="11"/>
        <v>6507.86</v>
      </c>
      <c r="K29" s="40">
        <f t="shared" si="11"/>
        <v>8265.4</v>
      </c>
      <c r="L29" s="60">
        <f t="shared" si="11"/>
        <v>11712.45</v>
      </c>
      <c r="P29" s="476"/>
      <c r="Q29" s="476"/>
    </row>
    <row r="30" spans="1:17">
      <c r="A30" s="45" t="s">
        <v>91</v>
      </c>
      <c r="C30" s="96">
        <f t="shared" ref="C30:L30" si="12">C22-C16</f>
        <v>-15646.210000000003</v>
      </c>
      <c r="D30" s="40">
        <f t="shared" si="12"/>
        <v>5270.27</v>
      </c>
      <c r="E30" s="40">
        <f t="shared" si="12"/>
        <v>6300.1</v>
      </c>
      <c r="F30" s="99">
        <f t="shared" si="12"/>
        <v>6325.95</v>
      </c>
      <c r="G30" s="39">
        <f t="shared" si="12"/>
        <v>841.31</v>
      </c>
      <c r="H30" s="40">
        <f t="shared" si="12"/>
        <v>2199.04</v>
      </c>
      <c r="I30" s="60">
        <f t="shared" si="12"/>
        <v>2022.17</v>
      </c>
      <c r="J30" s="110">
        <f t="shared" si="12"/>
        <v>2458.9699999999998</v>
      </c>
      <c r="K30" s="40">
        <f t="shared" si="12"/>
        <v>2731.3</v>
      </c>
      <c r="L30" s="60">
        <f t="shared" si="12"/>
        <v>3048.89</v>
      </c>
      <c r="P30" s="476"/>
      <c r="Q30" s="476"/>
    </row>
    <row r="31" spans="1:17">
      <c r="A31" s="45" t="s">
        <v>92</v>
      </c>
      <c r="C31" s="96">
        <f t="shared" ref="C31:L31" si="13">C23-C17</f>
        <v>-15346.6</v>
      </c>
      <c r="D31" s="40">
        <f t="shared" si="13"/>
        <v>5055.46</v>
      </c>
      <c r="E31" s="40">
        <f t="shared" si="13"/>
        <v>5439.62</v>
      </c>
      <c r="F31" s="99">
        <f t="shared" si="13"/>
        <v>5172.2299999999996</v>
      </c>
      <c r="G31" s="39">
        <f t="shared" si="13"/>
        <v>457.24</v>
      </c>
      <c r="H31" s="40">
        <f t="shared" si="13"/>
        <v>1727.21</v>
      </c>
      <c r="I31" s="60">
        <f t="shared" si="13"/>
        <v>1628.2</v>
      </c>
      <c r="J31" s="110">
        <f t="shared" si="13"/>
        <v>1850.45</v>
      </c>
      <c r="K31" s="40">
        <f t="shared" si="13"/>
        <v>2055.39</v>
      </c>
      <c r="L31" s="60">
        <f t="shared" si="13"/>
        <v>2294.39</v>
      </c>
      <c r="P31" s="476"/>
      <c r="Q31" s="476"/>
    </row>
    <row r="32" spans="1:17">
      <c r="A32" s="45" t="s">
        <v>93</v>
      </c>
      <c r="C32" s="96">
        <f t="shared" ref="C32:L32" si="14">C24-C18</f>
        <v>-10661.27</v>
      </c>
      <c r="D32" s="40">
        <f t="shared" si="14"/>
        <v>5405.61</v>
      </c>
      <c r="E32" s="40">
        <f t="shared" si="14"/>
        <v>5675.36</v>
      </c>
      <c r="F32" s="99">
        <f t="shared" si="14"/>
        <v>5471.84</v>
      </c>
      <c r="G32" s="39">
        <f t="shared" si="14"/>
        <v>-290.19999999999993</v>
      </c>
      <c r="H32" s="40">
        <f t="shared" si="14"/>
        <v>-10802.17</v>
      </c>
      <c r="I32" s="60">
        <f t="shared" si="14"/>
        <v>669.41</v>
      </c>
      <c r="J32" s="110">
        <f t="shared" si="14"/>
        <v>775.1</v>
      </c>
      <c r="K32" s="40">
        <f t="shared" si="14"/>
        <v>860.94</v>
      </c>
      <c r="L32" s="60">
        <f t="shared" si="14"/>
        <v>961.05</v>
      </c>
      <c r="P32" s="476"/>
      <c r="Q32" s="476"/>
    </row>
    <row r="33" spans="1:17">
      <c r="C33" s="95"/>
      <c r="D33" s="16"/>
      <c r="E33" s="16"/>
      <c r="F33" s="16"/>
      <c r="G33" s="27"/>
      <c r="H33" s="16"/>
      <c r="I33" s="10"/>
      <c r="J33" s="16"/>
      <c r="K33" s="16"/>
      <c r="L33" s="10"/>
      <c r="P33" s="476"/>
      <c r="Q33" s="476"/>
    </row>
    <row r="34" spans="1:17" ht="15.75" thickBot="1">
      <c r="A34" s="45" t="s">
        <v>47</v>
      </c>
      <c r="B34" s="363"/>
      <c r="C34" s="95"/>
      <c r="D34" s="16"/>
      <c r="E34" s="16"/>
      <c r="F34" s="16"/>
      <c r="G34" s="27"/>
      <c r="H34" s="16"/>
      <c r="I34" s="10"/>
      <c r="J34" s="16"/>
      <c r="K34" s="16"/>
      <c r="L34" s="10"/>
      <c r="P34" s="476"/>
      <c r="Q34" s="476"/>
    </row>
    <row r="35" spans="1:17">
      <c r="A35" s="45" t="s">
        <v>22</v>
      </c>
      <c r="B35" s="291">
        <v>-124964.8599999998</v>
      </c>
      <c r="C35" s="96">
        <f>B35+C29+B42</f>
        <v>-184152.51999999979</v>
      </c>
      <c r="D35" s="40">
        <f t="shared" ref="D35:L35" si="15">C35+D29+C42</f>
        <v>-169395.3799999998</v>
      </c>
      <c r="E35" s="40">
        <f t="shared" si="15"/>
        <v>-150885.5699999998</v>
      </c>
      <c r="F35" s="99">
        <f t="shared" si="15"/>
        <v>-130504.14999999981</v>
      </c>
      <c r="G35" s="39">
        <f t="shared" si="15"/>
        <v>-139111.48999999982</v>
      </c>
      <c r="H35" s="40">
        <f t="shared" si="15"/>
        <v>-131501.57999999981</v>
      </c>
      <c r="I35" s="60">
        <f t="shared" si="15"/>
        <v>-125247.40999999981</v>
      </c>
      <c r="J35" s="110">
        <f t="shared" si="15"/>
        <v>-119276.32999999981</v>
      </c>
      <c r="K35" s="40">
        <f t="shared" si="15"/>
        <v>-111522.11999999982</v>
      </c>
      <c r="L35" s="60">
        <f t="shared" si="15"/>
        <v>-100292.16999999982</v>
      </c>
      <c r="P35" s="476"/>
      <c r="Q35" s="476"/>
    </row>
    <row r="36" spans="1:17">
      <c r="A36" s="45" t="s">
        <v>91</v>
      </c>
      <c r="B36" s="292">
        <v>-25075.62</v>
      </c>
      <c r="C36" s="96">
        <f t="shared" ref="C36:L36" si="16">B36+C30+B43</f>
        <v>-40721.83</v>
      </c>
      <c r="D36" s="40">
        <f t="shared" si="16"/>
        <v>-35130.799999999996</v>
      </c>
      <c r="E36" s="40">
        <f t="shared" si="16"/>
        <v>-28998.069999999996</v>
      </c>
      <c r="F36" s="99">
        <f t="shared" si="16"/>
        <v>-22808.789999999994</v>
      </c>
      <c r="G36" s="39">
        <f t="shared" si="16"/>
        <v>-22076.229999999992</v>
      </c>
      <c r="H36" s="40">
        <f t="shared" si="16"/>
        <v>-19971.259999999991</v>
      </c>
      <c r="I36" s="60">
        <f t="shared" si="16"/>
        <v>-18038.979999999989</v>
      </c>
      <c r="J36" s="110">
        <f t="shared" si="16"/>
        <v>-15659.489999999989</v>
      </c>
      <c r="K36" s="40">
        <f t="shared" si="16"/>
        <v>-12998.649999999987</v>
      </c>
      <c r="L36" s="60">
        <f t="shared" si="16"/>
        <v>-10009.689999999988</v>
      </c>
      <c r="P36" s="476"/>
      <c r="Q36" s="476"/>
    </row>
    <row r="37" spans="1:17">
      <c r="A37" s="45" t="s">
        <v>92</v>
      </c>
      <c r="B37" s="292">
        <v>-28332.219999999965</v>
      </c>
      <c r="C37" s="96">
        <f t="shared" ref="C37:L37" si="17">B37+C31+B44</f>
        <v>-43678.819999999963</v>
      </c>
      <c r="D37" s="40">
        <f t="shared" si="17"/>
        <v>-38275.419999999962</v>
      </c>
      <c r="E37" s="40">
        <f t="shared" si="17"/>
        <v>-33016.629999999961</v>
      </c>
      <c r="F37" s="99">
        <f t="shared" si="17"/>
        <v>-27996.31999999996</v>
      </c>
      <c r="G37" s="39">
        <f t="shared" si="17"/>
        <v>-27667.129999999957</v>
      </c>
      <c r="H37" s="40">
        <f t="shared" si="17"/>
        <v>-26056.56999999996</v>
      </c>
      <c r="I37" s="60">
        <f t="shared" si="17"/>
        <v>-24543.219999999958</v>
      </c>
      <c r="J37" s="110">
        <f t="shared" si="17"/>
        <v>-22798.559999999958</v>
      </c>
      <c r="K37" s="40">
        <f t="shared" si="17"/>
        <v>-20842.139999999959</v>
      </c>
      <c r="L37" s="60">
        <f t="shared" si="17"/>
        <v>-18638.989999999962</v>
      </c>
      <c r="P37" s="476"/>
      <c r="Q37" s="476"/>
    </row>
    <row r="38" spans="1:17" ht="15.75" thickBot="1">
      <c r="A38" s="45" t="s">
        <v>93</v>
      </c>
      <c r="B38" s="293">
        <v>-12065.440000000046</v>
      </c>
      <c r="C38" s="96">
        <f t="shared" ref="C38:L38" si="18">B38+C32+B45</f>
        <v>-22726.710000000046</v>
      </c>
      <c r="D38" s="40">
        <f t="shared" si="18"/>
        <v>-17147.310000000045</v>
      </c>
      <c r="E38" s="40">
        <f t="shared" si="18"/>
        <v>-11559.920000000044</v>
      </c>
      <c r="F38" s="99">
        <f t="shared" si="18"/>
        <v>-6149.2900000000436</v>
      </c>
      <c r="G38" s="39">
        <f t="shared" si="18"/>
        <v>-6476.6900000000433</v>
      </c>
      <c r="H38" s="40">
        <f t="shared" si="18"/>
        <v>-17305.340000000044</v>
      </c>
      <c r="I38" s="60">
        <f t="shared" si="18"/>
        <v>-16686.720000000045</v>
      </c>
      <c r="J38" s="110">
        <f t="shared" si="18"/>
        <v>-15982.630000000045</v>
      </c>
      <c r="K38" s="40">
        <f t="shared" si="18"/>
        <v>-15189.990000000043</v>
      </c>
      <c r="L38" s="60">
        <f t="shared" si="18"/>
        <v>-14294.110000000044</v>
      </c>
      <c r="P38" s="476"/>
      <c r="Q38" s="476"/>
    </row>
    <row r="39" spans="1:17">
      <c r="C39" s="95"/>
      <c r="D39" s="16"/>
      <c r="E39" s="16"/>
      <c r="F39" s="16"/>
      <c r="G39" s="9"/>
      <c r="H39" s="16"/>
      <c r="I39" s="10"/>
      <c r="J39" s="16"/>
      <c r="K39" s="16"/>
      <c r="L39" s="10"/>
      <c r="P39" s="476"/>
      <c r="Q39" s="476"/>
    </row>
    <row r="40" spans="1:17">
      <c r="A40" s="38" t="s">
        <v>76</v>
      </c>
      <c r="B40" s="38"/>
      <c r="C40" s="97"/>
      <c r="D40" s="278">
        <f>'PCR Cycle 3'!E45</f>
        <v>4.4318500000000002E-3</v>
      </c>
      <c r="E40" s="278">
        <f>'PCR Cycle 3'!F45</f>
        <v>4.2511800000000002E-3</v>
      </c>
      <c r="F40" s="278">
        <f>'PCR Cycle 3'!G45</f>
        <v>4.1871699999999996E-3</v>
      </c>
      <c r="G40" s="279">
        <f>'PCR Cycle 3'!H45</f>
        <v>4.1815100000000003E-3</v>
      </c>
      <c r="H40" s="278">
        <f>'PCR Cycle 3'!I45</f>
        <v>4.2662200000000003E-3</v>
      </c>
      <c r="I40" s="280">
        <f>'PCR Cycle 3'!J45</f>
        <v>4.1719399999999998E-3</v>
      </c>
      <c r="J40" s="327">
        <f>I40</f>
        <v>4.1719399999999998E-3</v>
      </c>
      <c r="K40" s="327">
        <f>I40</f>
        <v>4.1719399999999998E-3</v>
      </c>
      <c r="L40" s="82"/>
      <c r="P40" s="476"/>
      <c r="Q40" s="476"/>
    </row>
    <row r="41" spans="1:17">
      <c r="A41" s="38" t="s">
        <v>31</v>
      </c>
      <c r="B41" s="38"/>
      <c r="C41" s="509"/>
      <c r="D41" s="80"/>
      <c r="E41" s="80"/>
      <c r="F41" s="80"/>
      <c r="G41" s="81"/>
      <c r="H41" s="80"/>
      <c r="I41" s="82"/>
      <c r="J41" s="80"/>
      <c r="K41" s="80"/>
      <c r="L41" s="82"/>
      <c r="P41" s="476"/>
      <c r="Q41" s="476"/>
    </row>
    <row r="42" spans="1:17">
      <c r="A42" s="45" t="s">
        <v>22</v>
      </c>
      <c r="C42" s="294">
        <v>1497.74</v>
      </c>
      <c r="D42" s="40">
        <f>ROUND((C35+C42+D29/2)*D$40,2)</f>
        <v>-780.12</v>
      </c>
      <c r="E42" s="40">
        <f t="shared" ref="E42:L42" si="19">ROUND((D35+D42+E29/2)*E$40,2)</f>
        <v>-682.44</v>
      </c>
      <c r="F42" s="99">
        <f t="shared" si="19"/>
        <v>-590.54</v>
      </c>
      <c r="G42" s="39">
        <f t="shared" si="19"/>
        <v>-564.92999999999995</v>
      </c>
      <c r="H42" s="110">
        <f t="shared" si="19"/>
        <v>-578.45000000000005</v>
      </c>
      <c r="I42" s="48">
        <f t="shared" si="19"/>
        <v>-536.78</v>
      </c>
      <c r="J42" s="142">
        <f t="shared" si="19"/>
        <v>-511.19</v>
      </c>
      <c r="K42" s="99">
        <f t="shared" si="19"/>
        <v>-482.5</v>
      </c>
      <c r="L42" s="60">
        <f t="shared" si="19"/>
        <v>0</v>
      </c>
      <c r="O42" s="46">
        <f>-SUM(J42:L42)</f>
        <v>993.69</v>
      </c>
      <c r="P42" s="476"/>
      <c r="Q42" s="476"/>
    </row>
    <row r="43" spans="1:17">
      <c r="A43" s="45" t="s">
        <v>91</v>
      </c>
      <c r="C43" s="294">
        <v>320.76</v>
      </c>
      <c r="D43" s="40">
        <f t="shared" ref="D43:L43" si="20">ROUND((C36+C43+D30/2)*D$40,2)</f>
        <v>-167.37</v>
      </c>
      <c r="E43" s="40">
        <f t="shared" si="20"/>
        <v>-136.66999999999999</v>
      </c>
      <c r="F43" s="99">
        <f t="shared" si="20"/>
        <v>-108.75</v>
      </c>
      <c r="G43" s="39">
        <f t="shared" si="20"/>
        <v>-94.07</v>
      </c>
      <c r="H43" s="110">
        <f t="shared" si="20"/>
        <v>-89.89</v>
      </c>
      <c r="I43" s="48">
        <f t="shared" si="20"/>
        <v>-79.48</v>
      </c>
      <c r="J43" s="142">
        <f t="shared" si="20"/>
        <v>-70.459999999999994</v>
      </c>
      <c r="K43" s="99">
        <f t="shared" si="20"/>
        <v>-59.93</v>
      </c>
      <c r="L43" s="60">
        <f t="shared" si="20"/>
        <v>0</v>
      </c>
      <c r="O43" s="46">
        <f t="shared" ref="O43:O45" si="21">-SUM(J43:L43)</f>
        <v>130.38999999999999</v>
      </c>
      <c r="P43" s="476"/>
      <c r="Q43" s="476"/>
    </row>
    <row r="44" spans="1:17">
      <c r="A44" s="45" t="s">
        <v>92</v>
      </c>
      <c r="C44" s="294">
        <v>347.94000000000005</v>
      </c>
      <c r="D44" s="40">
        <f t="shared" ref="D44:L44" si="22">ROUND((C37+C44+D31/2)*D$40,2)</f>
        <v>-180.83</v>
      </c>
      <c r="E44" s="40">
        <f t="shared" si="22"/>
        <v>-151.91999999999999</v>
      </c>
      <c r="F44" s="99">
        <f t="shared" si="22"/>
        <v>-128.05000000000001</v>
      </c>
      <c r="G44" s="39">
        <f t="shared" si="22"/>
        <v>-116.65</v>
      </c>
      <c r="H44" s="110">
        <f t="shared" si="22"/>
        <v>-114.85</v>
      </c>
      <c r="I44" s="48">
        <f t="shared" si="22"/>
        <v>-105.79</v>
      </c>
      <c r="J44" s="142">
        <f t="shared" si="22"/>
        <v>-98.97</v>
      </c>
      <c r="K44" s="99">
        <f t="shared" si="22"/>
        <v>-91.24</v>
      </c>
      <c r="L44" s="60">
        <f t="shared" si="22"/>
        <v>0</v>
      </c>
      <c r="O44" s="46">
        <f t="shared" si="21"/>
        <v>190.20999999999998</v>
      </c>
      <c r="P44" s="476"/>
      <c r="Q44" s="476"/>
    </row>
    <row r="45" spans="1:17" ht="15.75" thickBot="1">
      <c r="A45" s="45" t="s">
        <v>93</v>
      </c>
      <c r="C45" s="294">
        <v>173.79000000000002</v>
      </c>
      <c r="D45" s="40">
        <f t="shared" ref="D45:L45" si="23">ROUND((C38+C45+D32/2)*D$40,2)</f>
        <v>-87.97</v>
      </c>
      <c r="E45" s="40">
        <f t="shared" si="23"/>
        <v>-61.21</v>
      </c>
      <c r="F45" s="99">
        <f t="shared" si="23"/>
        <v>-37.200000000000003</v>
      </c>
      <c r="G45" s="39">
        <f t="shared" si="23"/>
        <v>-26.48</v>
      </c>
      <c r="H45" s="110">
        <f t="shared" si="23"/>
        <v>-50.79</v>
      </c>
      <c r="I45" s="48">
        <f t="shared" si="23"/>
        <v>-71.010000000000005</v>
      </c>
      <c r="J45" s="142">
        <f t="shared" si="23"/>
        <v>-68.3</v>
      </c>
      <c r="K45" s="99">
        <f t="shared" si="23"/>
        <v>-65.17</v>
      </c>
      <c r="L45" s="60">
        <f t="shared" si="23"/>
        <v>0</v>
      </c>
      <c r="O45" s="46">
        <f t="shared" si="21"/>
        <v>133.47</v>
      </c>
      <c r="P45" s="476"/>
      <c r="Q45" s="476"/>
    </row>
    <row r="46" spans="1:17" ht="16.5" thickTop="1" thickBot="1">
      <c r="A46" s="53" t="s">
        <v>20</v>
      </c>
      <c r="B46" s="53"/>
      <c r="C46" s="98">
        <v>0</v>
      </c>
      <c r="D46" s="41">
        <f t="shared" ref="D46:I46" si="24">SUM(D42:D45)+SUM(D35:D38)-D49</f>
        <v>0</v>
      </c>
      <c r="E46" s="41">
        <f t="shared" si="24"/>
        <v>0</v>
      </c>
      <c r="F46" s="49">
        <f t="shared" ref="F46:H46" si="25">SUM(F42:F45)+SUM(F35:F38)-F49</f>
        <v>0</v>
      </c>
      <c r="G46" s="243">
        <f t="shared" si="25"/>
        <v>0</v>
      </c>
      <c r="H46" s="49">
        <f t="shared" si="25"/>
        <v>0</v>
      </c>
      <c r="I46" s="61">
        <f t="shared" si="24"/>
        <v>0</v>
      </c>
      <c r="J46" s="143">
        <f t="shared" ref="J46:L46" si="26">SUM(J42:J45)+SUM(J35:J38)-J49</f>
        <v>0</v>
      </c>
      <c r="K46" s="49">
        <f t="shared" si="26"/>
        <v>0</v>
      </c>
      <c r="L46" s="61">
        <f t="shared" si="26"/>
        <v>0</v>
      </c>
      <c r="P46" s="476"/>
      <c r="Q46" s="476"/>
    </row>
    <row r="47" spans="1:17" ht="16.5" thickTop="1" thickBot="1">
      <c r="A47" s="53" t="s">
        <v>21</v>
      </c>
      <c r="B47" s="53"/>
      <c r="C47" s="98">
        <v>0</v>
      </c>
      <c r="D47" s="41">
        <f t="shared" ref="D47:I47" si="27">SUM(D42:D45)-D26</f>
        <v>0</v>
      </c>
      <c r="E47" s="41">
        <f t="shared" si="27"/>
        <v>0</v>
      </c>
      <c r="F47" s="49">
        <f t="shared" ref="F47:H47" si="28">SUM(F42:F45)-F26</f>
        <v>0</v>
      </c>
      <c r="G47" s="243">
        <f t="shared" si="28"/>
        <v>0</v>
      </c>
      <c r="H47" s="49">
        <f t="shared" si="28"/>
        <v>0</v>
      </c>
      <c r="I47" s="61">
        <f t="shared" si="27"/>
        <v>0</v>
      </c>
      <c r="J47" s="144">
        <f t="shared" ref="J47:L47" si="29">SUM(J42:J45)-J26</f>
        <v>0</v>
      </c>
      <c r="K47" s="41">
        <f t="shared" si="29"/>
        <v>0</v>
      </c>
      <c r="L47" s="41">
        <f t="shared" si="29"/>
        <v>0</v>
      </c>
      <c r="P47" s="476"/>
      <c r="Q47" s="476"/>
    </row>
    <row r="48" spans="1:17" ht="16.5" thickTop="1" thickBot="1">
      <c r="C48" s="95"/>
      <c r="D48" s="16"/>
      <c r="E48" s="16"/>
      <c r="F48" s="16"/>
      <c r="G48" s="9"/>
      <c r="H48" s="16"/>
      <c r="I48" s="10"/>
      <c r="J48" s="16"/>
      <c r="K48" s="16"/>
      <c r="L48" s="10"/>
      <c r="P48" s="476"/>
      <c r="Q48" s="476"/>
    </row>
    <row r="49" spans="1:17" ht="15.75" thickBot="1">
      <c r="A49" s="45" t="s">
        <v>30</v>
      </c>
      <c r="B49" s="107">
        <f>SUM(B35:B38)</f>
        <v>-190438.13999999984</v>
      </c>
      <c r="C49" s="96">
        <f t="shared" ref="C49:L49" si="30">(C12-SUM(C15:C18))+SUM(C42:C45)+B49</f>
        <v>-288939.64999999985</v>
      </c>
      <c r="D49" s="40">
        <f t="shared" si="30"/>
        <v>-261165.19999999984</v>
      </c>
      <c r="E49" s="40">
        <f t="shared" si="30"/>
        <v>-225492.42999999985</v>
      </c>
      <c r="F49" s="99">
        <f t="shared" si="30"/>
        <v>-188323.08999999985</v>
      </c>
      <c r="G49" s="39">
        <f t="shared" si="30"/>
        <v>-196133.66999999984</v>
      </c>
      <c r="H49" s="40">
        <f t="shared" si="30"/>
        <v>-195668.72999999984</v>
      </c>
      <c r="I49" s="60">
        <f t="shared" si="30"/>
        <v>-185309.38999999984</v>
      </c>
      <c r="J49" s="142">
        <f t="shared" si="30"/>
        <v>-174465.92999999985</v>
      </c>
      <c r="K49" s="99">
        <f t="shared" si="30"/>
        <v>-161251.73999999985</v>
      </c>
      <c r="L49" s="60">
        <f t="shared" si="30"/>
        <v>-143234.95999999985</v>
      </c>
      <c r="P49" s="476"/>
      <c r="Q49" s="476"/>
    </row>
    <row r="50" spans="1:17">
      <c r="A50" s="45" t="s">
        <v>10</v>
      </c>
      <c r="C50" s="108"/>
      <c r="D50" s="16"/>
      <c r="E50" s="16"/>
      <c r="F50" s="16"/>
      <c r="G50" s="9"/>
      <c r="H50" s="16"/>
      <c r="I50" s="10"/>
      <c r="J50" s="16"/>
      <c r="K50" s="16"/>
      <c r="L50" s="10"/>
      <c r="P50" s="476"/>
      <c r="Q50" s="476"/>
    </row>
    <row r="51" spans="1:17" ht="15.75" thickBot="1">
      <c r="A51" s="36"/>
      <c r="B51" s="36"/>
      <c r="C51" s="129"/>
      <c r="D51" s="43"/>
      <c r="E51" s="43"/>
      <c r="F51" s="43"/>
      <c r="G51" s="42"/>
      <c r="H51" s="43"/>
      <c r="I51" s="44"/>
      <c r="J51" s="43"/>
      <c r="K51" s="43"/>
      <c r="L51" s="44"/>
      <c r="P51" s="476"/>
      <c r="Q51" s="476"/>
    </row>
    <row r="52" spans="1:17">
      <c r="P52" s="476"/>
      <c r="Q52" s="476"/>
    </row>
    <row r="53" spans="1:17">
      <c r="A53" s="68" t="s">
        <v>9</v>
      </c>
      <c r="B53" s="68"/>
      <c r="C53" s="68"/>
    </row>
    <row r="54" spans="1:17" ht="15" customHeight="1">
      <c r="A54" s="515" t="s">
        <v>268</v>
      </c>
      <c r="B54" s="515"/>
      <c r="C54" s="515"/>
      <c r="D54" s="515"/>
      <c r="E54" s="515"/>
      <c r="F54" s="515"/>
      <c r="G54" s="515"/>
      <c r="H54" s="515"/>
      <c r="I54" s="515"/>
      <c r="J54" s="250"/>
      <c r="K54" s="250"/>
      <c r="L54" s="250"/>
    </row>
    <row r="55" spans="1:17" ht="58.5" customHeight="1">
      <c r="A55" s="515" t="s">
        <v>238</v>
      </c>
      <c r="B55" s="515"/>
      <c r="C55" s="515"/>
      <c r="D55" s="515"/>
      <c r="E55" s="515"/>
      <c r="F55" s="515"/>
      <c r="G55" s="515"/>
      <c r="H55" s="515"/>
      <c r="I55" s="515"/>
      <c r="J55" s="250"/>
      <c r="K55" s="250"/>
    </row>
    <row r="56" spans="1:17">
      <c r="A56" s="515" t="s">
        <v>189</v>
      </c>
      <c r="B56" s="515"/>
      <c r="C56" s="515"/>
      <c r="D56" s="515"/>
      <c r="E56" s="515"/>
      <c r="F56" s="515"/>
      <c r="G56" s="515"/>
      <c r="H56" s="515"/>
      <c r="I56" s="515"/>
      <c r="J56" s="250"/>
      <c r="K56" s="250"/>
      <c r="L56" s="250"/>
    </row>
    <row r="57" spans="1:17">
      <c r="A57" s="383" t="s">
        <v>239</v>
      </c>
      <c r="B57" s="383"/>
      <c r="C57" s="383"/>
      <c r="D57" s="363"/>
      <c r="E57" s="363"/>
      <c r="F57" s="363"/>
      <c r="G57" s="363"/>
      <c r="H57" s="363"/>
      <c r="I57" s="299"/>
    </row>
    <row r="58" spans="1:17">
      <c r="A58" s="383" t="s">
        <v>105</v>
      </c>
      <c r="B58" s="383"/>
      <c r="C58" s="383"/>
      <c r="D58" s="363"/>
      <c r="E58" s="363"/>
      <c r="F58" s="363"/>
      <c r="G58" s="363"/>
      <c r="H58" s="363"/>
      <c r="I58" s="299"/>
    </row>
    <row r="59" spans="1:17">
      <c r="A59" s="383"/>
      <c r="B59" s="383"/>
      <c r="C59" s="383"/>
      <c r="D59" s="363"/>
      <c r="E59" s="363"/>
      <c r="F59" s="363"/>
      <c r="G59" s="363"/>
      <c r="H59" s="363"/>
      <c r="I59" s="363"/>
    </row>
    <row r="60" spans="1:17">
      <c r="A60" s="383"/>
      <c r="B60" s="383"/>
      <c r="C60" s="383"/>
      <c r="D60" s="363"/>
      <c r="E60" s="363"/>
      <c r="F60" s="363"/>
      <c r="G60" s="363"/>
      <c r="H60" s="363"/>
      <c r="I60" s="363"/>
    </row>
  </sheetData>
  <mergeCells count="6">
    <mergeCell ref="A56:I56"/>
    <mergeCell ref="D10:F10"/>
    <mergeCell ref="G10:I10"/>
    <mergeCell ref="J10:L10"/>
    <mergeCell ref="A54:I54"/>
    <mergeCell ref="A55:I55"/>
  </mergeCells>
  <pageMargins left="0.2" right="0.2" top="0.75" bottom="0.25" header="0.3" footer="0.3"/>
  <pageSetup scale="62" orientation="landscape" r:id="rId1"/>
  <headerFooter>
    <oddHeader>&amp;C&amp;F &amp;A&amp;R&amp;"Arial"&amp;10&amp;K000000CONFIDENTIAL</oddHeader>
    <oddFooter xml:space="preserve">&amp;R_x000D_&amp;1#&amp;"Calibri"&amp;10&amp;KA80000 Restricted – Sensitive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807D8-3FEA-4B3C-B2AF-4CFE5DA3CA6F}">
  <sheetPr>
    <pageSetUpPr fitToPage="1"/>
  </sheetPr>
  <dimension ref="A1:AI60"/>
  <sheetViews>
    <sheetView zoomScale="85" zoomScaleNormal="85" workbookViewId="0"/>
  </sheetViews>
  <sheetFormatPr defaultColWidth="9.140625" defaultRowHeight="15" outlineLevelCol="1"/>
  <cols>
    <col min="1" max="1" width="37.7109375" style="476" customWidth="1"/>
    <col min="2" max="3" width="20.7109375" style="476" customWidth="1"/>
    <col min="4" max="4" width="15.42578125" style="476" customWidth="1"/>
    <col min="5" max="5" width="15.85546875" style="476" bestFit="1" customWidth="1"/>
    <col min="6" max="6" width="12.28515625" style="476" bestFit="1" customWidth="1"/>
    <col min="7" max="8" width="13.28515625" style="476" bestFit="1" customWidth="1"/>
    <col min="9" max="9" width="14.42578125" style="476" bestFit="1" customWidth="1"/>
    <col min="10" max="10" width="12.42578125" style="476" customWidth="1"/>
    <col min="11" max="11" width="12.85546875" style="476" customWidth="1"/>
    <col min="12" max="12" width="16" style="476" customWidth="1"/>
    <col min="13" max="13" width="15" style="476" bestFit="1" customWidth="1"/>
    <col min="14" max="14" width="16" style="476" bestFit="1" customWidth="1"/>
    <col min="15" max="15" width="17.85546875" style="476" hidden="1" customWidth="1" outlineLevel="1"/>
    <col min="16" max="16" width="15.28515625" style="476" bestFit="1" customWidth="1" collapsed="1"/>
    <col min="17" max="17" width="17.42578125" style="476" bestFit="1" customWidth="1"/>
    <col min="18" max="18" width="16.28515625" style="476" bestFit="1" customWidth="1"/>
    <col min="19" max="19" width="15.28515625" style="476" bestFit="1" customWidth="1"/>
    <col min="20" max="20" width="12.42578125" style="476" customWidth="1"/>
    <col min="21" max="22" width="14.28515625" style="476" bestFit="1" customWidth="1"/>
    <col min="23" max="16384" width="9.140625" style="476"/>
  </cols>
  <sheetData>
    <row r="1" spans="1:35">
      <c r="A1" s="336" t="str">
        <f>+'PTD Cycle 3'!A1</f>
        <v>Evergy Missouri West, Inc. - DSIM Rider Update Filed 06/01/2026</v>
      </c>
      <c r="B1" s="336"/>
      <c r="C1" s="336"/>
    </row>
    <row r="2" spans="1:35">
      <c r="D2" s="383" t="s">
        <v>233</v>
      </c>
    </row>
    <row r="3" spans="1:35" ht="30">
      <c r="D3" s="371" t="s">
        <v>40</v>
      </c>
      <c r="E3" s="390" t="s">
        <v>15</v>
      </c>
      <c r="F3" s="371" t="s">
        <v>1</v>
      </c>
      <c r="G3" s="390" t="s">
        <v>49</v>
      </c>
      <c r="H3" s="371" t="s">
        <v>8</v>
      </c>
      <c r="I3" s="371" t="s">
        <v>16</v>
      </c>
      <c r="S3" s="371"/>
    </row>
    <row r="4" spans="1:35">
      <c r="A4" s="349" t="s">
        <v>22</v>
      </c>
      <c r="B4" s="349"/>
      <c r="C4" s="349"/>
      <c r="D4" s="350">
        <f>SUM(C15:L15)</f>
        <v>0</v>
      </c>
      <c r="E4" s="350">
        <f>SUM(C21:K21)</f>
        <v>0</v>
      </c>
      <c r="F4" s="350">
        <f>E4-D4</f>
        <v>0</v>
      </c>
      <c r="G4" s="350">
        <f>+B35</f>
        <v>0</v>
      </c>
      <c r="H4" s="350">
        <f>SUM(C42:K42)</f>
        <v>0</v>
      </c>
      <c r="I4" s="351">
        <f>SUM(F4:H4)</f>
        <v>0</v>
      </c>
      <c r="J4" s="276">
        <f>+I4-L35</f>
        <v>0</v>
      </c>
      <c r="M4" s="370"/>
    </row>
    <row r="5" spans="1:35">
      <c r="A5" s="349" t="s">
        <v>91</v>
      </c>
      <c r="B5" s="349"/>
      <c r="C5" s="349"/>
      <c r="D5" s="350">
        <f t="shared" ref="D5:D6" si="0">SUM(C16:L16)</f>
        <v>0</v>
      </c>
      <c r="E5" s="350">
        <f t="shared" ref="E5:E6" si="1">SUM(C22:K22)</f>
        <v>0</v>
      </c>
      <c r="F5" s="350">
        <f t="shared" ref="F5:F6" si="2">E5-D5</f>
        <v>0</v>
      </c>
      <c r="G5" s="350">
        <f t="shared" ref="G5:G6" si="3">+B36</f>
        <v>0</v>
      </c>
      <c r="H5" s="350">
        <f t="shared" ref="H5:H6" si="4">SUM(C43:K43)</f>
        <v>0</v>
      </c>
      <c r="I5" s="351">
        <f t="shared" ref="I5:I6" si="5">SUM(F5:H5)</f>
        <v>0</v>
      </c>
      <c r="J5" s="276">
        <f>+I5-L36</f>
        <v>0</v>
      </c>
      <c r="M5" s="370"/>
    </row>
    <row r="6" spans="1:35">
      <c r="A6" s="349" t="s">
        <v>92</v>
      </c>
      <c r="B6" s="349"/>
      <c r="C6" s="349"/>
      <c r="D6" s="350">
        <f t="shared" si="0"/>
        <v>0</v>
      </c>
      <c r="E6" s="350">
        <f t="shared" si="1"/>
        <v>0</v>
      </c>
      <c r="F6" s="350">
        <f t="shared" si="2"/>
        <v>0</v>
      </c>
      <c r="G6" s="350">
        <f t="shared" si="3"/>
        <v>0</v>
      </c>
      <c r="H6" s="350">
        <f t="shared" si="4"/>
        <v>0</v>
      </c>
      <c r="I6" s="351">
        <f t="shared" si="5"/>
        <v>0</v>
      </c>
      <c r="J6" s="276">
        <f>+I6-L37</f>
        <v>0</v>
      </c>
      <c r="M6" s="370"/>
    </row>
    <row r="7" spans="1:35" ht="15.75" thickBot="1">
      <c r="A7" s="349" t="s">
        <v>93</v>
      </c>
      <c r="B7" s="349"/>
      <c r="C7" s="349"/>
      <c r="D7" s="350">
        <f>SUM(C18:L18)</f>
        <v>0</v>
      </c>
      <c r="E7" s="350">
        <f>SUM(C24:K24)</f>
        <v>0</v>
      </c>
      <c r="F7" s="350">
        <f>E7-D7</f>
        <v>0</v>
      </c>
      <c r="G7" s="350">
        <f>+B38</f>
        <v>0</v>
      </c>
      <c r="H7" s="350">
        <f>SUM(C45:K45)</f>
        <v>0</v>
      </c>
      <c r="I7" s="351">
        <f>SUM(F7:H7)</f>
        <v>0</v>
      </c>
      <c r="J7" s="276">
        <f>+I7-L38</f>
        <v>0</v>
      </c>
      <c r="M7" s="370"/>
    </row>
    <row r="8" spans="1:35" ht="16.5" thickTop="1" thickBot="1">
      <c r="D8" s="353">
        <f t="shared" ref="D8" si="6">SUM(D4:D7)</f>
        <v>0</v>
      </c>
      <c r="E8" s="353">
        <f>SUM(E4:E7)</f>
        <v>0</v>
      </c>
      <c r="F8" s="353">
        <f>SUM(F4:F7)</f>
        <v>0</v>
      </c>
      <c r="G8" s="353">
        <f>SUM(G4:G7)</f>
        <v>0</v>
      </c>
      <c r="H8" s="353">
        <f>SUM(H4:H7)</f>
        <v>0</v>
      </c>
      <c r="I8" s="353">
        <f>SUM(I4:I7)</f>
        <v>0</v>
      </c>
      <c r="T8" s="338"/>
    </row>
    <row r="9" spans="1:35" ht="15.75" customHeight="1" thickTop="1" thickBot="1"/>
    <row r="10" spans="1:35" ht="60.75" thickBot="1">
      <c r="B10" s="408" t="str">
        <f>+'PCR Cycle 4'!B10</f>
        <v>Cumulative Over/Under Carryover From 12/01/2025 Filing</v>
      </c>
      <c r="C10" s="421" t="str">
        <f>+'PCR Cycle 4'!C10</f>
        <v>Reverse November 2025 - January 2026 Forecast From 12/01/2025 Filing</v>
      </c>
      <c r="D10" s="516" t="s">
        <v>28</v>
      </c>
      <c r="E10" s="516"/>
      <c r="F10" s="517"/>
      <c r="G10" s="530" t="s">
        <v>28</v>
      </c>
      <c r="H10" s="531"/>
      <c r="I10" s="532"/>
      <c r="J10" s="521" t="s">
        <v>6</v>
      </c>
      <c r="K10" s="522"/>
      <c r="L10" s="523"/>
      <c r="O10" s="490" t="s">
        <v>173</v>
      </c>
    </row>
    <row r="11" spans="1:35">
      <c r="A11" s="476" t="s">
        <v>79</v>
      </c>
      <c r="C11" s="491"/>
      <c r="D11" s="302">
        <f>+'PCR Cycle 4'!E$11</f>
        <v>45991</v>
      </c>
      <c r="E11" s="302">
        <f>+'PCR Cycle 4'!F$11</f>
        <v>46022</v>
      </c>
      <c r="F11" s="302">
        <f>+'PCR Cycle 4'!G$11</f>
        <v>46053</v>
      </c>
      <c r="G11" s="491">
        <f>+'PCR Cycle 4'!H$11</f>
        <v>46081</v>
      </c>
      <c r="H11" s="302">
        <f>+'PCR Cycle 4'!I$11</f>
        <v>46112</v>
      </c>
      <c r="I11" s="492">
        <f>+'PCR Cycle 4'!J$11</f>
        <v>46142</v>
      </c>
      <c r="J11" s="302">
        <f>+'PCR Cycle 4'!K$11</f>
        <v>46173</v>
      </c>
      <c r="K11" s="302">
        <f>+'PCR Cycle 4'!L$11</f>
        <v>46203</v>
      </c>
      <c r="L11" s="493">
        <f>+'PCR Cycle 4'!M$11</f>
        <v>46234</v>
      </c>
      <c r="Z11" s="335"/>
      <c r="AA11" s="335"/>
      <c r="AB11" s="335"/>
      <c r="AC11" s="335"/>
      <c r="AD11" s="335"/>
      <c r="AE11" s="335"/>
      <c r="AF11" s="335"/>
      <c r="AG11" s="335"/>
      <c r="AH11" s="335"/>
      <c r="AI11" s="335"/>
    </row>
    <row r="12" spans="1:35">
      <c r="A12" s="476" t="s">
        <v>3</v>
      </c>
      <c r="C12" s="320">
        <v>0</v>
      </c>
      <c r="D12" s="478">
        <f>SUM(D21:D24)</f>
        <v>0</v>
      </c>
      <c r="E12" s="478">
        <f t="shared" ref="E12:H12" si="7">SUM(E21:E24)</f>
        <v>0</v>
      </c>
      <c r="F12" s="406">
        <f t="shared" si="7"/>
        <v>0</v>
      </c>
      <c r="G12" s="345">
        <f t="shared" si="7"/>
        <v>0</v>
      </c>
      <c r="H12" s="377">
        <f t="shared" si="7"/>
        <v>0</v>
      </c>
      <c r="I12" s="429">
        <f>+I21+I24</f>
        <v>0</v>
      </c>
      <c r="J12" s="423">
        <f t="shared" ref="J12:K12" si="8">+J21+J24</f>
        <v>0</v>
      </c>
      <c r="K12" s="394">
        <f t="shared" si="8"/>
        <v>0</v>
      </c>
      <c r="L12" s="395"/>
      <c r="O12" s="370">
        <f>-SUM(J12:L12)</f>
        <v>0</v>
      </c>
    </row>
    <row r="13" spans="1:35">
      <c r="C13" s="402"/>
      <c r="D13" s="346"/>
      <c r="E13" s="346"/>
      <c r="F13" s="346"/>
      <c r="G13" s="27"/>
      <c r="H13" s="346"/>
      <c r="I13" s="341"/>
      <c r="J13" s="356"/>
      <c r="K13" s="356"/>
      <c r="L13" s="354"/>
    </row>
    <row r="14" spans="1:35">
      <c r="A14" s="476" t="s">
        <v>78</v>
      </c>
      <c r="C14" s="402"/>
      <c r="D14" s="230"/>
      <c r="E14" s="230"/>
      <c r="F14" s="230"/>
      <c r="G14" s="511"/>
      <c r="H14" s="230"/>
      <c r="I14" s="502"/>
      <c r="J14" s="356"/>
      <c r="K14" s="356"/>
      <c r="L14" s="354"/>
      <c r="M14" s="383" t="s">
        <v>44</v>
      </c>
      <c r="N14" s="363"/>
    </row>
    <row r="15" spans="1:35">
      <c r="A15" s="476" t="s">
        <v>22</v>
      </c>
      <c r="C15" s="320">
        <v>0</v>
      </c>
      <c r="D15" s="413">
        <f>ROUND('[3]EMW Nov25'!$G157,2)</f>
        <v>0</v>
      </c>
      <c r="E15" s="413">
        <f>ROUND('[3]EMW Dec25'!$G157,2)</f>
        <v>0</v>
      </c>
      <c r="F15" s="413">
        <f>ROUND('[3]EMW Jan26'!$G157,2)</f>
        <v>0</v>
      </c>
      <c r="G15" s="345">
        <f>ROUND('[3]EMW Feb26'!$G157,2)</f>
        <v>0</v>
      </c>
      <c r="H15" s="377">
        <f>ROUND('[3]EMW Mar26'!$G157,2)</f>
        <v>0</v>
      </c>
      <c r="I15" s="429">
        <f>ROUND('[3]EMW Apr26'!$G157,2)</f>
        <v>0</v>
      </c>
      <c r="J15" s="412">
        <f>ROUND('PCR Cycle 4'!K20*$M15,2)</f>
        <v>0</v>
      </c>
      <c r="K15" s="365">
        <f>ROUND('PCR Cycle 4'!L20*$M15,2)</f>
        <v>0</v>
      </c>
      <c r="L15" s="381">
        <f>ROUND('PCR Cycle 4'!M20*$M15,2)</f>
        <v>0</v>
      </c>
      <c r="M15" s="391">
        <v>0</v>
      </c>
      <c r="N15" s="337"/>
      <c r="O15" s="370">
        <f>-SUM(J15:L15)</f>
        <v>0</v>
      </c>
    </row>
    <row r="16" spans="1:35">
      <c r="A16" s="476" t="s">
        <v>91</v>
      </c>
      <c r="C16" s="320">
        <v>0</v>
      </c>
      <c r="D16" s="413">
        <f>ROUND('[3]EMW Nov25'!$G158,2)</f>
        <v>0</v>
      </c>
      <c r="E16" s="413">
        <f>ROUND('[3]EMW Dec25'!$G158,2)</f>
        <v>0</v>
      </c>
      <c r="F16" s="413">
        <f>ROUND('[3]EMW Jan26'!$G158,2)</f>
        <v>0</v>
      </c>
      <c r="G16" s="345">
        <f>ROUND('[3]EMW Feb26'!$G158,2)</f>
        <v>0</v>
      </c>
      <c r="H16" s="377">
        <f>ROUND('[3]EMW Mar26'!$G158,2)</f>
        <v>0</v>
      </c>
      <c r="I16" s="429">
        <f>ROUND('[3]EMW Apr26'!$G158,2)</f>
        <v>0</v>
      </c>
      <c r="J16" s="412">
        <f>ROUND('PCR Cycle 4'!K21*$M16,2)</f>
        <v>0</v>
      </c>
      <c r="K16" s="365">
        <f>ROUND('PCR Cycle 4'!L21*$M16,2)</f>
        <v>0</v>
      </c>
      <c r="L16" s="381">
        <f>ROUND('PCR Cycle 4'!M21*$M16,2)</f>
        <v>0</v>
      </c>
      <c r="M16" s="391">
        <v>0</v>
      </c>
      <c r="N16" s="337"/>
      <c r="O16" s="370">
        <f t="shared" ref="O16:O18" si="9">-SUM(J16:L16)</f>
        <v>0</v>
      </c>
    </row>
    <row r="17" spans="1:15">
      <c r="A17" s="476" t="s">
        <v>92</v>
      </c>
      <c r="C17" s="320">
        <v>0</v>
      </c>
      <c r="D17" s="413">
        <f>ROUND('[3]EMW Nov25'!$G159,2)</f>
        <v>0</v>
      </c>
      <c r="E17" s="413">
        <f>ROUND('[3]EMW Dec25'!$G159,2)</f>
        <v>0</v>
      </c>
      <c r="F17" s="413">
        <f>ROUND('[3]EMW Jan26'!$G159,2)</f>
        <v>0</v>
      </c>
      <c r="G17" s="345">
        <f>ROUND('[3]EMW Feb26'!$G159,2)</f>
        <v>0</v>
      </c>
      <c r="H17" s="377">
        <f>ROUND('[3]EMW Mar26'!$G159,2)</f>
        <v>0</v>
      </c>
      <c r="I17" s="429">
        <f>ROUND('[3]EMW Apr26'!$G159,2)</f>
        <v>0</v>
      </c>
      <c r="J17" s="412">
        <f>ROUND('PCR Cycle 4'!K22*$M17,2)</f>
        <v>0</v>
      </c>
      <c r="K17" s="365">
        <f>ROUND('PCR Cycle 4'!L22*$M17,2)</f>
        <v>0</v>
      </c>
      <c r="L17" s="381">
        <f>ROUND('PCR Cycle 4'!M22*$M17,2)</f>
        <v>0</v>
      </c>
      <c r="M17" s="391">
        <v>0</v>
      </c>
      <c r="N17" s="337"/>
      <c r="O17" s="370">
        <f t="shared" si="9"/>
        <v>0</v>
      </c>
    </row>
    <row r="18" spans="1:15">
      <c r="A18" s="476" t="s">
        <v>93</v>
      </c>
      <c r="C18" s="320">
        <v>0</v>
      </c>
      <c r="D18" s="413">
        <f>ROUND('[3]EMW Nov25'!$G160,2)</f>
        <v>0</v>
      </c>
      <c r="E18" s="413">
        <f>ROUND('[3]EMW Dec25'!$G160,2)</f>
        <v>0</v>
      </c>
      <c r="F18" s="413">
        <f>ROUND('[3]EMW Jan26'!$G160,2)</f>
        <v>0</v>
      </c>
      <c r="G18" s="345">
        <f>ROUND('[3]EMW Feb26'!$G160,2)</f>
        <v>0</v>
      </c>
      <c r="H18" s="377">
        <f>ROUND('[3]EMW Mar26'!$G160,2)</f>
        <v>0</v>
      </c>
      <c r="I18" s="429">
        <f>ROUND('[3]EMW Apr26'!$G160,2)</f>
        <v>0</v>
      </c>
      <c r="J18" s="412">
        <f>ROUND('PCR Cycle 4'!K23*$M18,2)</f>
        <v>0</v>
      </c>
      <c r="K18" s="365">
        <f>ROUND('PCR Cycle 4'!L23*$M18,2)</f>
        <v>0</v>
      </c>
      <c r="L18" s="381">
        <f>ROUND('PCR Cycle 4'!M23*$M18,2)</f>
        <v>0</v>
      </c>
      <c r="M18" s="391">
        <v>0</v>
      </c>
      <c r="N18" s="337"/>
      <c r="O18" s="370">
        <f t="shared" si="9"/>
        <v>0</v>
      </c>
    </row>
    <row r="19" spans="1:15">
      <c r="C19" s="387"/>
      <c r="D19" s="388"/>
      <c r="E19" s="388"/>
      <c r="F19" s="388"/>
      <c r="G19" s="94"/>
      <c r="H19" s="388"/>
      <c r="I19" s="431"/>
      <c r="J19" s="378"/>
      <c r="K19" s="378"/>
      <c r="L19" s="342"/>
      <c r="N19" s="337"/>
    </row>
    <row r="20" spans="1:15">
      <c r="A20" s="476" t="s">
        <v>80</v>
      </c>
      <c r="C20" s="360"/>
      <c r="D20" s="361"/>
      <c r="E20" s="361"/>
      <c r="F20" s="361"/>
      <c r="G20" s="360"/>
      <c r="H20" s="361"/>
      <c r="I20" s="433"/>
      <c r="J20" s="374"/>
      <c r="K20" s="374"/>
      <c r="L20" s="362"/>
    </row>
    <row r="21" spans="1:15">
      <c r="A21" s="476" t="s">
        <v>22</v>
      </c>
      <c r="C21" s="320">
        <v>0</v>
      </c>
      <c r="D21" s="478">
        <v>0</v>
      </c>
      <c r="E21" s="478">
        <v>0</v>
      </c>
      <c r="F21" s="406">
        <v>0</v>
      </c>
      <c r="G21" s="345">
        <v>0</v>
      </c>
      <c r="H21" s="377">
        <v>0</v>
      </c>
      <c r="I21" s="429">
        <v>0</v>
      </c>
      <c r="J21" s="140">
        <v>0</v>
      </c>
      <c r="K21" s="125">
        <v>0</v>
      </c>
      <c r="L21" s="395"/>
      <c r="O21" s="370">
        <f>-SUM(J21:L21)</f>
        <v>0</v>
      </c>
    </row>
    <row r="22" spans="1:15">
      <c r="A22" s="476" t="s">
        <v>91</v>
      </c>
      <c r="C22" s="320">
        <v>0</v>
      </c>
      <c r="D22" s="478">
        <v>0</v>
      </c>
      <c r="E22" s="478">
        <v>0</v>
      </c>
      <c r="F22" s="406">
        <v>0</v>
      </c>
      <c r="G22" s="345">
        <v>0</v>
      </c>
      <c r="H22" s="377">
        <v>0</v>
      </c>
      <c r="I22" s="429">
        <v>0</v>
      </c>
      <c r="J22" s="140">
        <v>0</v>
      </c>
      <c r="K22" s="125">
        <v>0</v>
      </c>
      <c r="L22" s="395"/>
      <c r="O22" s="370">
        <f t="shared" ref="O22:O26" si="10">-SUM(J22:L22)</f>
        <v>0</v>
      </c>
    </row>
    <row r="23" spans="1:15">
      <c r="A23" s="476" t="s">
        <v>92</v>
      </c>
      <c r="C23" s="320">
        <v>0</v>
      </c>
      <c r="D23" s="478">
        <v>0</v>
      </c>
      <c r="E23" s="478">
        <v>0</v>
      </c>
      <c r="F23" s="406">
        <v>0</v>
      </c>
      <c r="G23" s="345">
        <v>0</v>
      </c>
      <c r="H23" s="377">
        <v>0</v>
      </c>
      <c r="I23" s="429">
        <v>0</v>
      </c>
      <c r="J23" s="140">
        <v>0</v>
      </c>
      <c r="K23" s="125">
        <v>0</v>
      </c>
      <c r="L23" s="395"/>
      <c r="O23" s="370">
        <f t="shared" si="10"/>
        <v>0</v>
      </c>
    </row>
    <row r="24" spans="1:15">
      <c r="A24" s="476" t="s">
        <v>93</v>
      </c>
      <c r="C24" s="320">
        <v>0</v>
      </c>
      <c r="D24" s="478">
        <v>0</v>
      </c>
      <c r="E24" s="478">
        <v>0</v>
      </c>
      <c r="F24" s="406">
        <v>0</v>
      </c>
      <c r="G24" s="345">
        <v>0</v>
      </c>
      <c r="H24" s="377">
        <v>0</v>
      </c>
      <c r="I24" s="429">
        <v>0</v>
      </c>
      <c r="J24" s="140">
        <v>0</v>
      </c>
      <c r="K24" s="125">
        <v>0</v>
      </c>
      <c r="L24" s="395"/>
      <c r="N24" s="370"/>
      <c r="O24" s="370">
        <f t="shared" si="10"/>
        <v>0</v>
      </c>
    </row>
    <row r="25" spans="1:15">
      <c r="C25" s="402"/>
      <c r="D25" s="347"/>
      <c r="E25" s="347"/>
      <c r="F25" s="347"/>
      <c r="G25" s="241"/>
      <c r="H25" s="347"/>
      <c r="I25" s="430"/>
      <c r="J25" s="378"/>
      <c r="K25" s="378"/>
      <c r="L25" s="342"/>
    </row>
    <row r="26" spans="1:15" ht="15.75" thickBot="1">
      <c r="A26" s="336" t="s">
        <v>12</v>
      </c>
      <c r="B26" s="336"/>
      <c r="C26" s="322">
        <v>0</v>
      </c>
      <c r="D26" s="413">
        <v>0</v>
      </c>
      <c r="E26" s="413">
        <v>0</v>
      </c>
      <c r="F26" s="414">
        <v>0</v>
      </c>
      <c r="G26" s="352">
        <v>0</v>
      </c>
      <c r="H26" s="411">
        <v>0</v>
      </c>
      <c r="I26" s="434">
        <v>0</v>
      </c>
      <c r="J26" s="425">
        <f>ROUND((SUM(I35:I38)+SUM(I42:I45)+SUM(J29:J32)/2)*J$40,2)</f>
        <v>0</v>
      </c>
      <c r="K26" s="418">
        <f>ROUND((SUM(J35:J38)+SUM(J42:J45)+SUM(K29:K32)/2)*K$40,2)</f>
        <v>0</v>
      </c>
      <c r="L26" s="397"/>
      <c r="O26" s="370">
        <f t="shared" si="10"/>
        <v>0</v>
      </c>
    </row>
    <row r="27" spans="1:15">
      <c r="C27" s="384"/>
      <c r="D27" s="130"/>
      <c r="E27" s="130"/>
      <c r="F27" s="131"/>
      <c r="G27" s="384"/>
      <c r="H27" s="357"/>
      <c r="I27" s="435"/>
      <c r="J27" s="358"/>
      <c r="K27" s="358"/>
      <c r="L27" s="380"/>
    </row>
    <row r="28" spans="1:15">
      <c r="A28" s="476" t="s">
        <v>46</v>
      </c>
      <c r="C28" s="385"/>
      <c r="D28" s="131"/>
      <c r="E28" s="131"/>
      <c r="F28" s="131"/>
      <c r="G28" s="242"/>
      <c r="H28" s="359"/>
      <c r="I28" s="436"/>
      <c r="J28" s="358"/>
      <c r="K28" s="358"/>
      <c r="L28" s="380"/>
    </row>
    <row r="29" spans="1:15">
      <c r="A29" s="476" t="s">
        <v>22</v>
      </c>
      <c r="C29" s="96">
        <f>C21-C15</f>
        <v>0</v>
      </c>
      <c r="D29" s="365">
        <f t="shared" ref="D29:L29" si="11">D21-D15</f>
        <v>0</v>
      </c>
      <c r="E29" s="365">
        <f t="shared" si="11"/>
        <v>0</v>
      </c>
      <c r="F29" s="404">
        <f t="shared" si="11"/>
        <v>0</v>
      </c>
      <c r="G29" s="364">
        <f t="shared" si="11"/>
        <v>0</v>
      </c>
      <c r="H29" s="365">
        <f t="shared" si="11"/>
        <v>0</v>
      </c>
      <c r="I29" s="381">
        <f t="shared" si="11"/>
        <v>0</v>
      </c>
      <c r="J29" s="412">
        <f t="shared" si="11"/>
        <v>0</v>
      </c>
      <c r="K29" s="365">
        <f t="shared" si="11"/>
        <v>0</v>
      </c>
      <c r="L29" s="381">
        <f t="shared" si="11"/>
        <v>0</v>
      </c>
    </row>
    <row r="30" spans="1:15">
      <c r="A30" s="476" t="s">
        <v>91</v>
      </c>
      <c r="C30" s="96">
        <f t="shared" ref="C30:L32" si="12">C22-C16</f>
        <v>0</v>
      </c>
      <c r="D30" s="365">
        <f t="shared" si="12"/>
        <v>0</v>
      </c>
      <c r="E30" s="365">
        <f t="shared" si="12"/>
        <v>0</v>
      </c>
      <c r="F30" s="404">
        <f t="shared" si="12"/>
        <v>0</v>
      </c>
      <c r="G30" s="364">
        <f t="shared" si="12"/>
        <v>0</v>
      </c>
      <c r="H30" s="365">
        <f t="shared" si="12"/>
        <v>0</v>
      </c>
      <c r="I30" s="381">
        <f t="shared" si="12"/>
        <v>0</v>
      </c>
      <c r="J30" s="412">
        <f t="shared" si="12"/>
        <v>0</v>
      </c>
      <c r="K30" s="365">
        <f t="shared" si="12"/>
        <v>0</v>
      </c>
      <c r="L30" s="381">
        <f t="shared" si="12"/>
        <v>0</v>
      </c>
    </row>
    <row r="31" spans="1:15">
      <c r="A31" s="476" t="s">
        <v>92</v>
      </c>
      <c r="C31" s="96">
        <f t="shared" si="12"/>
        <v>0</v>
      </c>
      <c r="D31" s="365">
        <f t="shared" si="12"/>
        <v>0</v>
      </c>
      <c r="E31" s="365">
        <f t="shared" si="12"/>
        <v>0</v>
      </c>
      <c r="F31" s="404">
        <f t="shared" si="12"/>
        <v>0</v>
      </c>
      <c r="G31" s="364">
        <f t="shared" si="12"/>
        <v>0</v>
      </c>
      <c r="H31" s="365">
        <f t="shared" si="12"/>
        <v>0</v>
      </c>
      <c r="I31" s="381">
        <f t="shared" si="12"/>
        <v>0</v>
      </c>
      <c r="J31" s="412">
        <f t="shared" si="12"/>
        <v>0</v>
      </c>
      <c r="K31" s="365">
        <f t="shared" si="12"/>
        <v>0</v>
      </c>
      <c r="L31" s="381">
        <f t="shared" si="12"/>
        <v>0</v>
      </c>
    </row>
    <row r="32" spans="1:15">
      <c r="A32" s="476" t="s">
        <v>93</v>
      </c>
      <c r="C32" s="96">
        <f t="shared" si="12"/>
        <v>0</v>
      </c>
      <c r="D32" s="365">
        <f t="shared" si="12"/>
        <v>0</v>
      </c>
      <c r="E32" s="365">
        <f t="shared" si="12"/>
        <v>0</v>
      </c>
      <c r="F32" s="404">
        <f t="shared" si="12"/>
        <v>0</v>
      </c>
      <c r="G32" s="364">
        <f t="shared" si="12"/>
        <v>0</v>
      </c>
      <c r="H32" s="365">
        <f t="shared" si="12"/>
        <v>0</v>
      </c>
      <c r="I32" s="381">
        <f t="shared" si="12"/>
        <v>0</v>
      </c>
      <c r="J32" s="412">
        <f t="shared" si="12"/>
        <v>0</v>
      </c>
      <c r="K32" s="365">
        <f t="shared" si="12"/>
        <v>0</v>
      </c>
      <c r="L32" s="381">
        <f t="shared" si="12"/>
        <v>0</v>
      </c>
    </row>
    <row r="33" spans="1:15">
      <c r="C33" s="402"/>
      <c r="D33" s="346"/>
      <c r="E33" s="346"/>
      <c r="F33" s="346"/>
      <c r="G33" s="27"/>
      <c r="H33" s="346"/>
      <c r="I33" s="341"/>
      <c r="J33" s="346"/>
      <c r="K33" s="346"/>
      <c r="L33" s="341"/>
    </row>
    <row r="34" spans="1:15" ht="15.75" thickBot="1">
      <c r="A34" s="476" t="s">
        <v>47</v>
      </c>
      <c r="B34" s="363"/>
      <c r="C34" s="402"/>
      <c r="D34" s="346"/>
      <c r="E34" s="346"/>
      <c r="F34" s="346"/>
      <c r="G34" s="27"/>
      <c r="H34" s="346"/>
      <c r="I34" s="341"/>
      <c r="J34" s="346"/>
      <c r="K34" s="346"/>
      <c r="L34" s="341"/>
    </row>
    <row r="35" spans="1:15">
      <c r="A35" s="476" t="s">
        <v>22</v>
      </c>
      <c r="B35" s="291">
        <v>0</v>
      </c>
      <c r="C35" s="96">
        <f>B35+C29+B42</f>
        <v>0</v>
      </c>
      <c r="D35" s="365">
        <f t="shared" ref="D35:L35" si="13">C35+D29+C42</f>
        <v>0</v>
      </c>
      <c r="E35" s="365">
        <f t="shared" si="13"/>
        <v>0</v>
      </c>
      <c r="F35" s="404">
        <f t="shared" si="13"/>
        <v>0</v>
      </c>
      <c r="G35" s="364">
        <f t="shared" si="13"/>
        <v>0</v>
      </c>
      <c r="H35" s="365">
        <f t="shared" si="13"/>
        <v>0</v>
      </c>
      <c r="I35" s="381">
        <f t="shared" si="13"/>
        <v>0</v>
      </c>
      <c r="J35" s="412">
        <f t="shared" si="13"/>
        <v>0</v>
      </c>
      <c r="K35" s="365">
        <f t="shared" si="13"/>
        <v>0</v>
      </c>
      <c r="L35" s="381">
        <f t="shared" si="13"/>
        <v>0</v>
      </c>
    </row>
    <row r="36" spans="1:15">
      <c r="A36" s="476" t="s">
        <v>91</v>
      </c>
      <c r="B36" s="292">
        <v>0</v>
      </c>
      <c r="C36" s="96">
        <f t="shared" ref="C36:L38" si="14">B36+C30+B43</f>
        <v>0</v>
      </c>
      <c r="D36" s="365">
        <f t="shared" si="14"/>
        <v>0</v>
      </c>
      <c r="E36" s="365">
        <f t="shared" si="14"/>
        <v>0</v>
      </c>
      <c r="F36" s="404">
        <f t="shared" si="14"/>
        <v>0</v>
      </c>
      <c r="G36" s="364">
        <f t="shared" si="14"/>
        <v>0</v>
      </c>
      <c r="H36" s="365">
        <f t="shared" si="14"/>
        <v>0</v>
      </c>
      <c r="I36" s="381">
        <f t="shared" si="14"/>
        <v>0</v>
      </c>
      <c r="J36" s="412">
        <f t="shared" si="14"/>
        <v>0</v>
      </c>
      <c r="K36" s="365">
        <f t="shared" si="14"/>
        <v>0</v>
      </c>
      <c r="L36" s="381">
        <f t="shared" si="14"/>
        <v>0</v>
      </c>
    </row>
    <row r="37" spans="1:15">
      <c r="A37" s="476" t="s">
        <v>92</v>
      </c>
      <c r="B37" s="292">
        <v>0</v>
      </c>
      <c r="C37" s="96">
        <f t="shared" si="14"/>
        <v>0</v>
      </c>
      <c r="D37" s="365">
        <f t="shared" si="14"/>
        <v>0</v>
      </c>
      <c r="E37" s="365">
        <f t="shared" si="14"/>
        <v>0</v>
      </c>
      <c r="F37" s="404">
        <f t="shared" si="14"/>
        <v>0</v>
      </c>
      <c r="G37" s="364">
        <f t="shared" si="14"/>
        <v>0</v>
      </c>
      <c r="H37" s="365">
        <f t="shared" si="14"/>
        <v>0</v>
      </c>
      <c r="I37" s="381">
        <f t="shared" si="14"/>
        <v>0</v>
      </c>
      <c r="J37" s="412">
        <f t="shared" si="14"/>
        <v>0</v>
      </c>
      <c r="K37" s="365">
        <f t="shared" si="14"/>
        <v>0</v>
      </c>
      <c r="L37" s="381">
        <f t="shared" si="14"/>
        <v>0</v>
      </c>
    </row>
    <row r="38" spans="1:15" ht="15.75" thickBot="1">
      <c r="A38" s="476" t="s">
        <v>93</v>
      </c>
      <c r="B38" s="293">
        <v>0</v>
      </c>
      <c r="C38" s="96">
        <f t="shared" si="14"/>
        <v>0</v>
      </c>
      <c r="D38" s="365">
        <f t="shared" si="14"/>
        <v>0</v>
      </c>
      <c r="E38" s="365">
        <f t="shared" si="14"/>
        <v>0</v>
      </c>
      <c r="F38" s="404">
        <f t="shared" si="14"/>
        <v>0</v>
      </c>
      <c r="G38" s="364">
        <f t="shared" si="14"/>
        <v>0</v>
      </c>
      <c r="H38" s="365">
        <f t="shared" si="14"/>
        <v>0</v>
      </c>
      <c r="I38" s="381">
        <f t="shared" si="14"/>
        <v>0</v>
      </c>
      <c r="J38" s="412">
        <f t="shared" si="14"/>
        <v>0</v>
      </c>
      <c r="K38" s="365">
        <f t="shared" si="14"/>
        <v>0</v>
      </c>
      <c r="L38" s="381">
        <f t="shared" si="14"/>
        <v>0</v>
      </c>
    </row>
    <row r="39" spans="1:15">
      <c r="C39" s="402"/>
      <c r="D39" s="346"/>
      <c r="E39" s="346"/>
      <c r="F39" s="346"/>
      <c r="G39" s="340"/>
      <c r="H39" s="346"/>
      <c r="I39" s="341"/>
      <c r="J39" s="346"/>
      <c r="K39" s="346"/>
      <c r="L39" s="341"/>
    </row>
    <row r="40" spans="1:15">
      <c r="A40" s="363" t="s">
        <v>76</v>
      </c>
      <c r="B40" s="363"/>
      <c r="C40" s="403"/>
      <c r="D40" s="278">
        <f>'PCR Cycle 3'!E45</f>
        <v>4.4318500000000002E-3</v>
      </c>
      <c r="E40" s="278">
        <f>'PCR Cycle 3'!F45</f>
        <v>4.2511800000000002E-3</v>
      </c>
      <c r="F40" s="278">
        <f>'PCR Cycle 3'!G45</f>
        <v>4.1871699999999996E-3</v>
      </c>
      <c r="G40" s="279">
        <f>'PCR Cycle 3'!H45</f>
        <v>4.1815100000000003E-3</v>
      </c>
      <c r="H40" s="278">
        <f>'PCR Cycle 3'!I45</f>
        <v>4.2662200000000003E-3</v>
      </c>
      <c r="I40" s="280">
        <f>'PCR Cycle 3'!J45</f>
        <v>4.1719399999999998E-3</v>
      </c>
      <c r="J40" s="327">
        <f>I40</f>
        <v>4.1719399999999998E-3</v>
      </c>
      <c r="K40" s="327">
        <f>I40</f>
        <v>4.1719399999999998E-3</v>
      </c>
      <c r="L40" s="400"/>
    </row>
    <row r="41" spans="1:15">
      <c r="A41" s="363" t="s">
        <v>31</v>
      </c>
      <c r="B41" s="363"/>
      <c r="C41" s="509"/>
      <c r="D41" s="477"/>
      <c r="E41" s="477"/>
      <c r="F41" s="477"/>
      <c r="G41" s="399"/>
      <c r="H41" s="477"/>
      <c r="I41" s="400"/>
      <c r="J41" s="477"/>
      <c r="K41" s="477"/>
      <c r="L41" s="400"/>
    </row>
    <row r="42" spans="1:15">
      <c r="A42" s="476" t="s">
        <v>22</v>
      </c>
      <c r="C42" s="294">
        <v>0</v>
      </c>
      <c r="D42" s="365">
        <f>ROUND((C35+C42+D29/2)*D$40,2)</f>
        <v>0</v>
      </c>
      <c r="E42" s="365">
        <f t="shared" ref="E42:L42" si="15">ROUND((D35+D42+E29/2)*E$40,2)</f>
        <v>0</v>
      </c>
      <c r="F42" s="404">
        <f t="shared" si="15"/>
        <v>0</v>
      </c>
      <c r="G42" s="364">
        <f t="shared" si="15"/>
        <v>0</v>
      </c>
      <c r="H42" s="412">
        <f t="shared" si="15"/>
        <v>0</v>
      </c>
      <c r="I42" s="48">
        <f t="shared" si="15"/>
        <v>0</v>
      </c>
      <c r="J42" s="426">
        <f t="shared" si="15"/>
        <v>0</v>
      </c>
      <c r="K42" s="404">
        <f t="shared" si="15"/>
        <v>0</v>
      </c>
      <c r="L42" s="381">
        <f t="shared" si="15"/>
        <v>0</v>
      </c>
      <c r="O42" s="370">
        <f>-SUM(J42:L42)</f>
        <v>0</v>
      </c>
    </row>
    <row r="43" spans="1:15">
      <c r="A43" s="476" t="s">
        <v>91</v>
      </c>
      <c r="C43" s="294">
        <v>0</v>
      </c>
      <c r="D43" s="365">
        <f t="shared" ref="D43:L45" si="16">ROUND((C36+C43+D30/2)*D$40,2)</f>
        <v>0</v>
      </c>
      <c r="E43" s="365">
        <f t="shared" si="16"/>
        <v>0</v>
      </c>
      <c r="F43" s="404">
        <f t="shared" si="16"/>
        <v>0</v>
      </c>
      <c r="G43" s="364">
        <f t="shared" si="16"/>
        <v>0</v>
      </c>
      <c r="H43" s="412">
        <f t="shared" si="16"/>
        <v>0</v>
      </c>
      <c r="I43" s="48">
        <f t="shared" si="16"/>
        <v>0</v>
      </c>
      <c r="J43" s="426">
        <f t="shared" si="16"/>
        <v>0</v>
      </c>
      <c r="K43" s="404">
        <f t="shared" si="16"/>
        <v>0</v>
      </c>
      <c r="L43" s="381">
        <f t="shared" si="16"/>
        <v>0</v>
      </c>
      <c r="O43" s="370">
        <f t="shared" ref="O43:O45" si="17">-SUM(J43:L43)</f>
        <v>0</v>
      </c>
    </row>
    <row r="44" spans="1:15">
      <c r="A44" s="476" t="s">
        <v>92</v>
      </c>
      <c r="C44" s="294">
        <v>0</v>
      </c>
      <c r="D44" s="365">
        <f t="shared" si="16"/>
        <v>0</v>
      </c>
      <c r="E44" s="365">
        <f t="shared" si="16"/>
        <v>0</v>
      </c>
      <c r="F44" s="404">
        <f t="shared" si="16"/>
        <v>0</v>
      </c>
      <c r="G44" s="364">
        <f t="shared" si="16"/>
        <v>0</v>
      </c>
      <c r="H44" s="412">
        <f t="shared" si="16"/>
        <v>0</v>
      </c>
      <c r="I44" s="48">
        <f t="shared" si="16"/>
        <v>0</v>
      </c>
      <c r="J44" s="426">
        <f t="shared" si="16"/>
        <v>0</v>
      </c>
      <c r="K44" s="404">
        <f t="shared" si="16"/>
        <v>0</v>
      </c>
      <c r="L44" s="381">
        <f t="shared" si="16"/>
        <v>0</v>
      </c>
      <c r="O44" s="370">
        <f t="shared" si="17"/>
        <v>0</v>
      </c>
    </row>
    <row r="45" spans="1:15" ht="15.75" thickBot="1">
      <c r="A45" s="476" t="s">
        <v>93</v>
      </c>
      <c r="C45" s="294">
        <v>0</v>
      </c>
      <c r="D45" s="365">
        <f t="shared" si="16"/>
        <v>0</v>
      </c>
      <c r="E45" s="365">
        <f t="shared" si="16"/>
        <v>0</v>
      </c>
      <c r="F45" s="404">
        <f t="shared" si="16"/>
        <v>0</v>
      </c>
      <c r="G45" s="364">
        <f t="shared" si="16"/>
        <v>0</v>
      </c>
      <c r="H45" s="412">
        <f t="shared" si="16"/>
        <v>0</v>
      </c>
      <c r="I45" s="48">
        <f t="shared" si="16"/>
        <v>0</v>
      </c>
      <c r="J45" s="426">
        <f t="shared" si="16"/>
        <v>0</v>
      </c>
      <c r="K45" s="404">
        <f t="shared" si="16"/>
        <v>0</v>
      </c>
      <c r="L45" s="381">
        <f t="shared" si="16"/>
        <v>0</v>
      </c>
      <c r="O45" s="370">
        <f t="shared" si="17"/>
        <v>0</v>
      </c>
    </row>
    <row r="46" spans="1:15" ht="16.5" thickTop="1" thickBot="1">
      <c r="A46" s="376" t="s">
        <v>20</v>
      </c>
      <c r="B46" s="376"/>
      <c r="C46" s="98">
        <v>0</v>
      </c>
      <c r="D46" s="366">
        <f t="shared" ref="D46:I46" si="18">SUM(D42:D45)+SUM(D35:D38)-D49</f>
        <v>0</v>
      </c>
      <c r="E46" s="366">
        <f t="shared" si="18"/>
        <v>0</v>
      </c>
      <c r="F46" s="372">
        <f t="shared" ref="F46:H46" si="19">SUM(F42:F45)+SUM(F35:F38)-F49</f>
        <v>0</v>
      </c>
      <c r="G46" s="243">
        <f t="shared" si="19"/>
        <v>0</v>
      </c>
      <c r="H46" s="372">
        <f t="shared" si="19"/>
        <v>0</v>
      </c>
      <c r="I46" s="382">
        <f t="shared" si="18"/>
        <v>0</v>
      </c>
      <c r="J46" s="427">
        <f t="shared" ref="J46:L46" si="20">SUM(J42:J45)+SUM(J35:J38)-J49</f>
        <v>0</v>
      </c>
      <c r="K46" s="372">
        <f t="shared" si="20"/>
        <v>0</v>
      </c>
      <c r="L46" s="382">
        <f t="shared" si="20"/>
        <v>0</v>
      </c>
    </row>
    <row r="47" spans="1:15" ht="16.5" thickTop="1" thickBot="1">
      <c r="A47" s="376" t="s">
        <v>21</v>
      </c>
      <c r="B47" s="376"/>
      <c r="C47" s="98">
        <v>0</v>
      </c>
      <c r="D47" s="366">
        <f t="shared" ref="D47:I47" si="21">SUM(D42:D45)-D26</f>
        <v>0</v>
      </c>
      <c r="E47" s="366">
        <f t="shared" si="21"/>
        <v>0</v>
      </c>
      <c r="F47" s="372">
        <f t="shared" ref="F47:H47" si="22">SUM(F42:F45)-F26</f>
        <v>0</v>
      </c>
      <c r="G47" s="243">
        <f t="shared" si="22"/>
        <v>0</v>
      </c>
      <c r="H47" s="372">
        <f t="shared" si="22"/>
        <v>0</v>
      </c>
      <c r="I47" s="382">
        <f t="shared" si="21"/>
        <v>0</v>
      </c>
      <c r="J47" s="428">
        <f t="shared" ref="J47:L47" si="23">SUM(J42:J45)-J26</f>
        <v>0</v>
      </c>
      <c r="K47" s="366">
        <f t="shared" si="23"/>
        <v>0</v>
      </c>
      <c r="L47" s="366">
        <f t="shared" si="23"/>
        <v>0</v>
      </c>
    </row>
    <row r="48" spans="1:15" ht="16.5" thickTop="1" thickBot="1">
      <c r="C48" s="402"/>
      <c r="D48" s="346"/>
      <c r="E48" s="346"/>
      <c r="F48" s="346"/>
      <c r="G48" s="340"/>
      <c r="H48" s="346"/>
      <c r="I48" s="341"/>
      <c r="J48" s="346"/>
      <c r="K48" s="346"/>
      <c r="L48" s="341"/>
    </row>
    <row r="49" spans="1:12" ht="15.75" thickBot="1">
      <c r="A49" s="476" t="s">
        <v>30</v>
      </c>
      <c r="B49" s="409">
        <f>SUM(B35:B38)</f>
        <v>0</v>
      </c>
      <c r="C49" s="96">
        <f t="shared" ref="C49:L49" si="24">(C12-SUM(C15:C18))+SUM(C42:C45)+B49</f>
        <v>0</v>
      </c>
      <c r="D49" s="365">
        <f t="shared" si="24"/>
        <v>0</v>
      </c>
      <c r="E49" s="365">
        <f t="shared" si="24"/>
        <v>0</v>
      </c>
      <c r="F49" s="404">
        <f t="shared" si="24"/>
        <v>0</v>
      </c>
      <c r="G49" s="364">
        <f t="shared" si="24"/>
        <v>0</v>
      </c>
      <c r="H49" s="365">
        <f t="shared" si="24"/>
        <v>0</v>
      </c>
      <c r="I49" s="381">
        <f t="shared" si="24"/>
        <v>0</v>
      </c>
      <c r="J49" s="426">
        <f t="shared" si="24"/>
        <v>0</v>
      </c>
      <c r="K49" s="404">
        <f t="shared" si="24"/>
        <v>0</v>
      </c>
      <c r="L49" s="381">
        <f t="shared" si="24"/>
        <v>0</v>
      </c>
    </row>
    <row r="50" spans="1:12">
      <c r="A50" s="476" t="s">
        <v>10</v>
      </c>
      <c r="C50" s="410"/>
      <c r="D50" s="346"/>
      <c r="E50" s="346"/>
      <c r="F50" s="346"/>
      <c r="G50" s="340"/>
      <c r="H50" s="346"/>
      <c r="I50" s="341"/>
      <c r="J50" s="346"/>
      <c r="K50" s="346"/>
      <c r="L50" s="341"/>
    </row>
    <row r="51" spans="1:12" ht="15.75" thickBot="1">
      <c r="A51" s="361"/>
      <c r="B51" s="361"/>
      <c r="C51" s="420"/>
      <c r="D51" s="368"/>
      <c r="E51" s="368"/>
      <c r="F51" s="368"/>
      <c r="G51" s="367"/>
      <c r="H51" s="368"/>
      <c r="I51" s="369"/>
      <c r="J51" s="368"/>
      <c r="K51" s="368"/>
      <c r="L51" s="369"/>
    </row>
    <row r="53" spans="1:12">
      <c r="A53" s="389" t="s">
        <v>9</v>
      </c>
      <c r="B53" s="389"/>
      <c r="C53" s="389"/>
    </row>
    <row r="54" spans="1:12">
      <c r="A54" s="515" t="s">
        <v>138</v>
      </c>
      <c r="B54" s="515"/>
      <c r="C54" s="515"/>
      <c r="D54" s="515"/>
      <c r="E54" s="515"/>
      <c r="F54" s="515"/>
      <c r="G54" s="515"/>
      <c r="H54" s="515"/>
      <c r="I54" s="515"/>
      <c r="J54" s="419"/>
      <c r="K54" s="419"/>
      <c r="L54" s="419"/>
    </row>
    <row r="55" spans="1:12" ht="58.5" customHeight="1">
      <c r="A55" s="515" t="s">
        <v>238</v>
      </c>
      <c r="B55" s="515"/>
      <c r="C55" s="515"/>
      <c r="D55" s="515"/>
      <c r="E55" s="515"/>
      <c r="F55" s="515"/>
      <c r="G55" s="515"/>
      <c r="H55" s="515"/>
      <c r="I55" s="515"/>
      <c r="J55" s="419"/>
      <c r="K55" s="419"/>
    </row>
    <row r="56" spans="1:12">
      <c r="A56" s="515" t="s">
        <v>189</v>
      </c>
      <c r="B56" s="515"/>
      <c r="C56" s="515"/>
      <c r="D56" s="515"/>
      <c r="E56" s="515"/>
      <c r="F56" s="515"/>
      <c r="G56" s="515"/>
      <c r="H56" s="515"/>
      <c r="I56" s="515"/>
      <c r="J56" s="419"/>
      <c r="K56" s="419"/>
      <c r="L56" s="419"/>
    </row>
    <row r="57" spans="1:12">
      <c r="A57" s="383" t="s">
        <v>239</v>
      </c>
      <c r="B57" s="383"/>
      <c r="C57" s="383"/>
      <c r="D57" s="363"/>
      <c r="E57" s="363"/>
      <c r="F57" s="363"/>
      <c r="G57" s="363"/>
      <c r="H57" s="363"/>
      <c r="I57" s="299"/>
    </row>
    <row r="58" spans="1:12">
      <c r="A58" s="383" t="s">
        <v>105</v>
      </c>
      <c r="B58" s="383"/>
      <c r="C58" s="383"/>
      <c r="D58" s="363"/>
      <c r="E58" s="363"/>
      <c r="F58" s="363"/>
      <c r="G58" s="363"/>
      <c r="H58" s="363"/>
      <c r="I58" s="299"/>
    </row>
    <row r="59" spans="1:12">
      <c r="A59" s="383"/>
      <c r="B59" s="383"/>
      <c r="C59" s="383"/>
      <c r="D59" s="363"/>
      <c r="E59" s="363"/>
      <c r="F59" s="363"/>
      <c r="G59" s="363"/>
      <c r="H59" s="363"/>
      <c r="I59" s="363"/>
    </row>
    <row r="60" spans="1:12">
      <c r="A60" s="336"/>
      <c r="B60" s="336"/>
      <c r="C60" s="336"/>
    </row>
  </sheetData>
  <mergeCells count="6">
    <mergeCell ref="A56:I56"/>
    <mergeCell ref="D10:F10"/>
    <mergeCell ref="G10:I10"/>
    <mergeCell ref="J10:L10"/>
    <mergeCell ref="A54:I54"/>
    <mergeCell ref="A55:I55"/>
  </mergeCells>
  <pageMargins left="0.2" right="0.2" top="0.75" bottom="0.25" header="0.3" footer="0.3"/>
  <pageSetup scale="62" orientation="landscape" r:id="rId1"/>
  <headerFooter>
    <oddHeader>&amp;C&amp;F &amp;A&amp;R&amp;"Arial"&amp;10&amp;K000000CONFIDENTIAL</oddHeader>
    <oddFooter xml:space="preserve">&amp;R_x000D_&amp;1#&amp;"Calibri"&amp;10&amp;KA80000 Restricted – Sensitive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50"/>
  <sheetViews>
    <sheetView tabSelected="1" zoomScale="90" zoomScaleNormal="90" workbookViewId="0"/>
  </sheetViews>
  <sheetFormatPr defaultRowHeight="15" outlineLevelCol="1"/>
  <cols>
    <col min="2" max="2" width="25.140625" customWidth="1"/>
    <col min="3" max="4" width="16.7109375" bestFit="1" customWidth="1"/>
    <col min="5" max="5" width="15.42578125" bestFit="1" customWidth="1"/>
    <col min="6" max="6" width="14.28515625" bestFit="1" customWidth="1"/>
    <col min="7" max="7" width="19.140625" bestFit="1" customWidth="1"/>
    <col min="8" max="8" width="14.28515625" bestFit="1" customWidth="1"/>
    <col min="9" max="9" width="3.5703125" customWidth="1"/>
    <col min="10" max="10" width="13.7109375" bestFit="1" customWidth="1"/>
    <col min="11" max="11" width="13" bestFit="1" customWidth="1"/>
    <col min="12" max="12" width="13.7109375" bestFit="1" customWidth="1"/>
    <col min="13" max="13" width="14.28515625" bestFit="1" customWidth="1"/>
    <col min="14" max="14" width="12.28515625" bestFit="1" customWidth="1"/>
    <col min="15" max="16" width="16" bestFit="1" customWidth="1" outlineLevel="1"/>
    <col min="17" max="17" width="16" style="45" customWidth="1" outlineLevel="1"/>
    <col min="18" max="18" width="9.140625" customWidth="1" outlineLevel="1"/>
    <col min="19" max="20" width="16.7109375" bestFit="1" customWidth="1" outlineLevel="1"/>
    <col min="21" max="21" width="16.7109375" style="45" bestFit="1" customWidth="1" outlineLevel="1"/>
    <col min="22" max="22" width="16.7109375" bestFit="1" customWidth="1" outlineLevel="1"/>
    <col min="23" max="23" width="9.140625" customWidth="1" outlineLevel="1"/>
    <col min="24" max="27" width="16.7109375" bestFit="1" customWidth="1" outlineLevel="1"/>
    <col min="28" max="28" width="12.85546875" bestFit="1" customWidth="1"/>
    <col min="29" max="32" width="16.7109375" customWidth="1"/>
    <col min="33" max="33" width="12.85546875" bestFit="1" customWidth="1"/>
  </cols>
  <sheetData>
    <row r="1" spans="1:33">
      <c r="A1" s="3" t="str">
        <f>+'PTD Cycle 3'!A1</f>
        <v>Evergy Missouri West, Inc. - DSIM Rider Update Filed 06/01/2026</v>
      </c>
    </row>
    <row r="2" spans="1:33" ht="15.75" thickBot="1">
      <c r="H2" s="45"/>
      <c r="I2" s="45"/>
      <c r="J2" s="47"/>
      <c r="K2" s="47"/>
    </row>
    <row r="3" spans="1:33" ht="27.75" thickBot="1">
      <c r="B3" s="84" t="s">
        <v>5</v>
      </c>
      <c r="C3" s="116" t="s">
        <v>17</v>
      </c>
      <c r="D3" s="116" t="s">
        <v>18</v>
      </c>
      <c r="E3" s="116" t="s">
        <v>51</v>
      </c>
      <c r="F3" s="116" t="s">
        <v>19</v>
      </c>
      <c r="G3" s="86" t="s">
        <v>32</v>
      </c>
      <c r="H3" s="86" t="s">
        <v>25</v>
      </c>
      <c r="I3" s="38"/>
      <c r="J3" s="85" t="s">
        <v>11</v>
      </c>
      <c r="K3" s="86" t="s">
        <v>50</v>
      </c>
      <c r="L3" s="86" t="s">
        <v>62</v>
      </c>
      <c r="M3" s="86" t="s">
        <v>63</v>
      </c>
      <c r="N3" s="261" t="s">
        <v>172</v>
      </c>
      <c r="O3" s="16"/>
    </row>
    <row r="4" spans="1:33" ht="15.75" thickBot="1">
      <c r="B4" s="87" t="s">
        <v>22</v>
      </c>
      <c r="C4" s="114">
        <f t="shared" ref="C4:F7" si="0">C12+C20</f>
        <v>2143442.8499999996</v>
      </c>
      <c r="D4" s="115">
        <f t="shared" si="0"/>
        <v>303348.15000000037</v>
      </c>
      <c r="E4" s="115">
        <f t="shared" si="0"/>
        <v>697803.68999999971</v>
      </c>
      <c r="F4" s="115">
        <f t="shared" si="0"/>
        <v>-100292.16999999981</v>
      </c>
      <c r="G4" s="332">
        <f>SUM('[28]GMO Billed kWh Sales'!$E43:$F43)</f>
        <v>3792141263</v>
      </c>
      <c r="H4" s="238">
        <f>ROUND(SUM(C4:F4)/G4,5)</f>
        <v>8.0000000000000004E-4</v>
      </c>
      <c r="I4" s="239"/>
      <c r="J4" s="480">
        <f>ROUND((C12+C20)/G4,5)</f>
        <v>5.6999999999999998E-4</v>
      </c>
      <c r="K4" s="245">
        <f>ROUND((D12+D20)/G4,5)</f>
        <v>8.0000000000000007E-5</v>
      </c>
      <c r="L4" s="118">
        <f>ROUND((E12+E20)/G4,5)</f>
        <v>1.8000000000000001E-4</v>
      </c>
      <c r="M4" s="118">
        <f>ROUND((F12+F20)/G4,5)</f>
        <v>-3.0000000000000001E-5</v>
      </c>
      <c r="N4" s="498">
        <f>+H4-SUM(J4:M4)</f>
        <v>0</v>
      </c>
      <c r="O4" s="222"/>
      <c r="P4" s="222"/>
      <c r="Q4" s="222"/>
      <c r="R4" s="222"/>
      <c r="S4" s="222"/>
    </row>
    <row r="5" spans="1:33" ht="15.75" thickBot="1">
      <c r="B5" s="87" t="s">
        <v>91</v>
      </c>
      <c r="C5" s="114">
        <f t="shared" si="0"/>
        <v>1192475.6499999999</v>
      </c>
      <c r="D5" s="115">
        <f t="shared" si="0"/>
        <v>493545.58</v>
      </c>
      <c r="E5" s="115">
        <f t="shared" si="0"/>
        <v>160875.32999999999</v>
      </c>
      <c r="F5" s="115">
        <f t="shared" si="0"/>
        <v>-10009.690000000004</v>
      </c>
      <c r="G5" s="332">
        <f>SUM('[28]GMO Billed kWh Sales'!$E44:$F44)</f>
        <v>1330999348</v>
      </c>
      <c r="H5" s="238">
        <f>ROUND(SUM(C5:F5)/G5,5)</f>
        <v>1.3799999999999999E-3</v>
      </c>
      <c r="I5" s="239"/>
      <c r="J5" s="480">
        <f>ROUND((C13+C21)/G5,5)</f>
        <v>8.9999999999999998E-4</v>
      </c>
      <c r="K5" s="245">
        <f>ROUND((D13+D21)/G5,5)</f>
        <v>3.6999999999999999E-4</v>
      </c>
      <c r="L5" s="118">
        <f>ROUND((E13+E21)/G5,5)</f>
        <v>1.2E-4</v>
      </c>
      <c r="M5" s="118">
        <f>ROUND((F13+F21)/G5,5)</f>
        <v>-1.0000000000000001E-5</v>
      </c>
      <c r="N5" s="498">
        <f t="shared" ref="N5:N7" si="1">+H5-SUM(J5:M5)</f>
        <v>0</v>
      </c>
      <c r="O5" s="222">
        <f>C5/SUM(C$5:C$7)</f>
        <v>0.19203203353613491</v>
      </c>
      <c r="P5" s="222">
        <f t="shared" ref="P5:Q5" si="2">D5/SUM(D$5:D$7)</f>
        <v>0.4928051845626612</v>
      </c>
      <c r="Q5" s="222">
        <f t="shared" si="2"/>
        <v>0.32109760526845293</v>
      </c>
      <c r="R5" s="222">
        <f>F5/SUM(F$5:F$7)</f>
        <v>0.23309361129074285</v>
      </c>
      <c r="S5" s="222">
        <f>G5/SUM(G$5:G$7)</f>
        <v>0.34584666609586606</v>
      </c>
    </row>
    <row r="6" spans="1:33" s="45" customFormat="1" ht="15.75" thickBot="1">
      <c r="B6" s="87" t="s">
        <v>92</v>
      </c>
      <c r="C6" s="114">
        <f t="shared" si="0"/>
        <v>2384417.1799999997</v>
      </c>
      <c r="D6" s="115">
        <f t="shared" si="0"/>
        <v>423169.67</v>
      </c>
      <c r="E6" s="115">
        <f t="shared" si="0"/>
        <v>224878.41000000003</v>
      </c>
      <c r="F6" s="115">
        <f t="shared" si="0"/>
        <v>-18638.989999999965</v>
      </c>
      <c r="G6" s="332">
        <f>SUM('[28]GMO Billed kWh Sales'!$E45:$F45)</f>
        <v>1063768451</v>
      </c>
      <c r="H6" s="238">
        <f>ROUND(SUM(C6:F6)/G6,5)</f>
        <v>2.8300000000000001E-3</v>
      </c>
      <c r="I6" s="239"/>
      <c r="J6" s="480">
        <f>ROUND((C14+C22)/G6,5)</f>
        <v>2.2399999999999998E-3</v>
      </c>
      <c r="K6" s="245">
        <f>ROUND((D14+D22)/G6,5)</f>
        <v>4.0000000000000002E-4</v>
      </c>
      <c r="L6" s="118">
        <f>ROUND((E14+E22)/G6,5)</f>
        <v>2.1000000000000001E-4</v>
      </c>
      <c r="M6" s="118">
        <f>ROUND((F14+F22)/G6,5)</f>
        <v>-2.0000000000000002E-5</v>
      </c>
      <c r="N6" s="498">
        <f t="shared" si="1"/>
        <v>0</v>
      </c>
      <c r="O6" s="222">
        <f t="shared" ref="O6:O7" si="3">C6/SUM(C$5:C$7)</f>
        <v>0.38397805428890408</v>
      </c>
      <c r="P6" s="222">
        <f t="shared" ref="P6:P7" si="4">D6/SUM(D$5:D$7)</f>
        <v>0.42253484941688757</v>
      </c>
      <c r="Q6" s="222">
        <f t="shared" ref="Q6:Q7" si="5">E6/SUM(E$5:E$7)</f>
        <v>0.44884395219315065</v>
      </c>
      <c r="R6" s="222">
        <f>F6/SUM(F$5:F$7)</f>
        <v>0.43404236194248103</v>
      </c>
      <c r="S6" s="222">
        <f t="shared" ref="S6:S7" si="6">G6/SUM(G$5:G$7)</f>
        <v>0.27640943087547903</v>
      </c>
    </row>
    <row r="7" spans="1:33" s="45" customFormat="1" ht="15.75" thickBot="1">
      <c r="B7" s="87" t="s">
        <v>93</v>
      </c>
      <c r="C7" s="114">
        <f t="shared" si="0"/>
        <v>2632881.8000000007</v>
      </c>
      <c r="D7" s="115">
        <f t="shared" si="0"/>
        <v>84787.160000000033</v>
      </c>
      <c r="E7" s="115">
        <f t="shared" si="0"/>
        <v>115263.16999999995</v>
      </c>
      <c r="F7" s="115">
        <f t="shared" si="0"/>
        <v>-14294.110000000048</v>
      </c>
      <c r="G7" s="332">
        <f>SUM('[28]GMO Billed kWh Sales'!$E46:$F46)</f>
        <v>1453756644</v>
      </c>
      <c r="H7" s="238">
        <f>ROUND(SUM(C7:F7)/G7,5)</f>
        <v>1.9400000000000001E-3</v>
      </c>
      <c r="I7" s="239"/>
      <c r="J7" s="480">
        <f>ROUND((C15+C23)/G7,5)</f>
        <v>1.81E-3</v>
      </c>
      <c r="K7" s="245">
        <f>ROUND((D15+D23)/G7,5)</f>
        <v>6.0000000000000002E-5</v>
      </c>
      <c r="L7" s="118">
        <f>ROUND((E15+E23)/G7,5)</f>
        <v>8.0000000000000007E-5</v>
      </c>
      <c r="M7" s="118">
        <f>ROUND((F15+F23)/G7,5)</f>
        <v>-1.0000000000000001E-5</v>
      </c>
      <c r="N7" s="498">
        <f t="shared" si="1"/>
        <v>0</v>
      </c>
      <c r="O7" s="222">
        <f t="shared" si="3"/>
        <v>0.4239899121749609</v>
      </c>
      <c r="P7" s="222">
        <f t="shared" si="4"/>
        <v>8.4659966020451241E-2</v>
      </c>
      <c r="Q7" s="222">
        <f t="shared" si="5"/>
        <v>0.2300584425383965</v>
      </c>
      <c r="R7" s="222">
        <f>F7/SUM(F$5:F$7)</f>
        <v>0.33286402676677601</v>
      </c>
      <c r="S7" s="222">
        <f t="shared" si="6"/>
        <v>0.37774390302865485</v>
      </c>
    </row>
    <row r="8" spans="1:33">
      <c r="C8" s="113"/>
      <c r="D8" s="113"/>
      <c r="E8" s="113"/>
      <c r="F8" s="113"/>
      <c r="G8" s="112"/>
      <c r="H8" s="240"/>
      <c r="I8" s="240"/>
      <c r="J8" s="240"/>
    </row>
    <row r="9" spans="1:33">
      <c r="C9" s="113"/>
      <c r="D9" s="113"/>
      <c r="E9" s="113"/>
      <c r="F9" s="113"/>
      <c r="G9" s="112"/>
      <c r="H9" s="45"/>
      <c r="I9" s="45"/>
      <c r="J9" s="16"/>
      <c r="K9" s="16"/>
      <c r="L9" s="45"/>
      <c r="M9" s="45"/>
    </row>
    <row r="10" spans="1:33" ht="15.75" thickBot="1">
      <c r="C10" s="113"/>
      <c r="D10" s="113"/>
      <c r="E10" s="113"/>
      <c r="F10" s="113"/>
      <c r="G10" s="112"/>
      <c r="H10" s="45"/>
      <c r="I10" s="45"/>
      <c r="J10" s="16"/>
      <c r="K10" s="16"/>
      <c r="L10" s="45"/>
      <c r="M10" s="45"/>
    </row>
    <row r="11" spans="1:33" ht="15.75" thickBot="1">
      <c r="B11" s="84" t="s">
        <v>5</v>
      </c>
      <c r="C11" s="117" t="s">
        <v>4</v>
      </c>
      <c r="D11" s="117" t="s">
        <v>14</v>
      </c>
      <c r="E11" s="117" t="s">
        <v>52</v>
      </c>
      <c r="F11" s="117" t="s">
        <v>15</v>
      </c>
      <c r="G11" s="112"/>
      <c r="H11" s="45"/>
      <c r="I11" s="45"/>
      <c r="J11" s="16"/>
      <c r="K11" s="16"/>
      <c r="L11" s="45"/>
      <c r="M11" s="45"/>
      <c r="O11" s="117" t="s">
        <v>64</v>
      </c>
      <c r="P11" s="117" t="s">
        <v>65</v>
      </c>
      <c r="Q11" s="117" t="s">
        <v>72</v>
      </c>
      <c r="R11" s="45"/>
      <c r="S11" s="117" t="s">
        <v>66</v>
      </c>
      <c r="T11" s="117" t="s">
        <v>67</v>
      </c>
      <c r="U11" s="117" t="s">
        <v>88</v>
      </c>
      <c r="V11" s="117" t="s">
        <v>81</v>
      </c>
      <c r="X11" s="117" t="s">
        <v>96</v>
      </c>
      <c r="Y11" s="117" t="s">
        <v>97</v>
      </c>
      <c r="Z11" s="117" t="s">
        <v>98</v>
      </c>
      <c r="AA11" s="117" t="s">
        <v>99</v>
      </c>
      <c r="AC11" s="117" t="s">
        <v>176</v>
      </c>
      <c r="AD11" s="117" t="s">
        <v>177</v>
      </c>
      <c r="AE11" s="117" t="s">
        <v>178</v>
      </c>
      <c r="AF11" s="117" t="s">
        <v>179</v>
      </c>
      <c r="AG11" s="45"/>
    </row>
    <row r="12" spans="1:33" ht="15.75" thickBot="1">
      <c r="B12" s="87" t="s">
        <v>22</v>
      </c>
      <c r="C12" s="260">
        <f>+'PPC Cycle 4'!C5</f>
        <v>3770985.6500000004</v>
      </c>
      <c r="D12" s="260">
        <f>+'PTD Cycle 3'!C6+'PTD Cycle 4'!C6</f>
        <v>382371.41000000003</v>
      </c>
      <c r="E12" s="260">
        <f>+'EO Cycle 3'!G8+'EO Cycle 4'!G8</f>
        <v>178927.78999999998</v>
      </c>
      <c r="F12" s="260">
        <f>+'OA Cycle 3'!F9</f>
        <v>0</v>
      </c>
      <c r="G12" s="112"/>
      <c r="H12" s="45"/>
      <c r="I12" s="45"/>
      <c r="J12" s="45"/>
      <c r="K12" s="45"/>
      <c r="L12" s="45"/>
      <c r="M12" s="45"/>
      <c r="O12" s="262">
        <v>0</v>
      </c>
      <c r="P12" s="262">
        <v>0</v>
      </c>
      <c r="Q12" s="263">
        <v>0</v>
      </c>
      <c r="R12" s="137"/>
      <c r="S12" s="264">
        <v>0</v>
      </c>
      <c r="T12" s="264">
        <v>0</v>
      </c>
      <c r="U12" s="264">
        <v>0</v>
      </c>
      <c r="V12" s="264">
        <v>0</v>
      </c>
      <c r="X12" s="264">
        <v>0</v>
      </c>
      <c r="Y12" s="265">
        <f>ROUND('PTD Cycle 3'!C6/'Tariff Tables'!G4,5)</f>
        <v>6.9999999999999994E-5</v>
      </c>
      <c r="Z12" s="265">
        <f>ROUND('EO Cycle 3'!G8/'Tariff Tables'!G4,5)</f>
        <v>3.0000000000000001E-5</v>
      </c>
      <c r="AA12" s="265">
        <f>ROUND('OA Cycle 3'!F9/'Tariff Tables'!G4,5)</f>
        <v>0</v>
      </c>
      <c r="AB12" s="137"/>
      <c r="AC12" s="265">
        <f>ROUND('PPC Cycle 4'!C5/'Tariff Tables'!$G4,5)</f>
        <v>9.8999999999999999E-4</v>
      </c>
      <c r="AD12" s="265">
        <f>ROUND('PTD Cycle 4'!C6/'Tariff Tables'!G4,5)</f>
        <v>3.0000000000000001E-5</v>
      </c>
      <c r="AE12" s="265">
        <f>ROUND('EO Cycle 4'!G8/'Tariff Tables'!G4,5)</f>
        <v>2.0000000000000002E-5</v>
      </c>
      <c r="AF12" s="265"/>
      <c r="AG12" s="137">
        <f ca="1">SUM($O12:OFFSET(AG12,0,-1),$O20:OFFSET(AG20,0,-1))</f>
        <v>8.0000000000000015E-4</v>
      </c>
    </row>
    <row r="13" spans="1:33" ht="15.75" thickBot="1">
      <c r="B13" s="87" t="s">
        <v>91</v>
      </c>
      <c r="C13" s="260">
        <f>+'PPC Cycle 4'!C6</f>
        <v>1971595.6</v>
      </c>
      <c r="D13" s="260">
        <f>+'PTD Cycle 3'!C7+'PTD Cycle 4'!C7</f>
        <v>592453.57000000007</v>
      </c>
      <c r="E13" s="260">
        <f>+'EO Cycle 3'!G12+'EO Cycle 4'!G12</f>
        <v>101598.79000000001</v>
      </c>
      <c r="F13" s="260">
        <f>+'OA Cycle 3'!F14</f>
        <v>0</v>
      </c>
      <c r="G13" s="112"/>
      <c r="H13" s="45"/>
      <c r="I13" s="45"/>
      <c r="J13" s="45"/>
      <c r="K13" s="45"/>
      <c r="L13" s="45"/>
      <c r="M13" s="45"/>
      <c r="O13" s="262">
        <v>0</v>
      </c>
      <c r="P13" s="262">
        <v>0</v>
      </c>
      <c r="Q13" s="263">
        <v>0</v>
      </c>
      <c r="R13" s="137"/>
      <c r="S13" s="264">
        <v>0</v>
      </c>
      <c r="T13" s="264">
        <v>0</v>
      </c>
      <c r="U13" s="264">
        <v>0</v>
      </c>
      <c r="V13" s="264">
        <v>0</v>
      </c>
      <c r="X13" s="264">
        <v>0</v>
      </c>
      <c r="Y13" s="265">
        <f>ROUND('PTD Cycle 3'!C7/'Tariff Tables'!G5,5)</f>
        <v>3.1E-4</v>
      </c>
      <c r="Z13" s="265">
        <f>ROUND('EO Cycle 3'!G12/'Tariff Tables'!G5,5)</f>
        <v>3.0000000000000001E-5</v>
      </c>
      <c r="AA13" s="265">
        <f>ROUND(0/'Tariff Tables'!G5,5)</f>
        <v>0</v>
      </c>
      <c r="AB13" s="137"/>
      <c r="AC13" s="265">
        <f>ROUND('PPC Cycle 4'!C6/'Tariff Tables'!$G5,5)</f>
        <v>1.48E-3</v>
      </c>
      <c r="AD13" s="265">
        <f>ROUND('PTD Cycle 4'!C7/'Tariff Tables'!G5,5)</f>
        <v>1.2999999999999999E-4</v>
      </c>
      <c r="AE13" s="265">
        <f>ROUND('EO Cycle 4'!G12/'Tariff Tables'!G5,5)</f>
        <v>5.0000000000000002E-5</v>
      </c>
      <c r="AF13" s="265"/>
      <c r="AG13" s="137">
        <f ca="1">SUM($O13:OFFSET(AG13,0,-1),$O21:OFFSET(AG21,0,-1))</f>
        <v>1.3800000000000002E-3</v>
      </c>
    </row>
    <row r="14" spans="1:33" s="45" customFormat="1" ht="15.75" thickBot="1">
      <c r="B14" s="87" t="s">
        <v>92</v>
      </c>
      <c r="C14" s="260">
        <f>+'PPC Cycle 4'!C7</f>
        <v>3137322.06</v>
      </c>
      <c r="D14" s="260">
        <f>+'PTD Cycle 3'!C8+'PTD Cycle 4'!C8</f>
        <v>421392.99</v>
      </c>
      <c r="E14" s="260">
        <f>+'EO Cycle 3'!G13+'EO Cycle 4'!G13</f>
        <v>102931.79</v>
      </c>
      <c r="F14" s="260">
        <f>+'OA Cycle 3'!F15</f>
        <v>0</v>
      </c>
      <c r="G14" s="112"/>
      <c r="O14" s="262">
        <v>0</v>
      </c>
      <c r="P14" s="262">
        <v>0</v>
      </c>
      <c r="Q14" s="263">
        <v>0</v>
      </c>
      <c r="R14" s="201"/>
      <c r="S14" s="264">
        <v>0</v>
      </c>
      <c r="T14" s="264">
        <v>0</v>
      </c>
      <c r="U14" s="264">
        <v>0</v>
      </c>
      <c r="V14" s="264">
        <v>0</v>
      </c>
      <c r="X14" s="264">
        <v>0</v>
      </c>
      <c r="Y14" s="265">
        <f>ROUND('PTD Cycle 3'!C8/'Tariff Tables'!G6,5)</f>
        <v>2.4000000000000001E-4</v>
      </c>
      <c r="Z14" s="494">
        <f>ROUND('EO Cycle 3'!G13/'Tariff Tables'!G6,5)+0.00001</f>
        <v>4.0000000000000003E-5</v>
      </c>
      <c r="AA14" s="265">
        <f>ROUND(0/'Tariff Tables'!G6,5)</f>
        <v>0</v>
      </c>
      <c r="AB14" s="137"/>
      <c r="AC14" s="265">
        <f>ROUND('PPC Cycle 4'!C7/'Tariff Tables'!$G6,5)</f>
        <v>2.9499999999999999E-3</v>
      </c>
      <c r="AD14" s="265">
        <f>ROUND('PTD Cycle 4'!C8/'Tariff Tables'!G6,5)</f>
        <v>1.6000000000000001E-4</v>
      </c>
      <c r="AE14" s="265">
        <f>ROUND('EO Cycle 4'!G13/'Tariff Tables'!G6,5)</f>
        <v>6.0000000000000002E-5</v>
      </c>
      <c r="AF14" s="265"/>
      <c r="AG14" s="137">
        <f ca="1">SUM($O14:OFFSET(AG14,0,-1),$O22:OFFSET(AG22,0,-1))</f>
        <v>2.8300000000000001E-3</v>
      </c>
    </row>
    <row r="15" spans="1:33" s="45" customFormat="1" ht="15.75" thickBot="1">
      <c r="B15" s="87" t="s">
        <v>93</v>
      </c>
      <c r="C15" s="260">
        <f>+'PPC Cycle 4'!C8</f>
        <v>3968471.2800000003</v>
      </c>
      <c r="D15" s="260">
        <f>+'PTD Cycle 3'!C9+'PTD Cycle 4'!C9</f>
        <v>84802.51999999999</v>
      </c>
      <c r="E15" s="260">
        <f>+'EO Cycle 3'!G14+'EO Cycle 4'!G14</f>
        <v>45152.53</v>
      </c>
      <c r="F15" s="260">
        <f>+'OA Cycle 3'!F16</f>
        <v>0</v>
      </c>
      <c r="G15" s="112"/>
      <c r="O15" s="262">
        <v>0</v>
      </c>
      <c r="P15" s="262">
        <v>0</v>
      </c>
      <c r="Q15" s="263">
        <v>0</v>
      </c>
      <c r="R15" s="201"/>
      <c r="S15" s="264">
        <v>0</v>
      </c>
      <c r="T15" s="264">
        <v>0</v>
      </c>
      <c r="U15" s="264">
        <v>0</v>
      </c>
      <c r="V15" s="264">
        <v>0</v>
      </c>
      <c r="X15" s="264">
        <v>0</v>
      </c>
      <c r="Y15" s="265">
        <f>ROUND('PTD Cycle 3'!C9/'Tariff Tables'!G7,5)</f>
        <v>4.0000000000000003E-5</v>
      </c>
      <c r="Z15" s="265">
        <f>ROUND('EO Cycle 3'!G14/'Tariff Tables'!G7,5)</f>
        <v>2.0000000000000002E-5</v>
      </c>
      <c r="AA15" s="265">
        <f>ROUND(0/'Tariff Tables'!G7,5)</f>
        <v>0</v>
      </c>
      <c r="AB15" s="137"/>
      <c r="AC15" s="265">
        <f>ROUND('PPC Cycle 4'!C8/'Tariff Tables'!$G7,5)</f>
        <v>2.7299999999999998E-3</v>
      </c>
      <c r="AD15" s="265">
        <f>ROUND('PTD Cycle 4'!C9/'Tariff Tables'!G7,5)</f>
        <v>2.0000000000000002E-5</v>
      </c>
      <c r="AE15" s="265">
        <f>ROUND('EO Cycle 4'!G14/'Tariff Tables'!G7,5)</f>
        <v>1.0000000000000001E-5</v>
      </c>
      <c r="AF15" s="265"/>
      <c r="AG15" s="137">
        <f ca="1">SUM($O15:OFFSET(AG15,0,-1),$O23:OFFSET(AG23,0,-1))</f>
        <v>1.9399999999999999E-3</v>
      </c>
    </row>
    <row r="16" spans="1:33">
      <c r="C16" s="112"/>
      <c r="D16" s="112"/>
      <c r="E16" s="112"/>
      <c r="F16" s="112"/>
      <c r="G16" s="112"/>
      <c r="J16" s="16"/>
      <c r="K16" s="16"/>
      <c r="O16" s="157"/>
      <c r="P16" s="157"/>
      <c r="Q16" s="202"/>
      <c r="R16" s="201"/>
      <c r="S16" s="201"/>
      <c r="T16" s="201"/>
      <c r="U16" s="201"/>
      <c r="V16" s="137"/>
      <c r="X16" s="201"/>
      <c r="Y16" s="201"/>
      <c r="Z16" s="201"/>
      <c r="AA16" s="201"/>
      <c r="AC16" s="201"/>
      <c r="AD16" s="201"/>
      <c r="AE16" s="201"/>
      <c r="AF16" s="201"/>
      <c r="AG16" s="45"/>
    </row>
    <row r="17" spans="2:33">
      <c r="C17" s="113"/>
      <c r="D17" s="113"/>
      <c r="E17" s="113"/>
      <c r="F17" s="113"/>
      <c r="G17" s="112"/>
      <c r="J17" s="16"/>
      <c r="K17" s="16"/>
      <c r="O17" s="157"/>
      <c r="P17" s="157"/>
      <c r="Q17" s="202"/>
      <c r="R17" s="201"/>
      <c r="S17" s="201"/>
      <c r="T17" s="201"/>
      <c r="U17" s="201"/>
      <c r="V17" s="137"/>
      <c r="X17" s="201"/>
      <c r="Y17" s="201"/>
      <c r="Z17" s="201"/>
      <c r="AA17" s="201"/>
      <c r="AC17" s="201"/>
      <c r="AD17" s="201"/>
      <c r="AE17" s="201"/>
      <c r="AF17" s="201"/>
      <c r="AG17" s="45"/>
    </row>
    <row r="18" spans="2:33" ht="15.75" thickBot="1">
      <c r="C18" s="113"/>
      <c r="D18" s="113"/>
      <c r="E18" s="113"/>
      <c r="F18" s="113"/>
      <c r="G18" s="112"/>
      <c r="J18" s="16"/>
      <c r="K18" s="16"/>
      <c r="O18" s="157"/>
      <c r="P18" s="157"/>
      <c r="Q18" s="202"/>
      <c r="R18" s="201"/>
      <c r="S18" s="201"/>
      <c r="T18" s="201"/>
      <c r="U18" s="201"/>
      <c r="V18" s="201"/>
      <c r="W18" s="240"/>
      <c r="X18" s="201"/>
      <c r="Y18" s="201"/>
      <c r="Z18" s="201"/>
      <c r="AA18" s="201"/>
      <c r="AC18" s="201"/>
      <c r="AD18" s="201"/>
      <c r="AE18" s="201"/>
      <c r="AF18" s="201"/>
      <c r="AG18" s="45"/>
    </row>
    <row r="19" spans="2:33" ht="15.75" thickBot="1">
      <c r="B19" s="84" t="s">
        <v>5</v>
      </c>
      <c r="C19" s="117" t="s">
        <v>2</v>
      </c>
      <c r="D19" s="117" t="s">
        <v>7</v>
      </c>
      <c r="E19" s="117" t="s">
        <v>53</v>
      </c>
      <c r="F19" s="117" t="s">
        <v>16</v>
      </c>
      <c r="G19" s="112"/>
      <c r="O19" s="158" t="s">
        <v>68</v>
      </c>
      <c r="P19" s="158" t="s">
        <v>69</v>
      </c>
      <c r="Q19" s="203" t="s">
        <v>73</v>
      </c>
      <c r="R19" s="201"/>
      <c r="S19" s="204" t="s">
        <v>70</v>
      </c>
      <c r="T19" s="204" t="s">
        <v>71</v>
      </c>
      <c r="U19" s="203" t="s">
        <v>90</v>
      </c>
      <c r="V19" s="204" t="s">
        <v>82</v>
      </c>
      <c r="W19" s="240"/>
      <c r="X19" s="204" t="s">
        <v>100</v>
      </c>
      <c r="Y19" s="204" t="s">
        <v>101</v>
      </c>
      <c r="Z19" s="203" t="s">
        <v>102</v>
      </c>
      <c r="AA19" s="204" t="s">
        <v>103</v>
      </c>
      <c r="AC19" s="204" t="s">
        <v>180</v>
      </c>
      <c r="AD19" s="204" t="s">
        <v>181</v>
      </c>
      <c r="AE19" s="203" t="s">
        <v>182</v>
      </c>
      <c r="AF19" s="204" t="s">
        <v>183</v>
      </c>
      <c r="AG19" s="45"/>
    </row>
    <row r="20" spans="2:33" ht="15.75" thickBot="1">
      <c r="B20" s="87" t="s">
        <v>22</v>
      </c>
      <c r="C20" s="260">
        <f>+'PCR Cycle 4'!K4+'PCR Cycle 3'!K4</f>
        <v>-1627542.8000000005</v>
      </c>
      <c r="D20" s="260">
        <f>'TDR Cycle 4'!K4+'TDR Cycle 3'!K4</f>
        <v>-79023.259999999675</v>
      </c>
      <c r="E20" s="260">
        <f>+'EOR Cycle 3'!J4</f>
        <v>518875.89999999967</v>
      </c>
      <c r="F20" s="260">
        <f>+'OAR Cycle 3'!I4+'OAR Cycle 4'!I4</f>
        <v>-100292.16999999981</v>
      </c>
      <c r="G20" s="112"/>
      <c r="O20" s="262">
        <v>0</v>
      </c>
      <c r="P20" s="262">
        <v>0</v>
      </c>
      <c r="Q20" s="262">
        <v>0</v>
      </c>
      <c r="R20" s="201"/>
      <c r="S20" s="264">
        <v>0</v>
      </c>
      <c r="T20" s="264">
        <v>0</v>
      </c>
      <c r="U20" s="264">
        <v>0</v>
      </c>
      <c r="V20" s="264">
        <v>0</v>
      </c>
      <c r="W20" s="240"/>
      <c r="X20" s="265">
        <f>ROUND('PCR Cycle 3'!K4/'Tariff Tables'!G4,5)</f>
        <v>1E-4</v>
      </c>
      <c r="Y20" s="265">
        <f>ROUND('TDR Cycle 3'!$K4/'Tariff Tables'!$G4,5)</f>
        <v>0</v>
      </c>
      <c r="Z20" s="494">
        <f>ROUND('EOR Cycle 3'!J4/'Tariff Tables'!G4,5)-0.00001</f>
        <v>1.2999999999999999E-4</v>
      </c>
      <c r="AA20" s="265">
        <f>ROUND('OAR Cycle 3'!I4/'Tariff Tables'!G4,5)</f>
        <v>-3.0000000000000001E-5</v>
      </c>
      <c r="AC20" s="495">
        <f>ROUND('PCR Cycle 4'!$K4/'Tariff Tables'!$G4,5)+0.00001</f>
        <v>-5.1999999999999995E-4</v>
      </c>
      <c r="AD20" s="494">
        <f>ROUND('TDR Cycle 4'!$K4/'Tariff Tables'!$G4,5)+0.00001</f>
        <v>-1.9999999999999998E-5</v>
      </c>
      <c r="AE20" s="265"/>
      <c r="AF20" s="267">
        <f>ROUND('OAR Cycle 4'!I4/'Tariff Tables'!G4,5)</f>
        <v>0</v>
      </c>
      <c r="AG20" s="45"/>
    </row>
    <row r="21" spans="2:33" ht="15.75" thickBot="1">
      <c r="B21" s="87" t="s">
        <v>91</v>
      </c>
      <c r="C21" s="260">
        <f>+'PCR Cycle 4'!K5+'PCR Cycle 3'!K5</f>
        <v>-779119.9500000003</v>
      </c>
      <c r="D21" s="260">
        <f>'TDR Cycle 4'!K5+'TDR Cycle 3'!K5</f>
        <v>-98907.990000000049</v>
      </c>
      <c r="E21" s="260">
        <f>+'EOR Cycle 3'!J5</f>
        <v>59276.539999999979</v>
      </c>
      <c r="F21" s="260">
        <f>+'OAR Cycle 3'!I5+'OAR Cycle 4'!I5</f>
        <v>-10009.690000000004</v>
      </c>
      <c r="G21" s="112"/>
      <c r="O21" s="262">
        <v>0</v>
      </c>
      <c r="P21" s="262">
        <v>0</v>
      </c>
      <c r="Q21" s="262">
        <v>0</v>
      </c>
      <c r="R21" s="201"/>
      <c r="S21" s="264">
        <v>0</v>
      </c>
      <c r="T21" s="264">
        <v>0</v>
      </c>
      <c r="U21" s="264">
        <v>0</v>
      </c>
      <c r="V21" s="264">
        <v>0</v>
      </c>
      <c r="W21" s="240"/>
      <c r="X21" s="265">
        <f>ROUND('PCR Cycle 3'!K5/'Tariff Tables'!G5,5)</f>
        <v>3.0000000000000001E-5</v>
      </c>
      <c r="Y21" s="494">
        <f>ROUND('TDR Cycle 3'!$K5/'Tariff Tables'!$G5,5)+0.00001</f>
        <v>-4.0000000000000003E-5</v>
      </c>
      <c r="Z21" s="265">
        <f>ROUND('EOR Cycle 3'!J5/'Tariff Tables'!G5,5)</f>
        <v>4.0000000000000003E-5</v>
      </c>
      <c r="AA21" s="265">
        <f>ROUND('OAR Cycle 3'!I5/'Tariff Tables'!G5,5)</f>
        <v>-1.0000000000000001E-5</v>
      </c>
      <c r="AC21" s="495">
        <f>ROUND('PCR Cycle 4'!$K5/'Tariff Tables'!$G5,5)+0.00001</f>
        <v>-6.0999999999999997E-4</v>
      </c>
      <c r="AD21" s="265">
        <f>ROUND('TDR Cycle 4'!$K5/'Tariff Tables'!$G5,5)</f>
        <v>-3.0000000000000001E-5</v>
      </c>
      <c r="AE21" s="265"/>
      <c r="AF21" s="267">
        <f>ROUND('OAR Cycle 4'!I5/'Tariff Tables'!G5,5)</f>
        <v>0</v>
      </c>
      <c r="AG21" s="45"/>
    </row>
    <row r="22" spans="2:33" s="45" customFormat="1" ht="15.75" thickBot="1">
      <c r="B22" s="87" t="s">
        <v>92</v>
      </c>
      <c r="C22" s="260">
        <f>+'PCR Cycle 4'!K6+'PCR Cycle 3'!K6</f>
        <v>-752904.88000000047</v>
      </c>
      <c r="D22" s="260">
        <f>'TDR Cycle 4'!K6+'TDR Cycle 3'!K6</f>
        <v>1776.6800000000057</v>
      </c>
      <c r="E22" s="260">
        <f>+'EOR Cycle 3'!J6</f>
        <v>121946.62000000002</v>
      </c>
      <c r="F22" s="260">
        <f>+'OAR Cycle 3'!I6+'OAR Cycle 4'!I6</f>
        <v>-18638.989999999965</v>
      </c>
      <c r="G22" s="112"/>
      <c r="O22" s="262">
        <v>0</v>
      </c>
      <c r="P22" s="262">
        <v>0</v>
      </c>
      <c r="Q22" s="262">
        <v>0</v>
      </c>
      <c r="R22" s="201"/>
      <c r="S22" s="264">
        <v>0</v>
      </c>
      <c r="T22" s="264">
        <v>0</v>
      </c>
      <c r="U22" s="264">
        <v>0</v>
      </c>
      <c r="V22" s="264">
        <v>0</v>
      </c>
      <c r="W22" s="240"/>
      <c r="X22" s="265">
        <f>ROUND('PCR Cycle 3'!K6/'Tariff Tables'!G6,5)</f>
        <v>3.0000000000000001E-5</v>
      </c>
      <c r="Y22" s="265">
        <f>ROUND('TDR Cycle 3'!$K6/'Tariff Tables'!$G6,5)</f>
        <v>0</v>
      </c>
      <c r="Z22" s="265">
        <f>ROUND('EOR Cycle 3'!J6/'Tariff Tables'!G6,5)</f>
        <v>1.1E-4</v>
      </c>
      <c r="AA22" s="265">
        <f>ROUND('OAR Cycle 3'!I6/'Tariff Tables'!G6,5)</f>
        <v>-2.0000000000000002E-5</v>
      </c>
      <c r="AC22" s="266">
        <f>ROUND('PCR Cycle 4'!$K6/'Tariff Tables'!$G6,5)</f>
        <v>-7.3999999999999999E-4</v>
      </c>
      <c r="AD22" s="265">
        <f>ROUND('TDR Cycle 4'!$K6/'Tariff Tables'!$G6,5)</f>
        <v>0</v>
      </c>
      <c r="AE22" s="265"/>
      <c r="AF22" s="267">
        <f>ROUND('OAR Cycle 4'!I6/'Tariff Tables'!G6,5)</f>
        <v>0</v>
      </c>
    </row>
    <row r="23" spans="2:33" s="45" customFormat="1" ht="15.75" thickBot="1">
      <c r="B23" s="87" t="s">
        <v>93</v>
      </c>
      <c r="C23" s="260">
        <f>+'PCR Cycle 4'!K7+'PCR Cycle 3'!K7</f>
        <v>-1335589.4799999993</v>
      </c>
      <c r="D23" s="260">
        <f>'TDR Cycle 4'!K7+'TDR Cycle 3'!K7</f>
        <v>-15.359999999952834</v>
      </c>
      <c r="E23" s="260">
        <f>+'EOR Cycle 3'!J7</f>
        <v>70110.639999999956</v>
      </c>
      <c r="F23" s="260">
        <f>+'OAR Cycle 3'!I7+'OAR Cycle 4'!I7</f>
        <v>-14294.110000000048</v>
      </c>
      <c r="G23" s="112"/>
      <c r="O23" s="262">
        <v>0</v>
      </c>
      <c r="P23" s="262">
        <v>0</v>
      </c>
      <c r="Q23" s="262">
        <v>0</v>
      </c>
      <c r="R23" s="201"/>
      <c r="S23" s="264">
        <v>0</v>
      </c>
      <c r="T23" s="264">
        <v>0</v>
      </c>
      <c r="U23" s="264">
        <v>0</v>
      </c>
      <c r="V23" s="264">
        <v>0</v>
      </c>
      <c r="W23" s="240"/>
      <c r="X23" s="265">
        <f>ROUND('PCR Cycle 3'!K7/'Tariff Tables'!G7,5)</f>
        <v>-4.0000000000000003E-5</v>
      </c>
      <c r="Y23" s="265">
        <f>ROUND('TDR Cycle 3'!$K7/'Tariff Tables'!$G7,5)</f>
        <v>0</v>
      </c>
      <c r="Z23" s="265">
        <f>ROUND('EOR Cycle 3'!J7/'Tariff Tables'!G7,5)</f>
        <v>5.0000000000000002E-5</v>
      </c>
      <c r="AA23" s="265">
        <f>ROUND('OAR Cycle 3'!I7/'Tariff Tables'!G7,5)</f>
        <v>-1.0000000000000001E-5</v>
      </c>
      <c r="AC23" s="266">
        <f>ROUND('PCR Cycle 4'!$K7/'Tariff Tables'!$G7,5)</f>
        <v>-8.8000000000000003E-4</v>
      </c>
      <c r="AD23" s="265">
        <f>ROUND('TDR Cycle 4'!$K7/'Tariff Tables'!$G7,5)</f>
        <v>0</v>
      </c>
      <c r="AE23" s="265"/>
      <c r="AF23" s="267">
        <f>ROUND('OAR Cycle 4'!I7/'Tariff Tables'!G7,5)</f>
        <v>0</v>
      </c>
    </row>
    <row r="24" spans="2:33">
      <c r="C24" s="112"/>
      <c r="D24" s="112"/>
      <c r="E24" s="112"/>
      <c r="F24" s="112"/>
      <c r="O24" s="45"/>
      <c r="P24" s="45"/>
      <c r="R24" s="45"/>
      <c r="S24" s="240"/>
      <c r="T24" s="240"/>
      <c r="U24" s="240"/>
      <c r="V24" s="240"/>
      <c r="W24" s="240"/>
      <c r="X24" s="240"/>
      <c r="Y24" s="240"/>
      <c r="Z24" s="240"/>
    </row>
    <row r="25" spans="2:33">
      <c r="B25" s="90" t="s">
        <v>33</v>
      </c>
      <c r="W25" t="s">
        <v>127</v>
      </c>
      <c r="X25" s="499">
        <f>+J4-O12-O20-S12-S20-X12-X20-AC12-AC20</f>
        <v>0</v>
      </c>
      <c r="Y25" s="499">
        <f>+K4-P12-P20-T12-T20-Y12-Y20-AD12-AD20</f>
        <v>0</v>
      </c>
      <c r="Z25" s="499">
        <f>+L4-Q12-Q20-U12-U20-Z12-Z20-AE12-AE20</f>
        <v>2.3716922523120409E-20</v>
      </c>
      <c r="AA25" s="499">
        <f>+M4-R12-R20-V12-V20-AA12-AA20-AF12-AF20</f>
        <v>0</v>
      </c>
    </row>
    <row r="26" spans="2:33">
      <c r="B26" s="91" t="s">
        <v>34</v>
      </c>
      <c r="W26" t="s">
        <v>128</v>
      </c>
      <c r="X26" s="499">
        <f>+J5-O13-O21-S13-S21-X13-X21-AC13-AC21</f>
        <v>0</v>
      </c>
      <c r="Y26" s="499">
        <f>+K5-P13-P21-T13-T21-Y13-Y21-AD13-AD21</f>
        <v>0</v>
      </c>
      <c r="Z26" s="499">
        <f>+L5-Q13-Q21-U13-U21-Z13-Z21-AE13-AE21</f>
        <v>0</v>
      </c>
      <c r="AA26" s="499">
        <f>+M5-R13-R21-V13-V21-AA13-AA21-AF13-AF21</f>
        <v>0</v>
      </c>
    </row>
    <row r="27" spans="2:33">
      <c r="B27" s="91" t="s">
        <v>37</v>
      </c>
      <c r="W27" t="s">
        <v>129</v>
      </c>
      <c r="X27" s="500">
        <f>+J6-O14-O22-S14-S22-X14-X22-AC14-AC22</f>
        <v>0</v>
      </c>
      <c r="Y27" s="500">
        <f>+K6-P14-P22-T14-T22-Y14-Y22-AD14-AD22</f>
        <v>0</v>
      </c>
      <c r="Z27" s="500">
        <f>+L6-Q14-Q22-U14-U22-Z14-Z22-AE14-AE22</f>
        <v>6.7762635780344027E-21</v>
      </c>
      <c r="AA27" s="499">
        <f>+M6-R14-R22-V14-V22-AA14-AA22-AF14-AF22</f>
        <v>0</v>
      </c>
    </row>
    <row r="28" spans="2:33">
      <c r="B28" s="91" t="s">
        <v>120</v>
      </c>
      <c r="W28" t="s">
        <v>130</v>
      </c>
      <c r="X28" s="500">
        <f>+J7-O15-O23-S15-S23-X15-X23-AC15-AC23</f>
        <v>0</v>
      </c>
      <c r="Y28" s="500">
        <f>+K7-P15-P23-T15-T23-Y15-Y23-AD15-AD23</f>
        <v>-3.3881317890172014E-21</v>
      </c>
      <c r="Z28" s="500">
        <f>+L7-Q15-Q23-U15-U23-Z15-Z23-AE15-AE23</f>
        <v>5.082197683525802E-21</v>
      </c>
      <c r="AA28" s="499">
        <f>+M7-R15-R23-V15-V23-AA15-AA23-AF15-AF23</f>
        <v>0</v>
      </c>
    </row>
    <row r="29" spans="2:33">
      <c r="B29" s="91" t="s">
        <v>35</v>
      </c>
      <c r="R29" s="45"/>
      <c r="S29" s="45"/>
      <c r="T29" s="45"/>
    </row>
    <row r="30" spans="2:33">
      <c r="B30" s="91" t="s">
        <v>125</v>
      </c>
      <c r="O30" s="215"/>
      <c r="P30" s="215"/>
      <c r="Q30" s="215"/>
      <c r="R30" s="132"/>
      <c r="S30" s="132"/>
      <c r="T30" s="45"/>
    </row>
    <row r="31" spans="2:33">
      <c r="B31" s="91" t="s">
        <v>119</v>
      </c>
      <c r="O31" s="132"/>
      <c r="P31" s="132"/>
      <c r="Q31" s="216"/>
      <c r="R31" s="132"/>
      <c r="S31" s="132"/>
      <c r="T31" s="45"/>
    </row>
    <row r="32" spans="2:33">
      <c r="B32" s="91" t="s">
        <v>42</v>
      </c>
      <c r="O32" s="217"/>
      <c r="P32" s="132"/>
      <c r="Q32" s="216"/>
      <c r="R32" s="132"/>
      <c r="S32" s="132"/>
      <c r="T32" s="45"/>
    </row>
    <row r="33" spans="2:20">
      <c r="B33" s="91" t="s">
        <v>124</v>
      </c>
      <c r="O33" s="218"/>
      <c r="P33" s="219"/>
      <c r="Q33" s="216"/>
      <c r="R33" s="216"/>
      <c r="S33" s="132"/>
      <c r="T33" s="45"/>
    </row>
    <row r="34" spans="2:20">
      <c r="B34" s="91" t="s">
        <v>121</v>
      </c>
      <c r="O34" s="218"/>
      <c r="P34" s="219"/>
      <c r="Q34" s="216"/>
      <c r="R34" s="216"/>
      <c r="S34" s="132"/>
      <c r="T34" s="45"/>
    </row>
    <row r="35" spans="2:20">
      <c r="B35" s="91" t="s">
        <v>122</v>
      </c>
      <c r="O35" s="218"/>
      <c r="P35" s="219"/>
      <c r="Q35" s="216"/>
      <c r="R35" s="216"/>
      <c r="S35" s="132"/>
      <c r="T35" s="45"/>
    </row>
    <row r="36" spans="2:20">
      <c r="B36" s="91" t="s">
        <v>126</v>
      </c>
      <c r="O36" s="218"/>
      <c r="P36" s="219"/>
      <c r="Q36" s="216"/>
      <c r="R36" s="216"/>
      <c r="S36" s="132"/>
      <c r="T36" s="45"/>
    </row>
    <row r="37" spans="2:20">
      <c r="B37" s="91" t="s">
        <v>36</v>
      </c>
      <c r="O37" s="218"/>
      <c r="P37" s="219"/>
      <c r="Q37" s="216"/>
      <c r="R37" s="216"/>
      <c r="S37" s="132"/>
      <c r="T37" s="45"/>
    </row>
    <row r="38" spans="2:20">
      <c r="B38" s="91" t="s">
        <v>123</v>
      </c>
      <c r="O38" s="218"/>
      <c r="P38" s="219"/>
      <c r="Q38" s="216"/>
      <c r="R38" s="216"/>
      <c r="S38" s="132"/>
      <c r="T38" s="45"/>
    </row>
    <row r="39" spans="2:20">
      <c r="B39" s="91" t="s">
        <v>148</v>
      </c>
      <c r="O39" s="220"/>
      <c r="P39" s="219"/>
      <c r="Q39" s="216"/>
      <c r="R39" s="216"/>
      <c r="S39" s="132"/>
      <c r="T39" s="45"/>
    </row>
    <row r="40" spans="2:20">
      <c r="B40" s="91" t="s">
        <v>149</v>
      </c>
      <c r="O40" s="132"/>
      <c r="P40" s="221"/>
      <c r="Q40" s="216"/>
      <c r="R40" s="216"/>
      <c r="S40" s="132"/>
      <c r="T40" s="45"/>
    </row>
    <row r="41" spans="2:20">
      <c r="O41" s="217"/>
      <c r="P41" s="132"/>
      <c r="Q41" s="216"/>
      <c r="R41" s="216"/>
      <c r="S41" s="132"/>
      <c r="T41" s="45"/>
    </row>
    <row r="42" spans="2:20">
      <c r="O42" s="218"/>
      <c r="P42" s="219"/>
      <c r="Q42" s="216"/>
      <c r="R42" s="216"/>
      <c r="S42" s="132"/>
      <c r="T42" s="45"/>
    </row>
    <row r="43" spans="2:20">
      <c r="B43" s="375" t="s">
        <v>9</v>
      </c>
      <c r="C43" s="334"/>
      <c r="D43" s="334"/>
      <c r="E43" s="334"/>
      <c r="F43" s="334"/>
      <c r="G43" s="334"/>
      <c r="O43" s="218"/>
      <c r="P43" s="219"/>
      <c r="Q43" s="216"/>
      <c r="R43" s="216"/>
      <c r="S43" s="132"/>
      <c r="T43" s="45"/>
    </row>
    <row r="44" spans="2:20" ht="32.25" customHeight="1">
      <c r="B44" s="512" t="s">
        <v>269</v>
      </c>
      <c r="C44" s="512"/>
      <c r="D44" s="512"/>
      <c r="E44" s="512"/>
      <c r="F44" s="512"/>
      <c r="G44" s="512"/>
      <c r="O44" s="218"/>
      <c r="P44" s="219"/>
      <c r="Q44" s="216"/>
      <c r="R44" s="216"/>
      <c r="S44" s="132"/>
      <c r="T44" s="45"/>
    </row>
    <row r="45" spans="2:20">
      <c r="O45" s="218"/>
      <c r="P45" s="219"/>
      <c r="Q45" s="216"/>
      <c r="R45" s="216"/>
      <c r="S45" s="132"/>
      <c r="T45" s="45"/>
    </row>
    <row r="46" spans="2:20">
      <c r="O46" s="218"/>
      <c r="P46" s="219"/>
      <c r="Q46" s="216"/>
      <c r="R46" s="216"/>
      <c r="S46" s="132"/>
      <c r="T46" s="45"/>
    </row>
    <row r="47" spans="2:20">
      <c r="O47" s="218"/>
      <c r="P47" s="219"/>
      <c r="Q47" s="216"/>
      <c r="R47" s="216"/>
      <c r="S47" s="132"/>
      <c r="T47" s="45"/>
    </row>
    <row r="48" spans="2:20">
      <c r="O48" s="220"/>
      <c r="P48" s="219"/>
      <c r="Q48" s="216"/>
      <c r="R48" s="216"/>
      <c r="S48" s="132"/>
    </row>
    <row r="49" spans="15:19">
      <c r="O49" s="132"/>
      <c r="P49" s="221"/>
      <c r="Q49" s="216"/>
      <c r="R49" s="216"/>
      <c r="S49" s="132"/>
    </row>
    <row r="50" spans="15:19">
      <c r="O50" s="132"/>
      <c r="P50" s="132"/>
      <c r="Q50" s="216"/>
      <c r="R50" s="216"/>
      <c r="S50" s="132"/>
    </row>
  </sheetData>
  <mergeCells count="1">
    <mergeCell ref="B44:G44"/>
  </mergeCells>
  <pageMargins left="0.2" right="0.2" top="0.75" bottom="0.25" header="0.3" footer="0.3"/>
  <pageSetup scale="43" orientation="landscape" r:id="rId1"/>
  <headerFooter>
    <oddHeader>&amp;C&amp;F &amp;A&amp;R&amp;"Arial"&amp;10&amp;K000000CONFIDENTIAL</oddHeader>
    <oddFooter xml:space="preserve">&amp;R_x000D_&amp;1#&amp;"Calibri"&amp;10&amp;KA80000 Restricted – Sensitive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sheetPr>
    <tabColor rgb="FF00B050"/>
  </sheetPr>
  <dimension ref="A2:I29"/>
  <sheetViews>
    <sheetView zoomScaleNormal="100" workbookViewId="0">
      <selection activeCell="R13" sqref="R13"/>
    </sheetView>
  </sheetViews>
  <sheetFormatPr defaultRowHeight="15"/>
  <cols>
    <col min="1" max="1" width="27.7109375" customWidth="1"/>
    <col min="2" max="6" width="11.28515625" bestFit="1" customWidth="1"/>
    <col min="7" max="7" width="9.7109375" bestFit="1" customWidth="1"/>
  </cols>
  <sheetData>
    <row r="2" spans="1:9">
      <c r="A2" s="3" t="str">
        <f>+'Tariff Tables'!A1</f>
        <v>Evergy Missouri West, Inc. - DSIM Rider Update Filed 06/01/2026</v>
      </c>
    </row>
    <row r="3" spans="1:9" ht="15.75" thickBot="1">
      <c r="A3" s="3" t="s">
        <v>106</v>
      </c>
      <c r="B3" s="45"/>
      <c r="C3" s="45"/>
      <c r="D3" s="45"/>
      <c r="E3" s="45"/>
      <c r="F3" s="45"/>
    </row>
    <row r="4" spans="1:9" ht="27.75" thickBot="1">
      <c r="A4" s="84" t="s">
        <v>112</v>
      </c>
      <c r="B4" s="116" t="s">
        <v>111</v>
      </c>
      <c r="C4" s="116" t="s">
        <v>110</v>
      </c>
      <c r="D4" s="116" t="s">
        <v>109</v>
      </c>
      <c r="E4" s="116" t="s">
        <v>108</v>
      </c>
      <c r="F4" s="86" t="s">
        <v>25</v>
      </c>
    </row>
    <row r="5" spans="1:9" ht="15.75" thickBot="1">
      <c r="A5" s="87" t="s">
        <v>22</v>
      </c>
      <c r="B5" s="268">
        <f>+'Tariff Tables'!X12+'Tariff Tables'!X20</f>
        <v>1E-4</v>
      </c>
      <c r="C5" s="268">
        <f>+'Tariff Tables'!Y12+'Tariff Tables'!Y20</f>
        <v>6.9999999999999994E-5</v>
      </c>
      <c r="D5" s="268">
        <f>+'Tariff Tables'!Z12+'Tariff Tables'!Z20</f>
        <v>1.5999999999999999E-4</v>
      </c>
      <c r="E5" s="268">
        <f>+'Tariff Tables'!AA12+'Tariff Tables'!AA20</f>
        <v>-3.0000000000000001E-5</v>
      </c>
      <c r="F5" s="197">
        <f>SUM(B5:E5)</f>
        <v>2.9999999999999997E-4</v>
      </c>
    </row>
    <row r="6" spans="1:9" ht="15.75" thickBot="1">
      <c r="A6" s="87" t="s">
        <v>91</v>
      </c>
      <c r="B6" s="268">
        <f>+'Tariff Tables'!X13+'Tariff Tables'!X21</f>
        <v>3.0000000000000001E-5</v>
      </c>
      <c r="C6" s="268">
        <f>+'Tariff Tables'!Y13+'Tariff Tables'!Y21</f>
        <v>2.7E-4</v>
      </c>
      <c r="D6" s="268">
        <f>+'Tariff Tables'!Z13+'Tariff Tables'!Z21</f>
        <v>7.0000000000000007E-5</v>
      </c>
      <c r="E6" s="268">
        <f>+'Tariff Tables'!AA13+'Tariff Tables'!AA21</f>
        <v>-1.0000000000000001E-5</v>
      </c>
      <c r="F6" s="197">
        <f t="shared" ref="F6:F8" si="0">SUM(B6:E6)</f>
        <v>3.6000000000000002E-4</v>
      </c>
    </row>
    <row r="7" spans="1:9" ht="15.75" thickBot="1">
      <c r="A7" s="87" t="s">
        <v>92</v>
      </c>
      <c r="B7" s="268">
        <f>+'Tariff Tables'!X14+'Tariff Tables'!X22</f>
        <v>3.0000000000000001E-5</v>
      </c>
      <c r="C7" s="268">
        <f>+'Tariff Tables'!Y14+'Tariff Tables'!Y22</f>
        <v>2.4000000000000001E-4</v>
      </c>
      <c r="D7" s="268">
        <f>+'Tariff Tables'!Z14+'Tariff Tables'!Z22</f>
        <v>1.5000000000000001E-4</v>
      </c>
      <c r="E7" s="268">
        <f>+'Tariff Tables'!AA14+'Tariff Tables'!AA22</f>
        <v>-2.0000000000000002E-5</v>
      </c>
      <c r="F7" s="197">
        <f t="shared" si="0"/>
        <v>4.0000000000000002E-4</v>
      </c>
    </row>
    <row r="8" spans="1:9" ht="15.75" thickBot="1">
      <c r="A8" s="87" t="s">
        <v>93</v>
      </c>
      <c r="B8" s="268">
        <f>+'Tariff Tables'!X15+'Tariff Tables'!X23</f>
        <v>-4.0000000000000003E-5</v>
      </c>
      <c r="C8" s="268">
        <f>+'Tariff Tables'!Y15+'Tariff Tables'!Y23</f>
        <v>4.0000000000000003E-5</v>
      </c>
      <c r="D8" s="268">
        <f>+'Tariff Tables'!Z15+'Tariff Tables'!Z23</f>
        <v>7.0000000000000007E-5</v>
      </c>
      <c r="E8" s="268">
        <f>+'Tariff Tables'!AA15+'Tariff Tables'!AA23</f>
        <v>-1.0000000000000001E-5</v>
      </c>
      <c r="F8" s="197">
        <f t="shared" si="0"/>
        <v>6.0000000000000008E-5</v>
      </c>
    </row>
    <row r="9" spans="1:9">
      <c r="A9" s="45"/>
      <c r="B9" s="45"/>
      <c r="C9" s="45"/>
      <c r="D9" s="45"/>
      <c r="E9" s="45"/>
      <c r="F9" s="45"/>
      <c r="G9" s="45"/>
      <c r="H9" s="45"/>
    </row>
    <row r="10" spans="1:9">
      <c r="A10" s="45"/>
      <c r="B10" s="45"/>
      <c r="C10" s="45"/>
      <c r="D10" s="45"/>
      <c r="E10" s="45"/>
      <c r="F10" s="45"/>
      <c r="G10" s="45"/>
      <c r="H10" s="45"/>
    </row>
    <row r="11" spans="1:9" ht="15.75" thickBot="1">
      <c r="A11" s="3" t="s">
        <v>184</v>
      </c>
      <c r="B11" s="45"/>
      <c r="C11" s="45"/>
      <c r="D11" s="45"/>
      <c r="E11" s="45"/>
      <c r="F11" s="45"/>
      <c r="G11" s="45"/>
      <c r="H11" s="45"/>
    </row>
    <row r="12" spans="1:9" ht="27.75" thickBot="1">
      <c r="A12" s="84" t="s">
        <v>112</v>
      </c>
      <c r="B12" s="116" t="s">
        <v>111</v>
      </c>
      <c r="C12" s="116" t="s">
        <v>110</v>
      </c>
      <c r="D12" s="116" t="s">
        <v>109</v>
      </c>
      <c r="E12" s="116" t="s">
        <v>108</v>
      </c>
      <c r="F12" s="86" t="s">
        <v>25</v>
      </c>
      <c r="G12" s="45"/>
      <c r="H12" s="45"/>
    </row>
    <row r="13" spans="1:9" ht="15.75" thickBot="1">
      <c r="A13" s="87" t="s">
        <v>22</v>
      </c>
      <c r="B13" s="268">
        <f>+'Tariff Tables'!AC12+'Tariff Tables'!AC20</f>
        <v>4.7000000000000004E-4</v>
      </c>
      <c r="C13" s="268">
        <f>+'Tariff Tables'!AD12+'Tariff Tables'!AD20</f>
        <v>1.0000000000000003E-5</v>
      </c>
      <c r="D13" s="268">
        <f>+'Tariff Tables'!AE12+'Tariff Tables'!AE20</f>
        <v>2.0000000000000002E-5</v>
      </c>
      <c r="E13" s="268">
        <f>+'Tariff Tables'!AF12+'Tariff Tables'!AF20</f>
        <v>0</v>
      </c>
      <c r="F13" s="197">
        <f>SUM(B13:E13)</f>
        <v>5.0000000000000012E-4</v>
      </c>
      <c r="G13" s="45"/>
      <c r="H13" s="45"/>
    </row>
    <row r="14" spans="1:9" ht="15.75" thickBot="1">
      <c r="A14" s="87" t="s">
        <v>91</v>
      </c>
      <c r="B14" s="268">
        <f>+'Tariff Tables'!AC13+'Tariff Tables'!AC21</f>
        <v>8.7000000000000001E-4</v>
      </c>
      <c r="C14" s="268">
        <f>+'Tariff Tables'!AD13+'Tariff Tables'!AD21</f>
        <v>9.9999999999999991E-5</v>
      </c>
      <c r="D14" s="268">
        <f>+'Tariff Tables'!AE13+'Tariff Tables'!AE21</f>
        <v>5.0000000000000002E-5</v>
      </c>
      <c r="E14" s="268">
        <f>+'Tariff Tables'!AF13+'Tariff Tables'!AF21</f>
        <v>0</v>
      </c>
      <c r="F14" s="197">
        <f t="shared" ref="F14:F16" si="1">SUM(B14:E14)</f>
        <v>1.0199999999999999E-3</v>
      </c>
      <c r="G14" s="45"/>
      <c r="H14" s="45"/>
      <c r="I14" s="45"/>
    </row>
    <row r="15" spans="1:9" ht="15.75" thickBot="1">
      <c r="A15" s="87" t="s">
        <v>92</v>
      </c>
      <c r="B15" s="268">
        <f>+'Tariff Tables'!AC14+'Tariff Tables'!AC22</f>
        <v>2.2100000000000002E-3</v>
      </c>
      <c r="C15" s="268">
        <f>+'Tariff Tables'!AD14+'Tariff Tables'!AD22</f>
        <v>1.6000000000000001E-4</v>
      </c>
      <c r="D15" s="268">
        <f>+'Tariff Tables'!AE14+'Tariff Tables'!AE22</f>
        <v>6.0000000000000002E-5</v>
      </c>
      <c r="E15" s="268">
        <f>+'Tariff Tables'!AF14+'Tariff Tables'!AF22</f>
        <v>0</v>
      </c>
      <c r="F15" s="197">
        <f t="shared" si="1"/>
        <v>2.4300000000000003E-3</v>
      </c>
      <c r="G15" s="45"/>
      <c r="H15" s="45"/>
      <c r="I15" s="45"/>
    </row>
    <row r="16" spans="1:9" ht="15.75" thickBot="1">
      <c r="A16" s="87" t="s">
        <v>93</v>
      </c>
      <c r="B16" s="268">
        <f>+'Tariff Tables'!AC15+'Tariff Tables'!AC23</f>
        <v>1.8499999999999996E-3</v>
      </c>
      <c r="C16" s="268">
        <f>+'Tariff Tables'!AD15+'Tariff Tables'!AD23</f>
        <v>2.0000000000000002E-5</v>
      </c>
      <c r="D16" s="268">
        <f>+'Tariff Tables'!AE15+'Tariff Tables'!AE23</f>
        <v>1.0000000000000001E-5</v>
      </c>
      <c r="E16" s="268">
        <f>+'Tariff Tables'!AF15+'Tariff Tables'!AF23</f>
        <v>0</v>
      </c>
      <c r="F16" s="197">
        <f t="shared" si="1"/>
        <v>1.8799999999999997E-3</v>
      </c>
      <c r="G16" s="45"/>
      <c r="H16" s="45"/>
      <c r="I16" s="45"/>
    </row>
    <row r="17" spans="1:9" s="45" customFormat="1">
      <c r="A17"/>
      <c r="B17"/>
      <c r="C17"/>
      <c r="D17"/>
      <c r="E17"/>
      <c r="F17"/>
      <c r="G17"/>
      <c r="H17"/>
    </row>
    <row r="18" spans="1:9" s="45" customFormat="1">
      <c r="A18"/>
      <c r="B18"/>
      <c r="C18"/>
      <c r="D18"/>
      <c r="E18"/>
      <c r="F18"/>
      <c r="G18"/>
      <c r="H18"/>
    </row>
    <row r="19" spans="1:9" s="45" customFormat="1" ht="15.75" thickBot="1">
      <c r="A19" s="3" t="s">
        <v>107</v>
      </c>
      <c r="G19"/>
      <c r="H19"/>
    </row>
    <row r="20" spans="1:9" s="45" customFormat="1" ht="27.75" thickBot="1">
      <c r="A20" s="84" t="s">
        <v>112</v>
      </c>
      <c r="B20" s="116" t="s">
        <v>111</v>
      </c>
      <c r="C20" s="116" t="s">
        <v>110</v>
      </c>
      <c r="D20" s="116" t="s">
        <v>109</v>
      </c>
      <c r="E20" s="116" t="s">
        <v>108</v>
      </c>
      <c r="F20" s="86" t="s">
        <v>25</v>
      </c>
      <c r="G20"/>
      <c r="H20"/>
    </row>
    <row r="21" spans="1:9" s="45" customFormat="1" ht="15.75" thickBot="1">
      <c r="A21" s="87" t="s">
        <v>22</v>
      </c>
      <c r="B21" s="198">
        <f t="shared" ref="B21:E24" si="2">SUMIFS(B$2:B$19,$A$2:$A$19,$A21)</f>
        <v>5.7000000000000009E-4</v>
      </c>
      <c r="C21" s="199">
        <f t="shared" si="2"/>
        <v>7.9999999999999993E-5</v>
      </c>
      <c r="D21" s="199">
        <f t="shared" si="2"/>
        <v>1.7999999999999998E-4</v>
      </c>
      <c r="E21" s="199">
        <f t="shared" si="2"/>
        <v>-3.0000000000000001E-5</v>
      </c>
      <c r="F21" s="197">
        <f>SUM(B21:E21)</f>
        <v>8.0000000000000004E-4</v>
      </c>
      <c r="G21" s="269">
        <f>+F21-'Tariff Tables'!H4</f>
        <v>0</v>
      </c>
      <c r="H21"/>
      <c r="I21"/>
    </row>
    <row r="22" spans="1:9" s="45" customFormat="1" ht="15.75" thickBot="1">
      <c r="A22" s="87" t="s">
        <v>91</v>
      </c>
      <c r="B22" s="198">
        <f t="shared" si="2"/>
        <v>8.9999999999999998E-4</v>
      </c>
      <c r="C22" s="199">
        <f t="shared" si="2"/>
        <v>3.6999999999999999E-4</v>
      </c>
      <c r="D22" s="199">
        <f t="shared" si="2"/>
        <v>1.2000000000000002E-4</v>
      </c>
      <c r="E22" s="199">
        <f t="shared" si="2"/>
        <v>-1.0000000000000001E-5</v>
      </c>
      <c r="F22" s="197">
        <f t="shared" ref="F22:F24" si="3">SUM(B22:E22)</f>
        <v>1.3799999999999999E-3</v>
      </c>
      <c r="G22" s="269">
        <f>+F22-'Tariff Tables'!H5</f>
        <v>0</v>
      </c>
      <c r="H22"/>
      <c r="I22"/>
    </row>
    <row r="23" spans="1:9" s="45" customFormat="1" ht="15.75" thickBot="1">
      <c r="A23" s="87" t="s">
        <v>92</v>
      </c>
      <c r="B23" s="198">
        <f t="shared" si="2"/>
        <v>2.2400000000000002E-3</v>
      </c>
      <c r="C23" s="199">
        <f t="shared" si="2"/>
        <v>4.0000000000000002E-4</v>
      </c>
      <c r="D23" s="199">
        <f t="shared" si="2"/>
        <v>2.1000000000000001E-4</v>
      </c>
      <c r="E23" s="199">
        <f t="shared" si="2"/>
        <v>-2.0000000000000002E-5</v>
      </c>
      <c r="F23" s="197">
        <f t="shared" si="3"/>
        <v>2.8300000000000005E-3</v>
      </c>
      <c r="G23" s="269">
        <f>+F23-'Tariff Tables'!H6</f>
        <v>0</v>
      </c>
      <c r="H23"/>
      <c r="I23"/>
    </row>
    <row r="24" spans="1:9" s="45" customFormat="1" ht="15.75" thickBot="1">
      <c r="A24" s="87" t="s">
        <v>93</v>
      </c>
      <c r="B24" s="198">
        <f t="shared" si="2"/>
        <v>1.8099999999999995E-3</v>
      </c>
      <c r="C24" s="199">
        <f t="shared" si="2"/>
        <v>6.0000000000000008E-5</v>
      </c>
      <c r="D24" s="199">
        <f t="shared" si="2"/>
        <v>8.0000000000000007E-5</v>
      </c>
      <c r="E24" s="199">
        <f t="shared" si="2"/>
        <v>-1.0000000000000001E-5</v>
      </c>
      <c r="F24" s="197">
        <f t="shared" si="3"/>
        <v>1.9399999999999995E-3</v>
      </c>
      <c r="G24" s="269">
        <f>+F24-'Tariff Tables'!H7</f>
        <v>0</v>
      </c>
      <c r="H24"/>
      <c r="I24"/>
    </row>
    <row r="26" spans="1:9">
      <c r="A26" s="270" t="s">
        <v>172</v>
      </c>
      <c r="B26" s="269">
        <f>+B21-'Tariff Tables'!J4</f>
        <v>0</v>
      </c>
      <c r="C26" s="269">
        <f>+C21-'Tariff Tables'!K4</f>
        <v>0</v>
      </c>
      <c r="D26" s="269">
        <f>+D21-'Tariff Tables'!L4</f>
        <v>0</v>
      </c>
      <c r="E26" s="269">
        <f>+E21-'Tariff Tables'!M4</f>
        <v>0</v>
      </c>
      <c r="F26" s="200"/>
    </row>
    <row r="27" spans="1:9">
      <c r="B27" s="269">
        <f>+B22-'Tariff Tables'!J5</f>
        <v>0</v>
      </c>
      <c r="C27" s="269">
        <f>+C22-'Tariff Tables'!K5</f>
        <v>0</v>
      </c>
      <c r="D27" s="269">
        <f>+D22-'Tariff Tables'!L5</f>
        <v>0</v>
      </c>
      <c r="E27" s="269">
        <f>+E22-'Tariff Tables'!M5</f>
        <v>0</v>
      </c>
      <c r="F27" s="200"/>
    </row>
    <row r="28" spans="1:9">
      <c r="B28" s="269">
        <f>+B23-'Tariff Tables'!J6</f>
        <v>0</v>
      </c>
      <c r="C28" s="269">
        <f>+C23-'Tariff Tables'!K6</f>
        <v>0</v>
      </c>
      <c r="D28" s="269">
        <f>+D23-'Tariff Tables'!L6</f>
        <v>0</v>
      </c>
      <c r="E28" s="269">
        <f>+E23-'Tariff Tables'!M6</f>
        <v>0</v>
      </c>
      <c r="F28" s="200"/>
    </row>
    <row r="29" spans="1:9">
      <c r="B29" s="269">
        <f>+B24-'Tariff Tables'!J7</f>
        <v>0</v>
      </c>
      <c r="C29" s="269">
        <f>+C24-'Tariff Tables'!K7</f>
        <v>0</v>
      </c>
      <c r="D29" s="269">
        <f>+D24-'Tariff Tables'!L7</f>
        <v>0</v>
      </c>
      <c r="E29" s="269">
        <f>+E24-'Tariff Tables'!M7</f>
        <v>0</v>
      </c>
      <c r="F29" s="200"/>
    </row>
  </sheetData>
  <pageMargins left="0.7" right="0.7" top="0.75" bottom="0.75" header="0.3" footer="0.3"/>
  <pageSetup orientation="portrait" r:id="rId1"/>
  <headerFooter>
    <oddFooter xml:space="preserve">&amp;R_x000D_&amp;1#&amp;"Calibri"&amp;10&amp;KA80000 Restricted – Sensitive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8CC6D-CEF5-4D7F-9B4F-45C78C8935E8}">
  <sheetPr>
    <pageSetUpPr fitToPage="1"/>
  </sheetPr>
  <dimension ref="A1:X48"/>
  <sheetViews>
    <sheetView workbookViewId="0"/>
  </sheetViews>
  <sheetFormatPr defaultColWidth="9.140625" defaultRowHeight="15"/>
  <cols>
    <col min="1" max="1" width="20.85546875" style="45" customWidth="1"/>
    <col min="2" max="2" width="22" style="45" customWidth="1"/>
    <col min="3" max="3" width="17.28515625" style="45" customWidth="1"/>
    <col min="4" max="4" width="12.5703125" style="45" bestFit="1" customWidth="1"/>
    <col min="5" max="5" width="15.28515625" style="45" customWidth="1"/>
    <col min="6" max="6" width="12.5703125" style="45" customWidth="1"/>
    <col min="7" max="7" width="12.7109375" style="45" bestFit="1" customWidth="1"/>
    <col min="8" max="16384" width="9.140625" style="45"/>
  </cols>
  <sheetData>
    <row r="1" spans="1:24">
      <c r="A1" s="336" t="str">
        <f>+'PTD Cycle 3'!A1</f>
        <v>Evergy Missouri West, Inc. - DSIM Rider Update Filed 06/01/2026</v>
      </c>
    </row>
    <row r="2" spans="1:24">
      <c r="A2" s="319" t="str">
        <f>SUBSTITUTE(+'PTD Cycle 3'!A2,"Cycle 3","Cycle 4")</f>
        <v>Projections for Cycle 4 July 2026 - June 2027 DSIM</v>
      </c>
    </row>
    <row r="3" spans="1:24" ht="35.25" customHeight="1">
      <c r="B3" s="513" t="s">
        <v>203</v>
      </c>
      <c r="C3" s="513"/>
    </row>
    <row r="4" spans="1:24" ht="45">
      <c r="B4" s="223" t="s">
        <v>38</v>
      </c>
      <c r="C4" s="195" t="s">
        <v>24</v>
      </c>
      <c r="D4" s="501" t="s">
        <v>226</v>
      </c>
      <c r="E4" s="363"/>
      <c r="G4" s="476"/>
    </row>
    <row r="5" spans="1:24">
      <c r="A5" s="19" t="s">
        <v>22</v>
      </c>
      <c r="B5" s="479">
        <f>+'Tariff Tables'!G4</f>
        <v>3792141263</v>
      </c>
      <c r="C5" s="193">
        <f>SUM(D5:F5)</f>
        <v>3770985.6500000004</v>
      </c>
      <c r="D5" s="193">
        <f>SUM('[1]GMO CONTRACT_DETAIL IMPORT'!$AZ211:$BA211)</f>
        <v>3770985.6500000004</v>
      </c>
      <c r="E5" s="363"/>
      <c r="F5" s="222"/>
      <c r="G5" s="476"/>
    </row>
    <row r="6" spans="1:24">
      <c r="A6" s="19" t="s">
        <v>91</v>
      </c>
      <c r="B6" s="479">
        <f>+'Tariff Tables'!G5</f>
        <v>1330999348</v>
      </c>
      <c r="C6" s="193">
        <f t="shared" ref="C6:C8" si="0">SUM(D6:F6)</f>
        <v>1971595.6</v>
      </c>
      <c r="D6" s="193">
        <f>SUM('[1]GMO CONTRACT_DETAIL IMPORT'!$AZ212:$BA212)</f>
        <v>1971595.6</v>
      </c>
      <c r="E6" s="363"/>
      <c r="F6" s="222"/>
      <c r="G6" s="476"/>
      <c r="H6" s="222"/>
    </row>
    <row r="7" spans="1:24">
      <c r="A7" s="19" t="s">
        <v>92</v>
      </c>
      <c r="B7" s="479">
        <f>+'Tariff Tables'!G6</f>
        <v>1063768451</v>
      </c>
      <c r="C7" s="193">
        <f t="shared" si="0"/>
        <v>3137322.06</v>
      </c>
      <c r="D7" s="193">
        <f>SUM('[1]GMO CONTRACT_DETAIL IMPORT'!$AZ214:$BA214)</f>
        <v>3137322.06</v>
      </c>
      <c r="E7" s="363"/>
      <c r="F7" s="222"/>
      <c r="G7" s="476"/>
      <c r="H7" s="222"/>
    </row>
    <row r="8" spans="1:24">
      <c r="A8" s="19" t="s">
        <v>93</v>
      </c>
      <c r="B8" s="479">
        <f>+'Tariff Tables'!G7</f>
        <v>1453756644</v>
      </c>
      <c r="C8" s="193">
        <f t="shared" si="0"/>
        <v>3968471.2800000003</v>
      </c>
      <c r="D8" s="193">
        <f>SUM('[1]GMO CONTRACT_DETAIL IMPORT'!$AZ215:$BA215)</f>
        <v>3968471.2800000003</v>
      </c>
      <c r="E8" s="363"/>
      <c r="F8" s="222"/>
      <c r="G8" s="476"/>
      <c r="H8" s="222"/>
      <c r="O8" s="1"/>
      <c r="P8" s="1"/>
      <c r="Q8" s="1"/>
      <c r="R8" s="1"/>
      <c r="S8" s="1"/>
      <c r="T8" s="1"/>
      <c r="U8" s="1"/>
      <c r="V8" s="1"/>
      <c r="W8" s="1"/>
      <c r="X8" s="1"/>
    </row>
    <row r="9" spans="1:24">
      <c r="A9" s="29" t="s">
        <v>94</v>
      </c>
      <c r="B9" s="224">
        <f>SUM(B5:B8)</f>
        <v>7640665706</v>
      </c>
      <c r="C9" s="194">
        <f>SUM(C5:C8)</f>
        <v>12848374.59</v>
      </c>
      <c r="D9" s="194">
        <f t="shared" ref="D9" si="1">SUM(D5:D8)</f>
        <v>12848374.59</v>
      </c>
      <c r="E9" s="363"/>
      <c r="G9" s="476"/>
      <c r="O9" s="1"/>
      <c r="P9" s="1"/>
      <c r="Q9" s="1"/>
      <c r="R9" s="1"/>
      <c r="S9" s="1"/>
      <c r="T9" s="1"/>
      <c r="U9" s="1"/>
      <c r="V9" s="1"/>
      <c r="W9" s="1"/>
      <c r="X9" s="1"/>
    </row>
    <row r="10" spans="1:24">
      <c r="G10" s="476"/>
    </row>
    <row r="11" spans="1:24">
      <c r="A11" s="52" t="s">
        <v>9</v>
      </c>
      <c r="G11" s="476"/>
    </row>
    <row r="12" spans="1:24" ht="29.45" customHeight="1">
      <c r="A12" s="512" t="str">
        <f>'Tariff Tables'!B44</f>
        <v>1. Forecasted kWh by  Residential, Small General Service, Large General Service and Large Power Service (Reduced for Opt-Out) - Source: Billed kWh Budget 2025+- EMW 20260601.xlsx</v>
      </c>
      <c r="B12" s="512"/>
      <c r="C12" s="512"/>
      <c r="D12" s="512"/>
      <c r="E12" s="512"/>
      <c r="F12" s="247"/>
      <c r="G12" s="249"/>
      <c r="H12" s="249"/>
      <c r="I12" s="249"/>
    </row>
    <row r="13" spans="1:24" ht="18.75" customHeight="1">
      <c r="A13" s="512" t="s">
        <v>202</v>
      </c>
      <c r="B13" s="512"/>
      <c r="C13" s="512"/>
      <c r="D13" s="512"/>
      <c r="E13" s="512"/>
    </row>
    <row r="14" spans="1:24" ht="30" customHeight="1">
      <c r="A14" s="512" t="s">
        <v>265</v>
      </c>
      <c r="B14" s="512"/>
      <c r="C14" s="512"/>
      <c r="D14" s="512"/>
      <c r="E14" s="512"/>
    </row>
    <row r="15" spans="1:24" ht="32.450000000000003" customHeight="1">
      <c r="A15" s="363"/>
      <c r="B15" s="363"/>
      <c r="C15" s="363"/>
      <c r="D15" s="363"/>
      <c r="E15" s="363"/>
    </row>
    <row r="22" spans="3:3">
      <c r="C22" s="2"/>
    </row>
    <row r="44" spans="2:3">
      <c r="B44" s="7"/>
      <c r="C44" s="7"/>
    </row>
    <row r="48" spans="2:3">
      <c r="B48" s="7"/>
      <c r="C48" s="7"/>
    </row>
  </sheetData>
  <mergeCells count="4">
    <mergeCell ref="B3:C3"/>
    <mergeCell ref="A12:E12"/>
    <mergeCell ref="A13:E13"/>
    <mergeCell ref="A14:E14"/>
  </mergeCells>
  <pageMargins left="0.2" right="0.2" top="0.75" bottom="0.25" header="0.3" footer="0.3"/>
  <pageSetup scale="80" orientation="landscape" r:id="rId1"/>
  <headerFooter>
    <oddHeader>&amp;C&amp;F &amp;A&amp;R&amp;"Arial"&amp;10&amp;K000000CONFIDENTIAL</oddHeader>
    <oddFooter xml:space="preserve">&amp;R_x000D_&amp;1#&amp;"Calibri"&amp;10&amp;KA80000 Restricted – Sensitive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J74"/>
  <sheetViews>
    <sheetView zoomScale="70" zoomScaleNormal="70" workbookViewId="0">
      <pane xSplit="2" ySplit="11" topLeftCell="C12" activePane="bottomRight" state="frozen"/>
      <selection activeCell="C8" sqref="C8"/>
      <selection pane="topRight" activeCell="C8" sqref="C8"/>
      <selection pane="bottomLeft" activeCell="C8" sqref="C8"/>
      <selection pane="bottomRight" activeCell="C12" sqref="C12"/>
    </sheetView>
  </sheetViews>
  <sheetFormatPr defaultColWidth="9.140625" defaultRowHeight="15" outlineLevelRow="1" outlineLevelCol="1"/>
  <cols>
    <col min="1" max="1" width="54.5703125" style="45" customWidth="1"/>
    <col min="2" max="3" width="20.7109375" style="45" customWidth="1"/>
    <col min="4" max="4" width="15" style="45" hidden="1" customWidth="1" outlineLevel="1"/>
    <col min="5" max="5" width="15.28515625" style="45" customWidth="1" collapsed="1"/>
    <col min="6" max="6" width="15.85546875" style="45" customWidth="1"/>
    <col min="7" max="7" width="17.5703125" style="45" customWidth="1"/>
    <col min="8" max="9" width="13.28515625" style="45" customWidth="1"/>
    <col min="10" max="10" width="15.7109375" style="45" customWidth="1"/>
    <col min="11" max="12" width="12.5703125" style="45" bestFit="1" customWidth="1"/>
    <col min="13" max="13" width="14.42578125" style="45" customWidth="1"/>
    <col min="14" max="14" width="15" style="45" bestFit="1" customWidth="1"/>
    <col min="15" max="15" width="16.28515625" style="45" bestFit="1" customWidth="1"/>
    <col min="16" max="16" width="16.28515625" style="45" hidden="1" customWidth="1" outlineLevel="1"/>
    <col min="17" max="17" width="16.140625" style="45" customWidth="1" collapsed="1"/>
    <col min="18" max="18" width="17.28515625" style="45" bestFit="1" customWidth="1"/>
    <col min="19" max="19" width="17.42578125" style="45" customWidth="1"/>
    <col min="20" max="20" width="15.5703125" style="45" customWidth="1"/>
    <col min="21" max="21" width="13" style="45" customWidth="1"/>
    <col min="22" max="22" width="9.140625" style="45"/>
    <col min="23" max="23" width="14.28515625" style="45" bestFit="1" customWidth="1"/>
    <col min="24" max="24" width="11.28515625" style="45" bestFit="1" customWidth="1"/>
    <col min="25" max="16384" width="9.140625" style="45"/>
  </cols>
  <sheetData>
    <row r="1" spans="1:36">
      <c r="A1" s="3" t="str">
        <f>+'PTD Cycle 3'!A1</f>
        <v>Evergy Missouri West, Inc. - DSIM Rider Update Filed 06/01/2026</v>
      </c>
      <c r="B1" s="3"/>
      <c r="C1" s="3"/>
      <c r="D1" s="3"/>
    </row>
    <row r="2" spans="1:36">
      <c r="E2" s="3" t="s">
        <v>116</v>
      </c>
    </row>
    <row r="3" spans="1:36" ht="30">
      <c r="E3" s="47" t="s">
        <v>40</v>
      </c>
      <c r="F3" s="47" t="s">
        <v>39</v>
      </c>
      <c r="G3" s="69" t="s">
        <v>0</v>
      </c>
      <c r="H3" s="47" t="s">
        <v>1</v>
      </c>
      <c r="I3" s="69" t="s">
        <v>49</v>
      </c>
      <c r="J3" s="47" t="s">
        <v>8</v>
      </c>
      <c r="K3" s="47" t="s">
        <v>2</v>
      </c>
    </row>
    <row r="4" spans="1:36">
      <c r="A4" s="19" t="s">
        <v>22</v>
      </c>
      <c r="E4" s="21">
        <f>SUM(C26:M26)</f>
        <v>264879.45</v>
      </c>
      <c r="F4" s="121">
        <f>SUM(C20:M20)</f>
        <v>1673035836.9307947</v>
      </c>
      <c r="G4" s="415">
        <f>SUM(C14:L14)</f>
        <v>-8985.18</v>
      </c>
      <c r="H4" s="21">
        <f>G4-E4</f>
        <v>-273864.63</v>
      </c>
      <c r="I4" s="21">
        <f>+B40</f>
        <v>644719.9499999996</v>
      </c>
      <c r="J4" s="21">
        <f>SUM(C47:L47)</f>
        <v>14482.66</v>
      </c>
      <c r="K4" s="24">
        <f>SUM(H4:J4)</f>
        <v>385337.97999999957</v>
      </c>
      <c r="L4" s="276">
        <f>+K4-M40</f>
        <v>0</v>
      </c>
    </row>
    <row r="5" spans="1:36">
      <c r="A5" s="19" t="s">
        <v>91</v>
      </c>
      <c r="E5" s="21">
        <f>SUM(C27:M27)</f>
        <v>92293.670000000013</v>
      </c>
      <c r="F5" s="121">
        <f>SUM(C21:M21)</f>
        <v>800725470.45570016</v>
      </c>
      <c r="G5" s="415">
        <f>SUM(C15:L15)</f>
        <v>-2540.64</v>
      </c>
      <c r="H5" s="21">
        <f>G5-E5</f>
        <v>-94834.310000000012</v>
      </c>
      <c r="I5" s="21">
        <f>+B41</f>
        <v>138954.44999999955</v>
      </c>
      <c r="J5" s="21">
        <f>SUM(C48:L48)</f>
        <v>2397.88</v>
      </c>
      <c r="K5" s="24">
        <f>SUM(H5:J5)</f>
        <v>46518.019999999531</v>
      </c>
      <c r="L5" s="276">
        <f t="shared" ref="L5:L6" si="0">+K5-M41</f>
        <v>0</v>
      </c>
    </row>
    <row r="6" spans="1:36">
      <c r="A6" s="19" t="s">
        <v>92</v>
      </c>
      <c r="E6" s="21">
        <f>SUM(C28:M28)</f>
        <v>23790.05</v>
      </c>
      <c r="F6" s="121">
        <f>SUM(C22:M22)</f>
        <v>573642752.61890006</v>
      </c>
      <c r="G6" s="415">
        <f>SUM(C16:L16)</f>
        <v>-1594.46</v>
      </c>
      <c r="H6" s="21">
        <f>G6-E6</f>
        <v>-25384.51</v>
      </c>
      <c r="I6" s="21">
        <f>+B42</f>
        <v>56870.949999999539</v>
      </c>
      <c r="J6" s="21">
        <f>SUM(C49:L49)</f>
        <v>1184.67</v>
      </c>
      <c r="K6" s="24">
        <f>SUM(H6:J6)</f>
        <v>32671.109999999542</v>
      </c>
      <c r="L6" s="276">
        <f t="shared" si="0"/>
        <v>0</v>
      </c>
    </row>
    <row r="7" spans="1:36" ht="15.75" thickBot="1">
      <c r="A7" s="19" t="s">
        <v>93</v>
      </c>
      <c r="E7" s="21">
        <f>SUM(C29:M29)</f>
        <v>-66192.06</v>
      </c>
      <c r="F7" s="121">
        <f>SUM(C23:M23)</f>
        <v>410902070.0115</v>
      </c>
      <c r="G7" s="415">
        <f>SUM(C17:L17)</f>
        <v>-879.72</v>
      </c>
      <c r="H7" s="21">
        <f>G7-E7</f>
        <v>65312.34</v>
      </c>
      <c r="I7" s="21">
        <f>+B43</f>
        <v>-122289.02999999911</v>
      </c>
      <c r="J7" s="21">
        <f>SUM(C50:L50)</f>
        <v>-2056.41</v>
      </c>
      <c r="K7" s="24">
        <f>SUM(H7:J7)</f>
        <v>-59033.099999999118</v>
      </c>
      <c r="L7" s="276">
        <f>+K7-M43</f>
        <v>0</v>
      </c>
    </row>
    <row r="8" spans="1:36" ht="16.5" thickTop="1" thickBot="1">
      <c r="E8" s="26">
        <f t="shared" ref="E8:K8" si="1">SUM(E4:E7)</f>
        <v>314771.11</v>
      </c>
      <c r="F8" s="26">
        <f t="shared" si="1"/>
        <v>3458306130.0168948</v>
      </c>
      <c r="G8" s="353">
        <f t="shared" si="1"/>
        <v>-13999.999999999998</v>
      </c>
      <c r="H8" s="26">
        <f t="shared" si="1"/>
        <v>-328771.11</v>
      </c>
      <c r="I8" s="26">
        <f t="shared" si="1"/>
        <v>718256.3199999996</v>
      </c>
      <c r="J8" s="26">
        <f t="shared" si="1"/>
        <v>16008.8</v>
      </c>
      <c r="K8" s="26">
        <f t="shared" si="1"/>
        <v>405494.00999999954</v>
      </c>
    </row>
    <row r="9" spans="1:36" ht="16.5" thickTop="1" thickBot="1">
      <c r="G9" s="476"/>
    </row>
    <row r="10" spans="1:36" ht="60.75" thickBot="1">
      <c r="B10" s="106" t="str">
        <f>+'PCR Cycle 4'!B10</f>
        <v>Cumulative Over/Under Carryover From 12/01/2025 Filing</v>
      </c>
      <c r="C10" s="134" t="str">
        <f>+'PCR Cycle 4'!C10</f>
        <v>Reverse November 2025 - January 2026 Forecast From 12/01/2025 Filing</v>
      </c>
      <c r="D10" s="237"/>
      <c r="E10" s="516" t="s">
        <v>28</v>
      </c>
      <c r="F10" s="516"/>
      <c r="G10" s="517"/>
      <c r="H10" s="518" t="s">
        <v>28</v>
      </c>
      <c r="I10" s="519"/>
      <c r="J10" s="520"/>
      <c r="K10" s="521" t="s">
        <v>6</v>
      </c>
      <c r="L10" s="522"/>
      <c r="M10" s="523"/>
      <c r="P10" s="253" t="s">
        <v>173</v>
      </c>
    </row>
    <row r="11" spans="1:36">
      <c r="C11" s="13"/>
      <c r="D11" s="18"/>
      <c r="E11" s="18">
        <f>+'PCR Cycle 4'!E$11</f>
        <v>45991</v>
      </c>
      <c r="F11" s="18">
        <f>+'PCR Cycle 4'!F$11</f>
        <v>46022</v>
      </c>
      <c r="G11" s="18">
        <f>+'PCR Cycle 4'!G$11</f>
        <v>46053</v>
      </c>
      <c r="H11" s="13">
        <f>+'PCR Cycle 4'!H$11</f>
        <v>46081</v>
      </c>
      <c r="I11" s="18">
        <f>+'PCR Cycle 4'!I$11</f>
        <v>46112</v>
      </c>
      <c r="J11" s="14">
        <f>+'PCR Cycle 4'!J$11</f>
        <v>46142</v>
      </c>
      <c r="K11" s="18">
        <f>+'PCR Cycle 4'!K$11</f>
        <v>46173</v>
      </c>
      <c r="L11" s="18">
        <f>+'PCR Cycle 4'!L$11</f>
        <v>46203</v>
      </c>
      <c r="M11" s="92">
        <f>+'PCR Cycle 4'!M$11</f>
        <v>46234</v>
      </c>
      <c r="AA11" s="1"/>
      <c r="AB11" s="1"/>
      <c r="AC11" s="1"/>
      <c r="AD11" s="1"/>
      <c r="AE11" s="1"/>
      <c r="AF11" s="1"/>
      <c r="AG11" s="1"/>
      <c r="AH11" s="1"/>
      <c r="AI11" s="1"/>
      <c r="AJ11" s="1"/>
    </row>
    <row r="12" spans="1:36">
      <c r="C12" s="94"/>
      <c r="D12" s="228"/>
      <c r="E12" s="30"/>
      <c r="F12" s="30"/>
      <c r="G12" s="30"/>
      <c r="H12" s="27"/>
      <c r="I12" s="30"/>
      <c r="J12" s="10"/>
      <c r="K12" s="30"/>
      <c r="L12" s="30"/>
      <c r="M12" s="28"/>
      <c r="P12" s="46"/>
    </row>
    <row r="13" spans="1:36">
      <c r="A13" s="45" t="s">
        <v>117</v>
      </c>
      <c r="C13" s="402"/>
      <c r="D13" s="132"/>
      <c r="E13" s="228"/>
      <c r="F13" s="228"/>
      <c r="G13" s="228"/>
      <c r="H13" s="94"/>
      <c r="I13" s="228"/>
      <c r="J13" s="502"/>
      <c r="K13" s="132"/>
      <c r="L13" s="132"/>
      <c r="M13" s="283"/>
      <c r="P13" s="46"/>
    </row>
    <row r="14" spans="1:36">
      <c r="A14" s="45" t="s">
        <v>22</v>
      </c>
      <c r="C14" s="320">
        <v>0</v>
      </c>
      <c r="D14" s="229"/>
      <c r="E14" s="100">
        <v>0</v>
      </c>
      <c r="F14" s="100">
        <f>ROUND('[2]Pivot - SI Project'!$N$34,2)</f>
        <v>-8985.18</v>
      </c>
      <c r="G14" s="101">
        <v>0</v>
      </c>
      <c r="H14" s="15">
        <v>0</v>
      </c>
      <c r="I14" s="54">
        <v>0</v>
      </c>
      <c r="J14" s="145">
        <v>0</v>
      </c>
      <c r="K14" s="329"/>
      <c r="L14" s="330"/>
      <c r="M14" s="328"/>
      <c r="P14" s="46">
        <f>-SUM(K14:M14)</f>
        <v>0</v>
      </c>
    </row>
    <row r="15" spans="1:36">
      <c r="A15" s="45" t="s">
        <v>91</v>
      </c>
      <c r="C15" s="320">
        <v>0</v>
      </c>
      <c r="D15" s="229"/>
      <c r="E15" s="478">
        <v>0</v>
      </c>
      <c r="F15" s="478">
        <f>ROUND('[2]Pivot - SI Project'!$O$34,2)</f>
        <v>-2540.64</v>
      </c>
      <c r="G15" s="101">
        <v>0</v>
      </c>
      <c r="H15" s="15">
        <v>0</v>
      </c>
      <c r="I15" s="54">
        <v>0</v>
      </c>
      <c r="J15" s="145">
        <v>0</v>
      </c>
      <c r="K15" s="329"/>
      <c r="L15" s="330"/>
      <c r="M15" s="328"/>
      <c r="P15" s="46">
        <f t="shared" ref="P15:P17" si="2">-SUM(K15:M15)</f>
        <v>0</v>
      </c>
    </row>
    <row r="16" spans="1:36">
      <c r="A16" s="45" t="s">
        <v>92</v>
      </c>
      <c r="C16" s="320">
        <v>0</v>
      </c>
      <c r="D16" s="229"/>
      <c r="E16" s="478">
        <v>0</v>
      </c>
      <c r="F16" s="478">
        <f>ROUND('[2]Pivot - SI Project'!$Q$34,2)</f>
        <v>-1594.46</v>
      </c>
      <c r="G16" s="101">
        <v>0</v>
      </c>
      <c r="H16" s="15">
        <v>0</v>
      </c>
      <c r="I16" s="54">
        <v>0</v>
      </c>
      <c r="J16" s="145">
        <v>0</v>
      </c>
      <c r="K16" s="329"/>
      <c r="L16" s="330"/>
      <c r="M16" s="328"/>
      <c r="P16" s="46">
        <f t="shared" si="2"/>
        <v>0</v>
      </c>
    </row>
    <row r="17" spans="1:24">
      <c r="A17" s="45" t="s">
        <v>93</v>
      </c>
      <c r="C17" s="320">
        <v>0</v>
      </c>
      <c r="D17" s="229"/>
      <c r="E17" s="478">
        <v>0</v>
      </c>
      <c r="F17" s="478">
        <f>ROUND('[2]Pivot - SI Project'!$R$34,2)</f>
        <v>-879.72</v>
      </c>
      <c r="G17" s="101">
        <v>0</v>
      </c>
      <c r="H17" s="15">
        <v>0</v>
      </c>
      <c r="I17" s="54">
        <v>0</v>
      </c>
      <c r="J17" s="145">
        <v>0</v>
      </c>
      <c r="K17" s="329"/>
      <c r="L17" s="330"/>
      <c r="M17" s="328"/>
      <c r="P17" s="46">
        <f t="shared" si="2"/>
        <v>0</v>
      </c>
    </row>
    <row r="18" spans="1:24">
      <c r="C18" s="271"/>
      <c r="D18" s="132"/>
      <c r="E18" s="30"/>
      <c r="F18" s="30"/>
      <c r="G18" s="30"/>
      <c r="H18" s="27"/>
      <c r="I18" s="30"/>
      <c r="J18" s="10"/>
      <c r="K18" s="16"/>
      <c r="L18" s="16"/>
      <c r="M18" s="10"/>
      <c r="P18" s="46"/>
    </row>
    <row r="19" spans="1:24">
      <c r="A19" s="38" t="s">
        <v>41</v>
      </c>
      <c r="B19" s="38"/>
      <c r="C19" s="272"/>
      <c r="D19" s="230"/>
      <c r="E19" s="30"/>
      <c r="F19" s="30"/>
      <c r="G19" s="30"/>
      <c r="H19" s="94"/>
      <c r="I19" s="228"/>
      <c r="J19" s="283"/>
      <c r="K19" s="16"/>
      <c r="L19" s="16"/>
      <c r="M19" s="10"/>
      <c r="P19" s="46"/>
    </row>
    <row r="20" spans="1:24">
      <c r="A20" s="45" t="s">
        <v>22</v>
      </c>
      <c r="C20" s="321">
        <v>-986461003.18790531</v>
      </c>
      <c r="D20" s="231"/>
      <c r="E20" s="102">
        <f>'PCR Cycle 4'!E20</f>
        <v>220985977.56239998</v>
      </c>
      <c r="F20" s="102">
        <f>'PCR Cycle 4'!F20</f>
        <v>321485837.79620016</v>
      </c>
      <c r="G20" s="102">
        <f>'PCR Cycle 4'!G20</f>
        <v>351066477.35249978</v>
      </c>
      <c r="H20" s="159">
        <f>'PCR Cycle 4'!H20</f>
        <v>382774353.1940999</v>
      </c>
      <c r="I20" s="160">
        <f>'PCR Cycle 4'!I20</f>
        <v>272537104.32900012</v>
      </c>
      <c r="J20" s="156">
        <f>'PCR Cycle 4'!J20</f>
        <v>227789988.88450006</v>
      </c>
      <c r="K20" s="153">
        <f>'PCR Cycle 4'!K20</f>
        <v>216928747</v>
      </c>
      <c r="L20" s="123">
        <f>'PCR Cycle 4'!L20</f>
        <v>275513346</v>
      </c>
      <c r="M20" s="74">
        <f>'PCR Cycle 4'!M20</f>
        <v>390415008</v>
      </c>
      <c r="P20" s="46">
        <f>-SUM(K20:M20)</f>
        <v>-882857101</v>
      </c>
      <c r="X20" s="298"/>
    </row>
    <row r="21" spans="1:24">
      <c r="A21" s="45" t="s">
        <v>91</v>
      </c>
      <c r="C21" s="321">
        <v>-312924251</v>
      </c>
      <c r="D21" s="231"/>
      <c r="E21" s="102">
        <f>'PCR Cycle 4'!E21</f>
        <v>105399935.54650001</v>
      </c>
      <c r="F21" s="102">
        <f>'PCR Cycle 4'!F21</f>
        <v>126037127.80310002</v>
      </c>
      <c r="G21" s="102">
        <f>'PCR Cycle 4'!G21</f>
        <v>126520242.71469998</v>
      </c>
      <c r="H21" s="159">
        <f>'PCR Cycle 4'!H21</f>
        <v>132011534.55000004</v>
      </c>
      <c r="I21" s="160">
        <f>'PCR Cycle 4'!I21</f>
        <v>110622939.17919998</v>
      </c>
      <c r="J21" s="156">
        <f>'PCR Cycle 4'!J21</f>
        <v>101099832.66220002</v>
      </c>
      <c r="K21" s="153">
        <f>'PCR Cycle 4'!K21</f>
        <v>122948492</v>
      </c>
      <c r="L21" s="123">
        <f>'PCR Cycle 4'!L21</f>
        <v>136564908</v>
      </c>
      <c r="M21" s="74">
        <f>'PCR Cycle 4'!M21</f>
        <v>152444709</v>
      </c>
      <c r="P21" s="46">
        <f t="shared" ref="P21:P23" si="3">-SUM(K21:M21)</f>
        <v>-411958109</v>
      </c>
    </row>
    <row r="22" spans="1:24">
      <c r="A22" s="45" t="s">
        <v>92</v>
      </c>
      <c r="C22" s="321">
        <v>-255776610</v>
      </c>
      <c r="D22" s="231"/>
      <c r="E22" s="102">
        <f>'PCR Cycle 4'!E22</f>
        <v>84257686.598700002</v>
      </c>
      <c r="F22" s="102">
        <f>'PCR Cycle 4'!F22</f>
        <v>90660400.780400008</v>
      </c>
      <c r="G22" s="102">
        <f>'PCR Cycle 4'!G22</f>
        <v>86203760.882100016</v>
      </c>
      <c r="H22" s="159">
        <f>'PCR Cycle 4'!H22</f>
        <v>91404998.802500024</v>
      </c>
      <c r="I22" s="160">
        <f>'PCR Cycle 4'!I22</f>
        <v>85471356.458199978</v>
      </c>
      <c r="J22" s="156">
        <f>'PCR Cycle 4'!J22</f>
        <v>81409971.097000003</v>
      </c>
      <c r="K22" s="333">
        <f>'PCR Cycle 4'!K22</f>
        <v>92522534</v>
      </c>
      <c r="L22" s="123">
        <f>'PCR Cycle 4'!L22</f>
        <v>102769307</v>
      </c>
      <c r="M22" s="74">
        <f>'PCR Cycle 4'!M22</f>
        <v>114719347</v>
      </c>
      <c r="P22" s="46">
        <f t="shared" si="3"/>
        <v>-310011188</v>
      </c>
    </row>
    <row r="23" spans="1:24">
      <c r="A23" s="45" t="s">
        <v>93</v>
      </c>
      <c r="C23" s="321">
        <v>-177687665</v>
      </c>
      <c r="D23" s="231"/>
      <c r="E23" s="102">
        <f>'PCR Cycle 4'!E23</f>
        <v>90093533.371399999</v>
      </c>
      <c r="F23" s="102">
        <f>'PCR Cycle 4'!F23</f>
        <v>94589365.35210003</v>
      </c>
      <c r="G23" s="102">
        <f>'PCR Cycle 4'!G23</f>
        <v>91197325.785100013</v>
      </c>
      <c r="H23" s="159">
        <f>'PCR Cycle 4'!H23</f>
        <v>90909332.207900003</v>
      </c>
      <c r="I23" s="160">
        <f>'PCR Cycle 4'!I23</f>
        <v>-104848814.50830001</v>
      </c>
      <c r="J23" s="156">
        <f>'PCR Cycle 4'!J23</f>
        <v>66940868.803299993</v>
      </c>
      <c r="K23" s="331">
        <f>'PCR Cycle 4'!K23</f>
        <v>77509634</v>
      </c>
      <c r="L23" s="123">
        <f>'PCR Cycle 4'!L23</f>
        <v>86093744</v>
      </c>
      <c r="M23" s="74">
        <f>'PCR Cycle 4'!M23</f>
        <v>96104746</v>
      </c>
      <c r="P23" s="46">
        <f t="shared" si="3"/>
        <v>-259708124</v>
      </c>
    </row>
    <row r="24" spans="1:24">
      <c r="C24" s="271"/>
      <c r="D24" s="132"/>
      <c r="E24" s="30"/>
      <c r="F24" s="30"/>
      <c r="G24" s="30"/>
      <c r="H24" s="27"/>
      <c r="I24" s="30"/>
      <c r="J24" s="10"/>
      <c r="K24" s="16"/>
      <c r="L24" s="16"/>
      <c r="M24" s="10"/>
      <c r="P24" s="46"/>
    </row>
    <row r="25" spans="1:24">
      <c r="A25" s="45" t="s">
        <v>29</v>
      </c>
      <c r="C25" s="271"/>
      <c r="D25" s="132"/>
      <c r="E25" s="230"/>
      <c r="F25" s="230"/>
      <c r="G25" s="230"/>
      <c r="H25" s="503"/>
      <c r="I25" s="230"/>
      <c r="J25" s="283"/>
      <c r="K25" s="56"/>
      <c r="L25" s="56"/>
      <c r="M25" s="57"/>
      <c r="N25" s="383" t="s">
        <v>44</v>
      </c>
      <c r="O25" s="38"/>
      <c r="P25" s="46"/>
    </row>
    <row r="26" spans="1:24">
      <c r="A26" s="45" t="s">
        <v>22</v>
      </c>
      <c r="C26" s="320">
        <v>-374855.18</v>
      </c>
      <c r="D26" s="229"/>
      <c r="E26" s="100">
        <f>ROUND('[3]EMW Nov25'!$G87+'[3]EMW Nov25'!$G94,2)</f>
        <v>83976.09</v>
      </c>
      <c r="F26" s="478">
        <f>ROUND('[3]EMW Dec25'!$G87+'[3]EMW Dec25'!$G94,2)</f>
        <v>122192.6</v>
      </c>
      <c r="G26" s="100">
        <f>ROUND('[3]EMW Jan26'!$G87+'[3]EMW Jan26'!$G94,2)</f>
        <v>133388.54999999999</v>
      </c>
      <c r="H26" s="159">
        <f>ROUND('[3]EMW Feb26'!$G87+'[3]EMW Feb26'!$G94,2)</f>
        <v>65086.52</v>
      </c>
      <c r="I26" s="160">
        <f>ROUND('[3]EMW Mar26'!$G87+'[3]EMW Mar26'!$G94,2)</f>
        <v>46297.14</v>
      </c>
      <c r="J26" s="156">
        <f>ROUND('[3]EMW Apr26'!$G87+'[3]EMW Apr26'!$G94,2)</f>
        <v>38708.019999999997</v>
      </c>
      <c r="K26" s="110">
        <f>ROUND(K20*$N26,2)</f>
        <v>36877.89</v>
      </c>
      <c r="L26" s="40">
        <f t="shared" ref="K26:M29" si="4">ROUND(L20*$N26,2)</f>
        <v>46837.27</v>
      </c>
      <c r="M26" s="60">
        <f t="shared" si="4"/>
        <v>66370.55</v>
      </c>
      <c r="N26" s="71">
        <v>1.7000000000000001E-4</v>
      </c>
      <c r="P26" s="46">
        <f>-SUM(K26:M26)</f>
        <v>-150085.71000000002</v>
      </c>
    </row>
    <row r="27" spans="1:24">
      <c r="A27" s="45" t="s">
        <v>91</v>
      </c>
      <c r="C27" s="320">
        <v>-115781.97</v>
      </c>
      <c r="D27" s="229"/>
      <c r="E27" s="478">
        <f>ROUND('[3]EMW Nov25'!$G88+'[3]EMW Nov25'!$G95,2)</f>
        <v>39002.47</v>
      </c>
      <c r="F27" s="478">
        <f>ROUND('[3]EMW Dec25'!$G88+'[3]EMW Dec25'!$G95,2)</f>
        <v>46658.91</v>
      </c>
      <c r="G27" s="100">
        <f>ROUND('[3]EMW Jan26'!$G88+'[3]EMW Jan26'!$G95,2)</f>
        <v>46813.3</v>
      </c>
      <c r="H27" s="159">
        <f>ROUND('[3]EMW Feb26'!$G88+'[3]EMW Feb26'!$G95,2)</f>
        <v>13382.97</v>
      </c>
      <c r="I27" s="160">
        <f>ROUND('[3]EMW Mar26'!$G88+'[3]EMW Mar26'!$G95,2)</f>
        <v>10910.64</v>
      </c>
      <c r="J27" s="156">
        <f>ROUND('[3]EMW Apr26'!$G88+'[3]EMW Apr26'!$G95,2)</f>
        <v>10111.540000000001</v>
      </c>
      <c r="K27" s="110">
        <f t="shared" si="4"/>
        <v>12294.85</v>
      </c>
      <c r="L27" s="40">
        <f t="shared" si="4"/>
        <v>13656.49</v>
      </c>
      <c r="M27" s="60">
        <f t="shared" si="4"/>
        <v>15244.47</v>
      </c>
      <c r="N27" s="391">
        <v>1E-4</v>
      </c>
      <c r="P27" s="46">
        <f t="shared" ref="P27:P31" si="5">-SUM(K27:M27)</f>
        <v>-41195.81</v>
      </c>
    </row>
    <row r="28" spans="1:24">
      <c r="A28" s="45" t="s">
        <v>92</v>
      </c>
      <c r="C28" s="320">
        <v>-46039.79</v>
      </c>
      <c r="D28" s="229"/>
      <c r="E28" s="478">
        <f>ROUND('[3]EMW Nov25'!$G89+'[3]EMW Nov25'!$G96,2)</f>
        <v>15166.38</v>
      </c>
      <c r="F28" s="478">
        <f>ROUND('[3]EMW Dec25'!$G89+'[3]EMW Dec25'!$G96,2)</f>
        <v>16318.87</v>
      </c>
      <c r="G28" s="100">
        <f>ROUND('[3]EMW Jan26'!$G89+'[3]EMW Jan26'!$G96,2)</f>
        <v>15516.68</v>
      </c>
      <c r="H28" s="159">
        <f>ROUND('[3]EMW Feb26'!$G89+'[3]EMW Feb26'!$G96,2)</f>
        <v>3674.95</v>
      </c>
      <c r="I28" s="160">
        <f>ROUND('[3]EMW Mar26'!$G89+'[3]EMW Mar26'!$G96,2)</f>
        <v>3496.12</v>
      </c>
      <c r="J28" s="156">
        <f>ROUND('[3]EMW Apr26'!$G89+'[3]EMW Apr26'!$G96,2)</f>
        <v>3256.4</v>
      </c>
      <c r="K28" s="110">
        <f t="shared" si="4"/>
        <v>3700.9</v>
      </c>
      <c r="L28" s="40">
        <f t="shared" si="4"/>
        <v>4110.7700000000004</v>
      </c>
      <c r="M28" s="60">
        <f t="shared" si="4"/>
        <v>4588.7700000000004</v>
      </c>
      <c r="N28" s="391">
        <v>4.0000000000000003E-5</v>
      </c>
      <c r="P28" s="46">
        <f t="shared" si="5"/>
        <v>-12400.44</v>
      </c>
    </row>
    <row r="29" spans="1:24">
      <c r="A29" s="45" t="s">
        <v>93</v>
      </c>
      <c r="C29" s="320">
        <v>76405.7</v>
      </c>
      <c r="D29" s="229"/>
      <c r="E29" s="478">
        <f>ROUND('[3]EMW Nov25'!$G90+'[3]EMW Nov25'!$G97,2)</f>
        <v>-38740.22</v>
      </c>
      <c r="F29" s="478">
        <f>ROUND('[3]EMW Dec25'!$G90+'[3]EMW Dec25'!$G97,2)</f>
        <v>-40673.43</v>
      </c>
      <c r="G29" s="100">
        <f>ROUND('[3]EMW Jan26'!$G90+'[3]EMW Jan26'!$G97,2)</f>
        <v>-39214.85</v>
      </c>
      <c r="H29" s="159">
        <f>ROUND('[3]EMW Feb26'!$G90+'[3]EMW Feb26'!$G97,2)</f>
        <v>-13712.01</v>
      </c>
      <c r="I29" s="160">
        <f>ROUND('[3]EMW Mar26'!$G90+'[3]EMW Mar26'!$G97,2)</f>
        <v>38740.1</v>
      </c>
      <c r="J29" s="156">
        <f>ROUND('[3]EMW Apr26'!$G90+'[3]EMW Apr26'!$G97,2)</f>
        <v>-10041.129999999999</v>
      </c>
      <c r="K29" s="110">
        <f t="shared" si="4"/>
        <v>-11626.45</v>
      </c>
      <c r="L29" s="40">
        <f t="shared" si="4"/>
        <v>-12914.06</v>
      </c>
      <c r="M29" s="60">
        <f t="shared" si="4"/>
        <v>-14415.71</v>
      </c>
      <c r="N29" s="391">
        <v>-1.4999999999999999E-4</v>
      </c>
      <c r="P29" s="46">
        <f t="shared" si="5"/>
        <v>38956.22</v>
      </c>
    </row>
    <row r="30" spans="1:24">
      <c r="C30" s="273"/>
      <c r="D30" s="67"/>
      <c r="E30" s="17"/>
      <c r="F30" s="17"/>
      <c r="G30" s="17"/>
      <c r="H30" s="88"/>
      <c r="I30" s="17"/>
      <c r="J30" s="10"/>
      <c r="K30" s="55"/>
      <c r="L30" s="55"/>
      <c r="M30" s="12"/>
      <c r="N30" s="4"/>
      <c r="P30" s="46"/>
    </row>
    <row r="31" spans="1:24" ht="15.75" thickBot="1">
      <c r="A31" s="45" t="s">
        <v>12</v>
      </c>
      <c r="C31" s="322">
        <v>-9363.4599999999991</v>
      </c>
      <c r="D31" s="232"/>
      <c r="E31" s="103">
        <f>4961.28+0.01</f>
        <v>4961.29</v>
      </c>
      <c r="F31" s="103">
        <v>4231.93</v>
      </c>
      <c r="G31" s="104">
        <v>3526.46</v>
      </c>
      <c r="H31" s="25">
        <v>3066.1500000000005</v>
      </c>
      <c r="I31" s="109">
        <v>2783.2400000000002</v>
      </c>
      <c r="J31" s="155">
        <v>2438.2199999999998</v>
      </c>
      <c r="K31" s="154">
        <f>ROUND((SUM(J40:J43)+SUM(J47:J50)+SUM(K34:K37)/2)*K$45,2)</f>
        <v>2274.67</v>
      </c>
      <c r="L31" s="124">
        <f>ROUND((SUM(K40:K43)+SUM(K47:K50)+SUM(L34:L37)/2)*L$45,2)</f>
        <v>2090.3000000000002</v>
      </c>
      <c r="M31" s="78"/>
      <c r="P31" s="46">
        <f t="shared" si="5"/>
        <v>-4364.97</v>
      </c>
    </row>
    <row r="32" spans="1:24">
      <c r="C32" s="95"/>
      <c r="D32" s="132"/>
      <c r="E32" s="30"/>
      <c r="F32" s="30"/>
      <c r="G32" s="30"/>
      <c r="H32" s="27"/>
      <c r="I32" s="30"/>
      <c r="J32" s="10"/>
      <c r="K32" s="16"/>
      <c r="L32" s="16"/>
      <c r="M32" s="10"/>
      <c r="P32" s="46"/>
    </row>
    <row r="33" spans="1:16" outlineLevel="1">
      <c r="A33" s="45" t="s">
        <v>46</v>
      </c>
      <c r="C33" s="95"/>
      <c r="D33" s="132"/>
      <c r="E33" s="30"/>
      <c r="F33" s="30"/>
      <c r="G33" s="30"/>
      <c r="H33" s="27"/>
      <c r="I33" s="30"/>
      <c r="J33" s="10"/>
      <c r="K33" s="16"/>
      <c r="L33" s="16"/>
      <c r="M33" s="10"/>
      <c r="P33" s="46"/>
    </row>
    <row r="34" spans="1:16" outlineLevel="1">
      <c r="A34" s="45" t="s">
        <v>22</v>
      </c>
      <c r="C34" s="39">
        <f t="shared" ref="C34:M34" si="6">C14-C26</f>
        <v>374855.18</v>
      </c>
      <c r="D34" s="110">
        <f t="shared" ref="D34" si="7">D14-D26</f>
        <v>0</v>
      </c>
      <c r="E34" s="40">
        <f>E14-E26</f>
        <v>-83976.09</v>
      </c>
      <c r="F34" s="40">
        <f t="shared" si="6"/>
        <v>-131177.78</v>
      </c>
      <c r="G34" s="99">
        <f t="shared" si="6"/>
        <v>-133388.54999999999</v>
      </c>
      <c r="H34" s="39">
        <f t="shared" si="6"/>
        <v>-65086.52</v>
      </c>
      <c r="I34" s="40">
        <f t="shared" si="6"/>
        <v>-46297.14</v>
      </c>
      <c r="J34" s="60">
        <f t="shared" si="6"/>
        <v>-38708.019999999997</v>
      </c>
      <c r="K34" s="110">
        <f t="shared" si="6"/>
        <v>-36877.89</v>
      </c>
      <c r="L34" s="40">
        <f t="shared" si="6"/>
        <v>-46837.27</v>
      </c>
      <c r="M34" s="48">
        <f t="shared" si="6"/>
        <v>-66370.55</v>
      </c>
      <c r="P34" s="46"/>
    </row>
    <row r="35" spans="1:16" outlineLevel="1">
      <c r="A35" s="45" t="s">
        <v>91</v>
      </c>
      <c r="C35" s="39">
        <f t="shared" ref="C35:M35" si="8">C15-C27</f>
        <v>115781.97</v>
      </c>
      <c r="D35" s="110">
        <f t="shared" ref="D35" si="9">D15-D27</f>
        <v>0</v>
      </c>
      <c r="E35" s="40">
        <f t="shared" si="8"/>
        <v>-39002.47</v>
      </c>
      <c r="F35" s="40">
        <f t="shared" si="8"/>
        <v>-49199.55</v>
      </c>
      <c r="G35" s="99">
        <f t="shared" si="8"/>
        <v>-46813.3</v>
      </c>
      <c r="H35" s="39">
        <f t="shared" si="8"/>
        <v>-13382.97</v>
      </c>
      <c r="I35" s="40">
        <f t="shared" si="8"/>
        <v>-10910.64</v>
      </c>
      <c r="J35" s="60">
        <f t="shared" si="8"/>
        <v>-10111.540000000001</v>
      </c>
      <c r="K35" s="110">
        <f t="shared" si="8"/>
        <v>-12294.85</v>
      </c>
      <c r="L35" s="40">
        <f t="shared" si="8"/>
        <v>-13656.49</v>
      </c>
      <c r="M35" s="48">
        <f t="shared" si="8"/>
        <v>-15244.47</v>
      </c>
      <c r="P35" s="46"/>
    </row>
    <row r="36" spans="1:16" outlineLevel="1">
      <c r="A36" s="45" t="s">
        <v>92</v>
      </c>
      <c r="C36" s="39">
        <f t="shared" ref="C36:M36" si="10">C16-C28</f>
        <v>46039.79</v>
      </c>
      <c r="D36" s="110">
        <f t="shared" ref="D36" si="11">D16-D28</f>
        <v>0</v>
      </c>
      <c r="E36" s="40">
        <f t="shared" si="10"/>
        <v>-15166.38</v>
      </c>
      <c r="F36" s="40">
        <f t="shared" si="10"/>
        <v>-17913.330000000002</v>
      </c>
      <c r="G36" s="99">
        <f t="shared" si="10"/>
        <v>-15516.68</v>
      </c>
      <c r="H36" s="39">
        <f t="shared" si="10"/>
        <v>-3674.95</v>
      </c>
      <c r="I36" s="40">
        <f t="shared" si="10"/>
        <v>-3496.12</v>
      </c>
      <c r="J36" s="60">
        <f t="shared" si="10"/>
        <v>-3256.4</v>
      </c>
      <c r="K36" s="110">
        <f t="shared" si="10"/>
        <v>-3700.9</v>
      </c>
      <c r="L36" s="40">
        <f t="shared" si="10"/>
        <v>-4110.7700000000004</v>
      </c>
      <c r="M36" s="48">
        <f t="shared" si="10"/>
        <v>-4588.7700000000004</v>
      </c>
      <c r="P36" s="46"/>
    </row>
    <row r="37" spans="1:16" outlineLevel="1">
      <c r="A37" s="45" t="s">
        <v>93</v>
      </c>
      <c r="C37" s="39">
        <f t="shared" ref="C37:M37" si="12">C17-C29</f>
        <v>-76405.7</v>
      </c>
      <c r="D37" s="110">
        <f t="shared" ref="D37" si="13">D17-D29</f>
        <v>0</v>
      </c>
      <c r="E37" s="40">
        <f t="shared" si="12"/>
        <v>38740.22</v>
      </c>
      <c r="F37" s="40">
        <f t="shared" si="12"/>
        <v>39793.71</v>
      </c>
      <c r="G37" s="99">
        <f t="shared" si="12"/>
        <v>39214.85</v>
      </c>
      <c r="H37" s="39">
        <f t="shared" si="12"/>
        <v>13712.01</v>
      </c>
      <c r="I37" s="40">
        <f t="shared" si="12"/>
        <v>-38740.1</v>
      </c>
      <c r="J37" s="60">
        <f t="shared" si="12"/>
        <v>10041.129999999999</v>
      </c>
      <c r="K37" s="110">
        <f t="shared" si="12"/>
        <v>11626.45</v>
      </c>
      <c r="L37" s="40">
        <f t="shared" si="12"/>
        <v>12914.06</v>
      </c>
      <c r="M37" s="48">
        <f t="shared" si="12"/>
        <v>14415.71</v>
      </c>
      <c r="P37" s="46"/>
    </row>
    <row r="38" spans="1:16" outlineLevel="1">
      <c r="C38" s="95"/>
      <c r="D38" s="132"/>
      <c r="E38" s="30"/>
      <c r="F38" s="30"/>
      <c r="G38" s="30"/>
      <c r="H38" s="27"/>
      <c r="I38" s="30"/>
      <c r="J38" s="10"/>
      <c r="K38" s="16"/>
      <c r="L38" s="16"/>
      <c r="M38" s="10"/>
      <c r="P38" s="46"/>
    </row>
    <row r="39" spans="1:16" ht="15.75" outlineLevel="1" thickBot="1">
      <c r="A39" s="45" t="s">
        <v>47</v>
      </c>
      <c r="B39" s="363"/>
      <c r="C39" s="97"/>
      <c r="D39" s="233"/>
      <c r="E39" s="30"/>
      <c r="F39" s="30"/>
      <c r="G39" s="30"/>
      <c r="H39" s="27"/>
      <c r="I39" s="30"/>
      <c r="J39" s="10"/>
      <c r="K39" s="16"/>
      <c r="L39" s="16"/>
      <c r="M39" s="10"/>
      <c r="P39" s="46"/>
    </row>
    <row r="40" spans="1:16" outlineLevel="1">
      <c r="A40" s="45" t="s">
        <v>22</v>
      </c>
      <c r="B40" s="274">
        <v>644719.9499999996</v>
      </c>
      <c r="C40" s="40">
        <f t="shared" ref="C40:M40" si="14">B40+C34+B47</f>
        <v>1019575.1299999997</v>
      </c>
      <c r="D40" s="40">
        <f t="shared" ref="D40:D43" si="15">C40+D34+C47</f>
        <v>1011397.8099999997</v>
      </c>
      <c r="E40" s="40">
        <f t="shared" ref="E40:E43" si="16">D40+E34+D47</f>
        <v>927421.71999999974</v>
      </c>
      <c r="F40" s="40">
        <f t="shared" si="14"/>
        <v>800540.21999999974</v>
      </c>
      <c r="G40" s="99">
        <f t="shared" si="14"/>
        <v>670833.73999999964</v>
      </c>
      <c r="H40" s="39">
        <f t="shared" si="14"/>
        <v>608835.37999999966</v>
      </c>
      <c r="I40" s="40">
        <f t="shared" si="14"/>
        <v>565220.16999999969</v>
      </c>
      <c r="J40" s="60">
        <f t="shared" si="14"/>
        <v>529022.25999999966</v>
      </c>
      <c r="K40" s="110">
        <f t="shared" si="14"/>
        <v>494432.15999999963</v>
      </c>
      <c r="L40" s="40">
        <f t="shared" si="14"/>
        <v>449734.55999999959</v>
      </c>
      <c r="M40" s="48">
        <f t="shared" si="14"/>
        <v>385337.97999999957</v>
      </c>
      <c r="P40" s="46"/>
    </row>
    <row r="41" spans="1:16" outlineLevel="1">
      <c r="A41" s="45" t="s">
        <v>91</v>
      </c>
      <c r="B41" s="277">
        <v>138954.44999999955</v>
      </c>
      <c r="C41" s="40">
        <f>B41+C35+B48</f>
        <v>254736.41999999955</v>
      </c>
      <c r="D41" s="40">
        <f t="shared" si="15"/>
        <v>252778.38999999955</v>
      </c>
      <c r="E41" s="40">
        <f t="shared" si="16"/>
        <v>213775.91999999955</v>
      </c>
      <c r="F41" s="40">
        <f t="shared" ref="F41:M41" si="17">E41+F35+E48</f>
        <v>165610.21999999954</v>
      </c>
      <c r="G41" s="99">
        <f t="shared" si="17"/>
        <v>119605.53999999953</v>
      </c>
      <c r="H41" s="39">
        <f t="shared" si="17"/>
        <v>106821.38999999953</v>
      </c>
      <c r="I41" s="40">
        <f t="shared" si="17"/>
        <v>96385.409999999538</v>
      </c>
      <c r="J41" s="60">
        <f t="shared" si="17"/>
        <v>86708.339999999531</v>
      </c>
      <c r="K41" s="110">
        <f t="shared" si="17"/>
        <v>74796.319999999527</v>
      </c>
      <c r="L41" s="40">
        <f t="shared" si="17"/>
        <v>61477.519999999531</v>
      </c>
      <c r="M41" s="48">
        <f t="shared" si="17"/>
        <v>46518.019999999531</v>
      </c>
      <c r="P41" s="46"/>
    </row>
    <row r="42" spans="1:16" outlineLevel="1">
      <c r="A42" s="45" t="s">
        <v>92</v>
      </c>
      <c r="B42" s="277">
        <v>56870.949999999539</v>
      </c>
      <c r="C42" s="40">
        <f>B42+C36+B49</f>
        <v>102910.73999999954</v>
      </c>
      <c r="D42" s="40">
        <f t="shared" si="15"/>
        <v>102117.71999999954</v>
      </c>
      <c r="E42" s="40">
        <f t="shared" si="16"/>
        <v>86951.339999999531</v>
      </c>
      <c r="F42" s="40">
        <f t="shared" ref="F42:M42" si="18">E42+F36+E49</f>
        <v>69456.969999999536</v>
      </c>
      <c r="G42" s="99">
        <f t="shared" si="18"/>
        <v>54273.639999999534</v>
      </c>
      <c r="H42" s="39">
        <f t="shared" si="18"/>
        <v>50858.429999999535</v>
      </c>
      <c r="I42" s="40">
        <f t="shared" si="18"/>
        <v>47582.659999999531</v>
      </c>
      <c r="J42" s="60">
        <f t="shared" si="18"/>
        <v>44536.719999999528</v>
      </c>
      <c r="K42" s="110">
        <f t="shared" si="18"/>
        <v>41028.419999999525</v>
      </c>
      <c r="L42" s="40">
        <f t="shared" si="18"/>
        <v>37096.539999999528</v>
      </c>
      <c r="M42" s="48">
        <f t="shared" si="18"/>
        <v>32671.109999999528</v>
      </c>
      <c r="P42" s="46"/>
    </row>
    <row r="43" spans="1:16" ht="15.75" outlineLevel="1" thickBot="1">
      <c r="A43" s="45" t="s">
        <v>93</v>
      </c>
      <c r="B43" s="275">
        <v>-122289.02999999911</v>
      </c>
      <c r="C43" s="40">
        <f t="shared" ref="C43:M43" si="19">B43+C37+B50</f>
        <v>-198694.72999999911</v>
      </c>
      <c r="D43" s="40">
        <f t="shared" si="15"/>
        <v>-197129.8199999991</v>
      </c>
      <c r="E43" s="40">
        <f t="shared" si="16"/>
        <v>-158389.5999999991</v>
      </c>
      <c r="F43" s="40">
        <f t="shared" si="19"/>
        <v>-119383.68999999911</v>
      </c>
      <c r="G43" s="99">
        <f t="shared" si="19"/>
        <v>-80760.949999999124</v>
      </c>
      <c r="H43" s="39">
        <f t="shared" si="19"/>
        <v>-67469.199999999124</v>
      </c>
      <c r="I43" s="40">
        <f t="shared" si="19"/>
        <v>-106520.08999999911</v>
      </c>
      <c r="J43" s="60">
        <f t="shared" si="19"/>
        <v>-96850.759999999107</v>
      </c>
      <c r="K43" s="110">
        <f t="shared" si="19"/>
        <v>-85649.30999999911</v>
      </c>
      <c r="L43" s="40">
        <f t="shared" si="19"/>
        <v>-73116.829999999114</v>
      </c>
      <c r="M43" s="48">
        <f t="shared" si="19"/>
        <v>-59033.099999999118</v>
      </c>
      <c r="P43" s="46"/>
    </row>
    <row r="44" spans="1:16" outlineLevel="1">
      <c r="C44" s="95"/>
      <c r="D44" s="132"/>
      <c r="E44" s="228"/>
      <c r="F44" s="228"/>
      <c r="G44" s="228"/>
      <c r="H44" s="94"/>
      <c r="I44" s="228"/>
      <c r="J44" s="283"/>
      <c r="K44" s="16"/>
      <c r="L44" s="16"/>
      <c r="M44" s="10"/>
      <c r="P44" s="46"/>
    </row>
    <row r="45" spans="1:16" outlineLevel="1">
      <c r="A45" s="38" t="s">
        <v>43</v>
      </c>
      <c r="B45" s="38"/>
      <c r="C45" s="97"/>
      <c r="D45" s="233"/>
      <c r="E45" s="284">
        <f>'[4]MO West ST Rate Nov25'!$E$42</f>
        <v>4.4318500000000002E-3</v>
      </c>
      <c r="F45" s="284">
        <f>'[4]MO West ST Rate Dec25'!$E$43</f>
        <v>4.2511800000000002E-3</v>
      </c>
      <c r="G45" s="284">
        <f>'[4]MO West ST Rate Jan26'!$E$43</f>
        <v>4.1871699999999996E-3</v>
      </c>
      <c r="H45" s="285">
        <f>'[4]MO West ST Rate Feb26'!$E$40</f>
        <v>4.1815100000000003E-3</v>
      </c>
      <c r="I45" s="284">
        <f>'[4]MO West ST Rate Mar26'!$E$43</f>
        <v>4.2662200000000003E-3</v>
      </c>
      <c r="J45" s="286">
        <f>'[4]MO West ST Rate Apr26'!$E$42</f>
        <v>4.1719399999999998E-3</v>
      </c>
      <c r="K45" s="80">
        <f>J45</f>
        <v>4.1719399999999998E-3</v>
      </c>
      <c r="L45" s="80">
        <f>J45</f>
        <v>4.1719399999999998E-3</v>
      </c>
      <c r="M45" s="89"/>
      <c r="P45" s="46"/>
    </row>
    <row r="46" spans="1:16" outlineLevel="1">
      <c r="A46" s="38" t="s">
        <v>31</v>
      </c>
      <c r="B46" s="38"/>
      <c r="C46" s="402"/>
      <c r="D46" s="132"/>
      <c r="E46" s="30"/>
      <c r="F46" s="30"/>
      <c r="G46" s="30"/>
      <c r="H46" s="27"/>
      <c r="I46" s="30"/>
      <c r="J46" s="10"/>
      <c r="K46" s="16"/>
      <c r="L46" s="16"/>
      <c r="M46" s="10"/>
      <c r="N46" s="70"/>
      <c r="P46" s="46"/>
    </row>
    <row r="47" spans="1:16" outlineLevel="1">
      <c r="A47" s="45" t="s">
        <v>22</v>
      </c>
      <c r="C47" s="281">
        <v>-8177.32</v>
      </c>
      <c r="D47" s="110"/>
      <c r="E47" s="40">
        <f>ROUND((C40+C47+D47+E34/2)*E$45,2)</f>
        <v>4296.28</v>
      </c>
      <c r="F47" s="40">
        <f t="shared" ref="F47:L50" si="20">ROUND((E40+E47+F34/2)*F$45,2)</f>
        <v>3682.07</v>
      </c>
      <c r="G47" s="99">
        <f t="shared" si="20"/>
        <v>3088.16</v>
      </c>
      <c r="H47" s="39">
        <f>ROUND((G40+G47+H34/2)*H$45,2)</f>
        <v>2681.93</v>
      </c>
      <c r="I47" s="110">
        <f t="shared" si="20"/>
        <v>2510.11</v>
      </c>
      <c r="J47" s="60">
        <f t="shared" si="20"/>
        <v>2287.79</v>
      </c>
      <c r="K47" s="110">
        <f t="shared" si="20"/>
        <v>2139.67</v>
      </c>
      <c r="L47" s="110">
        <f t="shared" si="20"/>
        <v>1973.97</v>
      </c>
      <c r="M47" s="48"/>
      <c r="P47" s="46">
        <f>-SUM(K47:M47)</f>
        <v>-4113.6400000000003</v>
      </c>
    </row>
    <row r="48" spans="1:16" outlineLevel="1">
      <c r="A48" s="45" t="s">
        <v>91</v>
      </c>
      <c r="C48" s="324">
        <v>-1958.03</v>
      </c>
      <c r="D48" s="234"/>
      <c r="E48" s="40">
        <f t="shared" ref="E48:E50" si="21">ROUND((C41+C48+D48+E35/2)*E$45,2)</f>
        <v>1033.8499999999999</v>
      </c>
      <c r="F48" s="40">
        <f t="shared" si="20"/>
        <v>808.62</v>
      </c>
      <c r="G48" s="99">
        <f t="shared" si="20"/>
        <v>598.82000000000005</v>
      </c>
      <c r="H48" s="39">
        <f>ROUND((G41+G48+H35/2)*H$45,2)</f>
        <v>474.66</v>
      </c>
      <c r="I48" s="110">
        <f t="shared" si="20"/>
        <v>434.47</v>
      </c>
      <c r="J48" s="60">
        <f t="shared" si="20"/>
        <v>382.83</v>
      </c>
      <c r="K48" s="110">
        <f t="shared" si="20"/>
        <v>337.69</v>
      </c>
      <c r="L48" s="110">
        <f t="shared" si="20"/>
        <v>284.97000000000003</v>
      </c>
      <c r="M48" s="48"/>
      <c r="P48" s="46">
        <f t="shared" ref="P48:P50" si="22">-SUM(K48:M48)</f>
        <v>-622.66000000000008</v>
      </c>
    </row>
    <row r="49" spans="1:18">
      <c r="A49" s="45" t="s">
        <v>92</v>
      </c>
      <c r="C49" s="324">
        <v>-793.02</v>
      </c>
      <c r="D49" s="234"/>
      <c r="E49" s="40">
        <f t="shared" si="21"/>
        <v>418.96</v>
      </c>
      <c r="F49" s="40">
        <f t="shared" si="20"/>
        <v>333.35</v>
      </c>
      <c r="G49" s="99">
        <f t="shared" si="20"/>
        <v>259.74</v>
      </c>
      <c r="H49" s="39">
        <f>ROUND((G42+G49+H36/2)*H$45,2)</f>
        <v>220.35</v>
      </c>
      <c r="I49" s="110">
        <f t="shared" si="20"/>
        <v>210.46</v>
      </c>
      <c r="J49" s="60">
        <f t="shared" si="20"/>
        <v>192.6</v>
      </c>
      <c r="K49" s="110">
        <f t="shared" si="20"/>
        <v>178.89</v>
      </c>
      <c r="L49" s="110">
        <f t="shared" si="20"/>
        <v>163.34</v>
      </c>
      <c r="M49" s="48"/>
      <c r="P49" s="46">
        <f t="shared" si="22"/>
        <v>-342.23</v>
      </c>
    </row>
    <row r="50" spans="1:18" ht="15.75" thickBot="1">
      <c r="A50" s="45" t="s">
        <v>93</v>
      </c>
      <c r="C50" s="323">
        <v>1564.9099999999999</v>
      </c>
      <c r="D50" s="234"/>
      <c r="E50" s="40">
        <f t="shared" si="21"/>
        <v>-787.8</v>
      </c>
      <c r="F50" s="40">
        <f t="shared" si="20"/>
        <v>-592.11</v>
      </c>
      <c r="G50" s="99">
        <f t="shared" si="20"/>
        <v>-420.26</v>
      </c>
      <c r="H50" s="39">
        <f>ROUND((G43+G50+H37/2)*H$45,2)</f>
        <v>-310.79000000000002</v>
      </c>
      <c r="I50" s="110">
        <f t="shared" si="20"/>
        <v>-371.8</v>
      </c>
      <c r="J50" s="60">
        <f t="shared" si="20"/>
        <v>-425</v>
      </c>
      <c r="K50" s="110">
        <f t="shared" si="20"/>
        <v>-381.58</v>
      </c>
      <c r="L50" s="110">
        <f t="shared" si="20"/>
        <v>-331.98</v>
      </c>
      <c r="M50" s="48"/>
      <c r="P50" s="46">
        <f t="shared" si="22"/>
        <v>713.56</v>
      </c>
      <c r="Q50" s="476"/>
      <c r="R50" s="476"/>
    </row>
    <row r="51" spans="1:18" ht="16.5" thickTop="1" thickBot="1">
      <c r="A51" s="53" t="s">
        <v>20</v>
      </c>
      <c r="B51" s="53"/>
      <c r="C51" s="105">
        <v>0</v>
      </c>
      <c r="D51" s="235"/>
      <c r="E51" s="31">
        <f t="shared" ref="E51:M51" si="23">SUM(E47:E50)+SUM(E40:E43)-E54</f>
        <v>0</v>
      </c>
      <c r="F51" s="31">
        <f t="shared" si="23"/>
        <v>0</v>
      </c>
      <c r="G51" s="49">
        <f t="shared" si="23"/>
        <v>0</v>
      </c>
      <c r="H51" s="111">
        <f t="shared" si="23"/>
        <v>0</v>
      </c>
      <c r="I51" s="31">
        <f t="shared" si="23"/>
        <v>0</v>
      </c>
      <c r="J51" s="61">
        <f t="shared" si="23"/>
        <v>0</v>
      </c>
      <c r="K51" s="144">
        <f t="shared" si="23"/>
        <v>0</v>
      </c>
      <c r="L51" s="31">
        <f t="shared" si="23"/>
        <v>0</v>
      </c>
      <c r="M51" s="93">
        <f t="shared" si="23"/>
        <v>0</v>
      </c>
      <c r="P51" s="46"/>
      <c r="Q51" s="476"/>
      <c r="R51" s="476"/>
    </row>
    <row r="52" spans="1:18" ht="16.5" thickTop="1" thickBot="1">
      <c r="A52" s="53" t="s">
        <v>21</v>
      </c>
      <c r="B52" s="53"/>
      <c r="C52" s="98">
        <v>0</v>
      </c>
      <c r="D52" s="236"/>
      <c r="E52" s="31">
        <f>SUM(E47:E50)-E31</f>
        <v>0</v>
      </c>
      <c r="F52" s="31">
        <f t="shared" ref="F52:M52" si="24">SUM(F47:F50)-F31</f>
        <v>0</v>
      </c>
      <c r="G52" s="49">
        <f t="shared" si="24"/>
        <v>0</v>
      </c>
      <c r="H52" s="50">
        <f t="shared" si="24"/>
        <v>0</v>
      </c>
      <c r="I52" s="31">
        <f t="shared" si="24"/>
        <v>0</v>
      </c>
      <c r="J52" s="61">
        <f t="shared" si="24"/>
        <v>0</v>
      </c>
      <c r="K52" s="144">
        <f t="shared" si="24"/>
        <v>0</v>
      </c>
      <c r="L52" s="31">
        <f t="shared" si="24"/>
        <v>0</v>
      </c>
      <c r="M52" s="93">
        <f t="shared" si="24"/>
        <v>0</v>
      </c>
      <c r="P52" s="46"/>
      <c r="Q52" s="476"/>
      <c r="R52" s="476"/>
    </row>
    <row r="53" spans="1:18" ht="16.5" thickTop="1" thickBot="1">
      <c r="C53" s="95"/>
      <c r="D53" s="132"/>
      <c r="E53" s="16"/>
      <c r="F53" s="16"/>
      <c r="G53" s="16"/>
      <c r="H53" s="9"/>
      <c r="I53" s="16"/>
      <c r="J53" s="10"/>
      <c r="K53" s="16"/>
      <c r="L53" s="16"/>
      <c r="M53" s="10"/>
      <c r="P53" s="46"/>
      <c r="Q53" s="476"/>
      <c r="R53" s="476"/>
    </row>
    <row r="54" spans="1:18" ht="15.75" thickBot="1">
      <c r="A54" s="45" t="s">
        <v>30</v>
      </c>
      <c r="B54" s="107">
        <f>SUM(B40:B43)</f>
        <v>718256.3199999996</v>
      </c>
      <c r="C54" s="39">
        <f>(SUM(C14:C17)-SUM(C26:C29))+SUM(C47:C50)+B54</f>
        <v>1169164.0999999996</v>
      </c>
      <c r="D54" s="110"/>
      <c r="E54" s="40">
        <f>(SUM(E14:E17)-SUM(E26:E29))+SUM(E47:E50)+C54</f>
        <v>1074720.6699999997</v>
      </c>
      <c r="F54" s="40">
        <f t="shared" ref="F54:M54" si="25">(SUM(F14:F17)-SUM(F26:F29))+SUM(F47:F50)+E54</f>
        <v>920455.64999999967</v>
      </c>
      <c r="G54" s="99">
        <f t="shared" si="25"/>
        <v>767478.4299999997</v>
      </c>
      <c r="H54" s="39">
        <f t="shared" si="25"/>
        <v>702112.14999999967</v>
      </c>
      <c r="I54" s="40">
        <f t="shared" si="25"/>
        <v>605451.38999999966</v>
      </c>
      <c r="J54" s="60">
        <f>(SUM(J14:J17)-SUM(J26:J29))+SUM(J47:J50)+I54</f>
        <v>565854.77999999968</v>
      </c>
      <c r="K54" s="110">
        <f t="shared" si="25"/>
        <v>526882.25999999966</v>
      </c>
      <c r="L54" s="40">
        <f t="shared" si="25"/>
        <v>477282.08999999968</v>
      </c>
      <c r="M54" s="60">
        <f t="shared" si="25"/>
        <v>405494.00999999966</v>
      </c>
      <c r="Q54" s="476"/>
      <c r="R54" s="476"/>
    </row>
    <row r="55" spans="1:18">
      <c r="A55" s="45" t="s">
        <v>10</v>
      </c>
      <c r="C55" s="108"/>
      <c r="D55" s="16"/>
      <c r="E55" s="55"/>
      <c r="F55" s="55"/>
      <c r="G55" s="55"/>
      <c r="H55" s="11"/>
      <c r="I55" s="55"/>
      <c r="J55" s="10"/>
      <c r="K55" s="16"/>
      <c r="L55" s="16"/>
      <c r="M55" s="10"/>
      <c r="Q55" s="476"/>
      <c r="R55" s="476"/>
    </row>
    <row r="56" spans="1:18" ht="15.75" thickBot="1">
      <c r="B56" s="16"/>
      <c r="C56" s="42"/>
      <c r="D56" s="43"/>
      <c r="E56" s="43"/>
      <c r="F56" s="43"/>
      <c r="G56" s="43"/>
      <c r="H56" s="42"/>
      <c r="I56" s="43"/>
      <c r="J56" s="44"/>
      <c r="K56" s="43"/>
      <c r="L56" s="43"/>
      <c r="M56" s="44"/>
      <c r="Q56" s="476"/>
      <c r="R56" s="476"/>
    </row>
    <row r="57" spans="1:18">
      <c r="Q57" s="476"/>
      <c r="R57" s="476"/>
    </row>
    <row r="58" spans="1:18">
      <c r="A58" s="68" t="s">
        <v>9</v>
      </c>
      <c r="B58" s="68"/>
      <c r="C58" s="68"/>
      <c r="D58" s="68"/>
    </row>
    <row r="59" spans="1:18" ht="31.5" customHeight="1">
      <c r="A59" s="515" t="s">
        <v>249</v>
      </c>
      <c r="B59" s="515"/>
      <c r="C59" s="515"/>
      <c r="D59" s="515"/>
      <c r="E59" s="515"/>
      <c r="F59" s="515"/>
      <c r="G59" s="515"/>
      <c r="H59" s="515"/>
      <c r="I59" s="515"/>
      <c r="J59" s="515"/>
      <c r="K59" s="196"/>
      <c r="L59" s="196"/>
      <c r="M59" s="196"/>
    </row>
    <row r="60" spans="1:18" ht="45" customHeight="1">
      <c r="A60" s="515" t="s">
        <v>270</v>
      </c>
      <c r="B60" s="515"/>
      <c r="C60" s="515"/>
      <c r="D60" s="515"/>
      <c r="E60" s="515"/>
      <c r="F60" s="515"/>
      <c r="G60" s="515"/>
      <c r="H60" s="515"/>
      <c r="I60" s="515"/>
      <c r="J60" s="515"/>
      <c r="K60" s="196"/>
      <c r="L60" s="196"/>
      <c r="M60" s="196"/>
    </row>
    <row r="61" spans="1:18" ht="61.5" customHeight="1">
      <c r="A61" s="515" t="s">
        <v>235</v>
      </c>
      <c r="B61" s="515"/>
      <c r="C61" s="515"/>
      <c r="D61" s="515"/>
      <c r="E61" s="515"/>
      <c r="F61" s="515"/>
      <c r="G61" s="515"/>
      <c r="H61" s="515"/>
      <c r="I61" s="515"/>
      <c r="J61" s="515"/>
      <c r="K61" s="196"/>
      <c r="L61" s="196"/>
      <c r="M61" s="196"/>
    </row>
    <row r="62" spans="1:18">
      <c r="A62" s="515" t="s">
        <v>189</v>
      </c>
      <c r="B62" s="515"/>
      <c r="C62" s="515"/>
      <c r="D62" s="515"/>
      <c r="E62" s="515"/>
      <c r="F62" s="515"/>
      <c r="G62" s="515"/>
      <c r="H62" s="515"/>
      <c r="I62" s="515"/>
      <c r="J62" s="515"/>
    </row>
    <row r="63" spans="1:18">
      <c r="A63" s="383" t="s">
        <v>239</v>
      </c>
      <c r="B63" s="383"/>
      <c r="C63" s="383"/>
      <c r="D63" s="383"/>
      <c r="E63" s="363"/>
      <c r="F63" s="363"/>
      <c r="G63" s="363"/>
      <c r="H63" s="363"/>
      <c r="I63" s="363"/>
      <c r="J63" s="299"/>
    </row>
    <row r="64" spans="1:18">
      <c r="A64" s="383" t="s">
        <v>45</v>
      </c>
      <c r="B64" s="383"/>
      <c r="C64" s="383"/>
      <c r="D64" s="383"/>
      <c r="E64" s="363"/>
      <c r="F64" s="363"/>
      <c r="G64" s="363"/>
      <c r="H64" s="363"/>
      <c r="I64" s="363"/>
      <c r="J64" s="299"/>
    </row>
    <row r="65" spans="1:14">
      <c r="A65" s="3"/>
    </row>
    <row r="66" spans="1:14" ht="36" customHeight="1">
      <c r="A66" s="514"/>
      <c r="B66" s="514"/>
      <c r="C66" s="514"/>
      <c r="D66" s="514"/>
      <c r="E66" s="514"/>
      <c r="F66" s="514"/>
      <c r="G66" s="514"/>
    </row>
    <row r="74" spans="1:14">
      <c r="N74" s="7"/>
    </row>
  </sheetData>
  <mergeCells count="8">
    <mergeCell ref="A66:G66"/>
    <mergeCell ref="A61:J61"/>
    <mergeCell ref="E10:G10"/>
    <mergeCell ref="H10:J10"/>
    <mergeCell ref="K10:M10"/>
    <mergeCell ref="A59:J59"/>
    <mergeCell ref="A60:J60"/>
    <mergeCell ref="A62:J62"/>
  </mergeCells>
  <pageMargins left="0.2" right="0.2" top="0.75" bottom="0.25" header="0.3" footer="0.3"/>
  <pageSetup scale="54" orientation="landscape" r:id="rId1"/>
  <headerFooter>
    <oddHeader>&amp;C&amp;F &amp;A&amp;R&amp;"Arial"&amp;10&amp;K000000CONFIDENTIAL</oddHeader>
    <oddFooter xml:space="preserve">&amp;R_x000D_&amp;1#&amp;"Calibri"&amp;10&amp;KA80000 Restricted – Sensitive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DA5EC-43C1-4B10-BF6B-0461013A4037}">
  <sheetPr>
    <pageSetUpPr fitToPage="1"/>
  </sheetPr>
  <dimension ref="A1:AJ74"/>
  <sheetViews>
    <sheetView zoomScale="85" zoomScaleNormal="85" workbookViewId="0"/>
  </sheetViews>
  <sheetFormatPr defaultColWidth="9.140625" defaultRowHeight="15" outlineLevelCol="1"/>
  <cols>
    <col min="1" max="1" width="54.5703125" style="45" customWidth="1"/>
    <col min="2" max="2" width="14.7109375" style="45" customWidth="1"/>
    <col min="3" max="3" width="15" style="45" customWidth="1"/>
    <col min="4" max="4" width="15" style="45" hidden="1" customWidth="1" outlineLevel="1"/>
    <col min="5" max="5" width="15.28515625" style="45" customWidth="1" collapsed="1"/>
    <col min="6" max="6" width="15.85546875" style="45" customWidth="1"/>
    <col min="7" max="7" width="17.5703125" style="45" customWidth="1"/>
    <col min="8" max="9" width="13.28515625" style="45" customWidth="1"/>
    <col min="10" max="10" width="15.7109375" style="45" customWidth="1"/>
    <col min="11" max="12" width="12.5703125" style="45" bestFit="1" customWidth="1"/>
    <col min="13" max="13" width="14.42578125" style="45" customWidth="1"/>
    <col min="14" max="14" width="15" style="45" bestFit="1" customWidth="1"/>
    <col min="15" max="15" width="16.28515625" style="45" bestFit="1" customWidth="1"/>
    <col min="16" max="16" width="16.28515625" style="45" hidden="1" customWidth="1" outlineLevel="1"/>
    <col min="17" max="17" width="16.140625" style="45" customWidth="1" collapsed="1"/>
    <col min="18" max="18" width="17.28515625" style="45" bestFit="1" customWidth="1"/>
    <col min="19" max="19" width="17.42578125" style="45" customWidth="1"/>
    <col min="20" max="20" width="15.5703125" style="45" customWidth="1"/>
    <col min="21" max="21" width="13" style="45" customWidth="1"/>
    <col min="22" max="22" width="9.140625" style="45"/>
    <col min="23" max="23" width="14.28515625" style="45" bestFit="1" customWidth="1"/>
    <col min="24" max="16384" width="9.140625" style="45"/>
  </cols>
  <sheetData>
    <row r="1" spans="1:36">
      <c r="A1" s="3" t="str">
        <f>+'PTD Cycle 3'!A1</f>
        <v>Evergy Missouri West, Inc. - DSIM Rider Update Filed 06/01/2026</v>
      </c>
      <c r="B1" s="3"/>
      <c r="C1" s="3"/>
      <c r="D1" s="3"/>
    </row>
    <row r="2" spans="1:36">
      <c r="E2" s="3" t="s">
        <v>186</v>
      </c>
    </row>
    <row r="3" spans="1:36" ht="30">
      <c r="E3" s="47" t="s">
        <v>40</v>
      </c>
      <c r="F3" s="47" t="s">
        <v>39</v>
      </c>
      <c r="G3" s="69" t="s">
        <v>0</v>
      </c>
      <c r="H3" s="47" t="s">
        <v>1</v>
      </c>
      <c r="I3" s="69" t="s">
        <v>49</v>
      </c>
      <c r="J3" s="47" t="s">
        <v>8</v>
      </c>
      <c r="K3" s="47" t="s">
        <v>2</v>
      </c>
      <c r="N3" s="476"/>
    </row>
    <row r="4" spans="1:36">
      <c r="A4" s="19" t="s">
        <v>22</v>
      </c>
      <c r="E4" s="21">
        <f>SUM(C26:M26)</f>
        <v>1856169.2300000002</v>
      </c>
      <c r="F4" s="121">
        <f>SUM(C20:M20)</f>
        <v>1673035836.9307947</v>
      </c>
      <c r="G4" s="415">
        <f>SUM(C14:L14)</f>
        <v>1553897.4599999997</v>
      </c>
      <c r="H4" s="21">
        <f>G4-E4</f>
        <v>-302271.77000000048</v>
      </c>
      <c r="I4" s="21">
        <f>+B40</f>
        <v>-1663108.8499999996</v>
      </c>
      <c r="J4" s="21">
        <f>SUM(C47:L47)</f>
        <v>-47500.160000000003</v>
      </c>
      <c r="K4" s="24">
        <f>SUM(H4:J4)</f>
        <v>-2012880.78</v>
      </c>
      <c r="L4" s="276">
        <f>+K4-M40</f>
        <v>0</v>
      </c>
    </row>
    <row r="5" spans="1:36">
      <c r="A5" s="19" t="s">
        <v>91</v>
      </c>
      <c r="E5" s="21">
        <f>SUM(C27:M27)</f>
        <v>1316807.2</v>
      </c>
      <c r="F5" s="121">
        <f>SUM(C21:M21)</f>
        <v>800725470.45570016</v>
      </c>
      <c r="G5" s="415">
        <f>SUM(C15:L15)</f>
        <v>450037.3</v>
      </c>
      <c r="H5" s="21">
        <f>G5-E5</f>
        <v>-866769.89999999991</v>
      </c>
      <c r="I5" s="21">
        <f>+B41</f>
        <v>58109.980000000047</v>
      </c>
      <c r="J5" s="21">
        <f>SUM(C48:L48)</f>
        <v>-16978.050000000003</v>
      </c>
      <c r="K5" s="24">
        <f>SUM(H5:J5)</f>
        <v>-825637.96999999986</v>
      </c>
      <c r="L5" s="276">
        <f t="shared" ref="L5:L6" si="0">+K5-M41</f>
        <v>0</v>
      </c>
    </row>
    <row r="6" spans="1:36">
      <c r="A6" s="19" t="s">
        <v>92</v>
      </c>
      <c r="E6" s="21">
        <f>SUM(C28:M28)</f>
        <v>1223252.3399999999</v>
      </c>
      <c r="F6" s="121">
        <f>SUM(C22:M22)</f>
        <v>573642752.61890006</v>
      </c>
      <c r="G6" s="415">
        <f>SUM(C16:L16)</f>
        <v>1487068.64</v>
      </c>
      <c r="H6" s="21">
        <f>G6-E6</f>
        <v>263816.30000000005</v>
      </c>
      <c r="I6" s="21">
        <f>+B42</f>
        <v>-1028696.0700000001</v>
      </c>
      <c r="J6" s="21">
        <f>SUM(C49:L49)</f>
        <v>-20696.22</v>
      </c>
      <c r="K6" s="24">
        <f>SUM(H6:J6)</f>
        <v>-785575.99</v>
      </c>
      <c r="L6" s="276">
        <f t="shared" si="0"/>
        <v>0</v>
      </c>
    </row>
    <row r="7" spans="1:36" ht="15.75" thickBot="1">
      <c r="A7" s="19" t="s">
        <v>93</v>
      </c>
      <c r="E7" s="21">
        <f>SUM(C29:M29)</f>
        <v>541170.57999999996</v>
      </c>
      <c r="F7" s="121">
        <f>SUM(C23:M23)</f>
        <v>410902070.0115</v>
      </c>
      <c r="G7" s="415">
        <f>SUM(C17:L17)</f>
        <v>1707218.32</v>
      </c>
      <c r="H7" s="21">
        <f>G7-E7</f>
        <v>1166047.7400000002</v>
      </c>
      <c r="I7" s="21">
        <f>+B43</f>
        <v>-2396168.8000000003</v>
      </c>
      <c r="J7" s="21">
        <f>SUM(C50:L50)</f>
        <v>-46435.320000000007</v>
      </c>
      <c r="K7" s="24">
        <f>SUM(H7:J7)</f>
        <v>-1276556.3800000001</v>
      </c>
      <c r="L7" s="276">
        <f>+K7-M43</f>
        <v>0</v>
      </c>
    </row>
    <row r="8" spans="1:36" ht="16.5" thickTop="1" thickBot="1">
      <c r="E8" s="26">
        <f t="shared" ref="E8:K8" si="1">SUM(E4:E7)</f>
        <v>4937399.3499999996</v>
      </c>
      <c r="F8" s="26">
        <f t="shared" si="1"/>
        <v>3458306130.0168948</v>
      </c>
      <c r="G8" s="353">
        <f t="shared" si="1"/>
        <v>5198221.72</v>
      </c>
      <c r="H8" s="26">
        <f t="shared" si="1"/>
        <v>260822.36999999988</v>
      </c>
      <c r="I8" s="26">
        <f t="shared" si="1"/>
        <v>-5029863.74</v>
      </c>
      <c r="J8" s="26">
        <f t="shared" si="1"/>
        <v>-131609.75</v>
      </c>
      <c r="K8" s="26">
        <f t="shared" si="1"/>
        <v>-4900651.12</v>
      </c>
    </row>
    <row r="9" spans="1:36" ht="16.5" thickTop="1" thickBot="1">
      <c r="B9" s="363"/>
      <c r="C9" s="363"/>
      <c r="G9" s="476"/>
    </row>
    <row r="10" spans="1:36" ht="90.75" thickBot="1">
      <c r="B10" s="106" t="s">
        <v>227</v>
      </c>
      <c r="C10" s="134" t="s">
        <v>228</v>
      </c>
      <c r="D10" s="237"/>
      <c r="E10" s="516" t="s">
        <v>28</v>
      </c>
      <c r="F10" s="516"/>
      <c r="G10" s="517"/>
      <c r="H10" s="518" t="s">
        <v>28</v>
      </c>
      <c r="I10" s="519"/>
      <c r="J10" s="520"/>
      <c r="K10" s="521" t="s">
        <v>6</v>
      </c>
      <c r="L10" s="522"/>
      <c r="M10" s="523"/>
      <c r="P10" s="253" t="s">
        <v>173</v>
      </c>
    </row>
    <row r="11" spans="1:36">
      <c r="C11" s="13"/>
      <c r="D11" s="18"/>
      <c r="E11" s="504">
        <v>45991</v>
      </c>
      <c r="F11" s="348">
        <f t="shared" ref="F11:M11" si="2">EOMONTH(E11,1)</f>
        <v>46022</v>
      </c>
      <c r="G11" s="348">
        <f t="shared" si="2"/>
        <v>46053</v>
      </c>
      <c r="H11" s="343">
        <f t="shared" si="2"/>
        <v>46081</v>
      </c>
      <c r="I11" s="348">
        <f t="shared" si="2"/>
        <v>46112</v>
      </c>
      <c r="J11" s="344">
        <f t="shared" si="2"/>
        <v>46142</v>
      </c>
      <c r="K11" s="348">
        <f t="shared" si="2"/>
        <v>46173</v>
      </c>
      <c r="L11" s="348">
        <f t="shared" si="2"/>
        <v>46203</v>
      </c>
      <c r="M11" s="344">
        <f t="shared" si="2"/>
        <v>46234</v>
      </c>
      <c r="AA11" s="1"/>
      <c r="AB11" s="1"/>
      <c r="AC11" s="1"/>
      <c r="AD11" s="1"/>
      <c r="AE11" s="1"/>
      <c r="AF11" s="1"/>
      <c r="AG11" s="1"/>
      <c r="AH11" s="1"/>
      <c r="AI11" s="1"/>
      <c r="AJ11" s="1"/>
    </row>
    <row r="12" spans="1:36">
      <c r="C12" s="94"/>
      <c r="D12" s="228"/>
      <c r="E12" s="30"/>
      <c r="F12" s="30"/>
      <c r="G12" s="30"/>
      <c r="H12" s="27"/>
      <c r="I12" s="30"/>
      <c r="J12" s="10"/>
      <c r="K12" s="30"/>
      <c r="L12" s="30"/>
      <c r="M12" s="28"/>
      <c r="P12" s="46"/>
    </row>
    <row r="13" spans="1:36">
      <c r="A13" s="45" t="s">
        <v>117</v>
      </c>
      <c r="C13" s="402"/>
      <c r="D13" s="132"/>
      <c r="E13" s="228"/>
      <c r="F13" s="228"/>
      <c r="G13" s="228"/>
      <c r="H13" s="94"/>
      <c r="I13" s="228"/>
      <c r="J13" s="502"/>
      <c r="K13" s="132"/>
      <c r="L13" s="132"/>
      <c r="M13" s="283"/>
      <c r="P13" s="46"/>
    </row>
    <row r="14" spans="1:36">
      <c r="A14" s="45" t="s">
        <v>22</v>
      </c>
      <c r="C14" s="320">
        <v>-1395202.53</v>
      </c>
      <c r="D14" s="229"/>
      <c r="E14" s="100">
        <f>'[5]Pivot - SI Project MOWest'!$N$56</f>
        <v>258082.68</v>
      </c>
      <c r="F14" s="100">
        <f>'[6]Pivot - SI Project MOWest'!$N$56</f>
        <v>721461.75</v>
      </c>
      <c r="G14" s="101">
        <f>'[7]Pivot - SI Project MOWest'!$N$56+'[8]Pivot - SI Project MOWest'!$N$56</f>
        <v>298639.94999999995</v>
      </c>
      <c r="H14" s="15">
        <f>'[9]Pivot - SI Project MOWest'!$N$56+'[10]Pivot - SI Project MOWest'!$N$56</f>
        <v>-20660.450000000012</v>
      </c>
      <c r="I14" s="54">
        <f>'[11]Pivot - SI Project MOWest'!$N$56+'[12]Pivot - SI Project MOWest'!$N$56</f>
        <v>392812.32999999996</v>
      </c>
      <c r="J14" s="145">
        <f>'[13]Pivot - SI Project MOWest'!$N$56+'[14]Pivot - SI Project MOWest'!$N$56</f>
        <v>472613.42</v>
      </c>
      <c r="K14" s="329">
        <f>'[1]GMO CONTRACT_DETAIL IMPORT'!W211</f>
        <v>414470.24</v>
      </c>
      <c r="L14" s="330">
        <f>'[1]GMO CONTRACT_DETAIL IMPORT'!X211</f>
        <v>411680.07</v>
      </c>
      <c r="M14" s="328"/>
      <c r="P14" s="370">
        <f t="shared" ref="P14:P17" si="3">-SUM(K14:M14)</f>
        <v>-826150.31</v>
      </c>
    </row>
    <row r="15" spans="1:36">
      <c r="A15" s="45" t="s">
        <v>91</v>
      </c>
      <c r="C15" s="320">
        <v>-601509.06000000006</v>
      </c>
      <c r="D15" s="229"/>
      <c r="E15" s="478">
        <f>'[5]Pivot - SI Project MOWest'!$O$56</f>
        <v>-158994.10999999999</v>
      </c>
      <c r="F15" s="478">
        <f>'[6]Pivot - SI Project MOWest'!$O$56</f>
        <v>225578.2</v>
      </c>
      <c r="G15" s="406">
        <f>'[7]Pivot - SI Project MOWest'!$O$56+'[8]Pivot - SI Project MOWest'!$O$56</f>
        <v>172895.47</v>
      </c>
      <c r="H15" s="345">
        <f>'[9]Pivot - SI Project MOWest'!$O$56+'[10]Pivot - SI Project MOWest'!$O$56</f>
        <v>120999.66</v>
      </c>
      <c r="I15" s="377">
        <f>'[11]Pivot - SI Project MOWest'!$O$56+'[12]Pivot - SI Project MOWest'!$O$56</f>
        <v>35871.25</v>
      </c>
      <c r="J15" s="429">
        <f>'[13]Pivot - SI Project MOWest'!$O$56+'[14]Pivot - SI Project MOWest'!$O$56</f>
        <v>90454.89</v>
      </c>
      <c r="K15" s="329">
        <f>'[1]GMO CONTRACT_DETAIL IMPORT'!W212</f>
        <v>151238.38</v>
      </c>
      <c r="L15" s="330">
        <f>'[1]GMO CONTRACT_DETAIL IMPORT'!X212</f>
        <v>413502.62</v>
      </c>
      <c r="M15" s="328"/>
      <c r="P15" s="370">
        <f t="shared" si="3"/>
        <v>-564741</v>
      </c>
    </row>
    <row r="16" spans="1:36">
      <c r="A16" s="45" t="s">
        <v>92</v>
      </c>
      <c r="C16" s="320">
        <v>-505612.31</v>
      </c>
      <c r="D16" s="229"/>
      <c r="E16" s="478">
        <f>'[5]Pivot - SI Project MOWest'!$Q$56</f>
        <v>-186733.98</v>
      </c>
      <c r="F16" s="478">
        <f>'[6]Pivot - SI Project MOWest'!$Q$56</f>
        <v>868545.52</v>
      </c>
      <c r="G16" s="406">
        <f>'[7]Pivot - SI Project MOWest'!$Q$56+'[8]Pivot - SI Project MOWest'!$Q$56</f>
        <v>302016.32</v>
      </c>
      <c r="H16" s="345">
        <f>'[9]Pivot - SI Project MOWest'!$Q$56+'[10]Pivot - SI Project MOWest'!$Q$56</f>
        <v>170276.28</v>
      </c>
      <c r="I16" s="377">
        <f>'[11]Pivot - SI Project MOWest'!$Q$56+'[12]Pivot - SI Project MOWest'!$Q$56</f>
        <v>-143207.34999999998</v>
      </c>
      <c r="J16" s="429">
        <f>'[13]Pivot - SI Project MOWest'!$Q$56+'[14]Pivot - SI Project MOWest'!$Q$56</f>
        <v>146725.64000000001</v>
      </c>
      <c r="K16" s="329">
        <f>'[1]GMO CONTRACT_DETAIL IMPORT'!W214</f>
        <v>141336.13</v>
      </c>
      <c r="L16" s="330">
        <f>'[1]GMO CONTRACT_DETAIL IMPORT'!X214</f>
        <v>693722.3899999999</v>
      </c>
      <c r="M16" s="328"/>
      <c r="P16" s="370">
        <f t="shared" si="3"/>
        <v>-835058.5199999999</v>
      </c>
    </row>
    <row r="17" spans="1:17">
      <c r="A17" s="45" t="s">
        <v>93</v>
      </c>
      <c r="C17" s="320">
        <v>-71009.820000000007</v>
      </c>
      <c r="D17" s="229"/>
      <c r="E17" s="478">
        <f>'[5]Pivot - SI Project MOWest'!$R$56</f>
        <v>559591.29</v>
      </c>
      <c r="F17" s="478">
        <f>'[6]Pivot - SI Project MOWest'!$R$56</f>
        <v>-116084.09</v>
      </c>
      <c r="G17" s="406">
        <f>'[7]Pivot - SI Project MOWest'!$R$56+'[8]Pivot - SI Project MOWest'!$R$56</f>
        <v>101634.1</v>
      </c>
      <c r="H17" s="345">
        <f>'[9]Pivot - SI Project MOWest'!$R$56+'[10]Pivot - SI Project MOWest'!$R$56</f>
        <v>176716.46</v>
      </c>
      <c r="I17" s="377">
        <f>'[11]Pivot - SI Project MOWest'!$R$56+'[12]Pivot - SI Project MOWest'!$R$56</f>
        <v>-57149.09</v>
      </c>
      <c r="J17" s="429">
        <f>'[13]Pivot - SI Project MOWest'!$R$56+'[14]Pivot - SI Project MOWest'!$R$56</f>
        <v>95700.260000000009</v>
      </c>
      <c r="K17" s="329">
        <f>'[1]GMO CONTRACT_DETAIL IMPORT'!W215</f>
        <v>118699.9</v>
      </c>
      <c r="L17" s="330">
        <f>'[1]GMO CONTRACT_DETAIL IMPORT'!X215</f>
        <v>899119.31</v>
      </c>
      <c r="M17" s="328"/>
      <c r="P17" s="370">
        <f t="shared" si="3"/>
        <v>-1017819.2100000001</v>
      </c>
    </row>
    <row r="18" spans="1:17">
      <c r="C18" s="271"/>
      <c r="D18" s="132"/>
      <c r="E18" s="482"/>
      <c r="F18" s="482"/>
      <c r="G18" s="482"/>
      <c r="H18" s="483"/>
      <c r="I18" s="482"/>
      <c r="J18" s="484"/>
      <c r="K18" s="16"/>
      <c r="L18" s="16"/>
      <c r="M18" s="10"/>
      <c r="P18" s="46"/>
    </row>
    <row r="19" spans="1:17">
      <c r="A19" s="38" t="s">
        <v>41</v>
      </c>
      <c r="B19" s="38"/>
      <c r="C19" s="272"/>
      <c r="D19" s="230"/>
      <c r="E19" s="228"/>
      <c r="F19" s="228"/>
      <c r="G19" s="228"/>
      <c r="H19" s="94"/>
      <c r="I19" s="228"/>
      <c r="J19" s="283"/>
      <c r="K19" s="132"/>
      <c r="L19" s="132"/>
      <c r="M19" s="283"/>
      <c r="P19" s="46"/>
    </row>
    <row r="20" spans="1:17">
      <c r="A20" s="45" t="s">
        <v>22</v>
      </c>
      <c r="C20" s="321">
        <v>-986461003.18790531</v>
      </c>
      <c r="D20" s="231"/>
      <c r="E20" s="102">
        <f>'[3]EMW Nov25'!$G182</f>
        <v>220985977.56239998</v>
      </c>
      <c r="F20" s="102">
        <f>'[3]EMW Dec25'!$G182</f>
        <v>321485837.79620016</v>
      </c>
      <c r="G20" s="102">
        <f>'[3]EMW Jan26'!$G182</f>
        <v>351066477.35249978</v>
      </c>
      <c r="H20" s="159">
        <f>'[3]EMW Feb26'!$G182</f>
        <v>382774353.1940999</v>
      </c>
      <c r="I20" s="160">
        <f>'[3]EMW Mar26'!$G182</f>
        <v>272537104.32900012</v>
      </c>
      <c r="J20" s="156">
        <f>'[3]EMW Apr26'!$G182</f>
        <v>227789988.88450006</v>
      </c>
      <c r="K20" s="153">
        <f>'[28]GMO Billed kWh Sales'!R32</f>
        <v>216928747</v>
      </c>
      <c r="L20" s="123">
        <f>'[28]GMO Billed kWh Sales'!S32</f>
        <v>275513346</v>
      </c>
      <c r="M20" s="74">
        <f>'[28]GMO Billed kWh Sales'!T32</f>
        <v>390415008</v>
      </c>
      <c r="P20" s="46">
        <f>-SUM(K20:M20)</f>
        <v>-882857101</v>
      </c>
    </row>
    <row r="21" spans="1:17">
      <c r="A21" s="45" t="s">
        <v>91</v>
      </c>
      <c r="C21" s="321">
        <v>-312924251</v>
      </c>
      <c r="D21" s="231"/>
      <c r="E21" s="407">
        <f>'[3]EMW Nov25'!$G183</f>
        <v>105399935.54650001</v>
      </c>
      <c r="F21" s="102">
        <f>'[3]EMW Dec25'!$G183</f>
        <v>126037127.80310002</v>
      </c>
      <c r="G21" s="407">
        <f>'[3]EMW Jan26'!$G183</f>
        <v>126520242.71469998</v>
      </c>
      <c r="H21" s="159">
        <f>'[3]EMW Feb26'!$G183</f>
        <v>132011534.55000004</v>
      </c>
      <c r="I21" s="160">
        <f>'[3]EMW Mar26'!$G183</f>
        <v>110622939.17919998</v>
      </c>
      <c r="J21" s="156">
        <f>'[3]EMW Apr26'!$G183</f>
        <v>101099832.66220002</v>
      </c>
      <c r="K21" s="153">
        <f>'[28]GMO Billed kWh Sales'!R33</f>
        <v>122948492</v>
      </c>
      <c r="L21" s="123">
        <f>'[28]GMO Billed kWh Sales'!S33</f>
        <v>136564908</v>
      </c>
      <c r="M21" s="74">
        <f>'[28]GMO Billed kWh Sales'!T33</f>
        <v>152444709</v>
      </c>
      <c r="P21" s="46">
        <f t="shared" ref="P21:P23" si="4">-SUM(K21:M21)</f>
        <v>-411958109</v>
      </c>
    </row>
    <row r="22" spans="1:17">
      <c r="A22" s="45" t="s">
        <v>92</v>
      </c>
      <c r="C22" s="321">
        <v>-255776610</v>
      </c>
      <c r="D22" s="231"/>
      <c r="E22" s="407">
        <f>'[3]EMW Nov25'!$G184</f>
        <v>84257686.598700002</v>
      </c>
      <c r="F22" s="102">
        <f>'[3]EMW Dec25'!$G184</f>
        <v>90660400.780400008</v>
      </c>
      <c r="G22" s="407">
        <f>'[3]EMW Jan26'!$G184</f>
        <v>86203760.882100016</v>
      </c>
      <c r="H22" s="159">
        <f>'[3]EMW Feb26'!$G184</f>
        <v>91404998.802500024</v>
      </c>
      <c r="I22" s="160">
        <f>'[3]EMW Mar26'!$G184</f>
        <v>85471356.458199978</v>
      </c>
      <c r="J22" s="156">
        <f>'[3]EMW Apr26'!$G184</f>
        <v>81409971.097000003</v>
      </c>
      <c r="K22" s="153">
        <f>'[28]GMO Billed kWh Sales'!R34</f>
        <v>92522534</v>
      </c>
      <c r="L22" s="123">
        <f>'[28]GMO Billed kWh Sales'!S34</f>
        <v>102769307</v>
      </c>
      <c r="M22" s="74">
        <f>'[28]GMO Billed kWh Sales'!T34</f>
        <v>114719347</v>
      </c>
      <c r="P22" s="46">
        <f t="shared" si="4"/>
        <v>-310011188</v>
      </c>
    </row>
    <row r="23" spans="1:17">
      <c r="A23" s="45" t="s">
        <v>93</v>
      </c>
      <c r="C23" s="321">
        <v>-177687665</v>
      </c>
      <c r="D23" s="231"/>
      <c r="E23" s="407">
        <f>'[3]EMW Nov25'!$G185</f>
        <v>90093533.371399999</v>
      </c>
      <c r="F23" s="102">
        <f>'[3]EMW Dec25'!$G185</f>
        <v>94589365.35210003</v>
      </c>
      <c r="G23" s="407">
        <f>'[3]EMW Jan26'!$G185</f>
        <v>91197325.785100013</v>
      </c>
      <c r="H23" s="159">
        <f>'[3]EMW Feb26'!$G185</f>
        <v>90909332.207900003</v>
      </c>
      <c r="I23" s="160">
        <f>'[3]EMW Mar26'!$G185</f>
        <v>-104848814.50830001</v>
      </c>
      <c r="J23" s="156">
        <f>'[3]EMW Apr26'!$G185</f>
        <v>66940868.803299993</v>
      </c>
      <c r="K23" s="153">
        <f>'[28]GMO Billed kWh Sales'!R35</f>
        <v>77509634</v>
      </c>
      <c r="L23" s="123">
        <f>'[28]GMO Billed kWh Sales'!S35</f>
        <v>86093744</v>
      </c>
      <c r="M23" s="74">
        <f>'[28]GMO Billed kWh Sales'!T35</f>
        <v>96104746</v>
      </c>
      <c r="P23" s="46">
        <f t="shared" si="4"/>
        <v>-259708124</v>
      </c>
      <c r="Q23" s="476"/>
    </row>
    <row r="24" spans="1:17">
      <c r="C24" s="271"/>
      <c r="D24" s="132"/>
      <c r="E24" s="485"/>
      <c r="F24" s="485"/>
      <c r="G24" s="485"/>
      <c r="H24" s="486"/>
      <c r="I24" s="485"/>
      <c r="J24" s="487"/>
      <c r="K24" s="16"/>
      <c r="L24" s="16"/>
      <c r="M24" s="10"/>
      <c r="P24" s="46"/>
    </row>
    <row r="25" spans="1:17">
      <c r="A25" s="45" t="s">
        <v>29</v>
      </c>
      <c r="C25" s="271"/>
      <c r="D25" s="132"/>
      <c r="E25" s="230"/>
      <c r="F25" s="230"/>
      <c r="G25" s="230"/>
      <c r="H25" s="503"/>
      <c r="I25" s="230"/>
      <c r="J25" s="283"/>
      <c r="K25" s="505"/>
      <c r="L25" s="505"/>
      <c r="M25" s="506"/>
      <c r="N25" s="383" t="s">
        <v>44</v>
      </c>
      <c r="O25" s="38"/>
      <c r="P25" s="46"/>
    </row>
    <row r="26" spans="1:17">
      <c r="A26" s="45" t="s">
        <v>22</v>
      </c>
      <c r="C26" s="320">
        <v>-1292263.9099999999</v>
      </c>
      <c r="D26" s="229"/>
      <c r="E26" s="100">
        <f>'[3]EMW Nov25'!G129+'[3]EMW Nov25'!$G136</f>
        <v>289492.49</v>
      </c>
      <c r="F26" s="100">
        <f>'[3]EMW Dec25'!$G129+'[3]EMW Dec25'!$G136</f>
        <v>421118.39000000007</v>
      </c>
      <c r="G26" s="100">
        <f>'[3]EMW Jan26'!$G129+'[3]EMW Jan26'!$G136</f>
        <v>459909.40999999992</v>
      </c>
      <c r="H26" s="159">
        <f>'[3]EMW Feb26'!$G129+'[3]EMW Feb26'!$G136</f>
        <v>428735.5</v>
      </c>
      <c r="I26" s="160">
        <f>'[3]EMW Mar26'!$G129+'[3]EMW Mar26'!$G136</f>
        <v>305253.78000000003</v>
      </c>
      <c r="J26" s="156">
        <f>'[3]EMW Apr26'!$G129+'[3]EMW Apr26'!$G136</f>
        <v>255123.61000000004</v>
      </c>
      <c r="K26" s="110">
        <f>ROUND(K20*$N26,2)</f>
        <v>242960.2</v>
      </c>
      <c r="L26" s="40">
        <f t="shared" ref="K26:M29" si="5">ROUND(L20*$N26,2)</f>
        <v>308574.95</v>
      </c>
      <c r="M26" s="60">
        <f t="shared" si="5"/>
        <v>437264.81</v>
      </c>
      <c r="N26" s="71">
        <v>1.1199999999999999E-3</v>
      </c>
      <c r="P26" s="46">
        <f>-SUM(K26:M26)</f>
        <v>-988799.96</v>
      </c>
    </row>
    <row r="27" spans="1:17">
      <c r="A27" s="45" t="s">
        <v>91</v>
      </c>
      <c r="C27" s="320">
        <v>-381767.58999999997</v>
      </c>
      <c r="D27" s="229"/>
      <c r="E27" s="478">
        <f>'[3]EMW Nov25'!G130+'[3]EMW Nov25'!$G137</f>
        <v>128592.48999999999</v>
      </c>
      <c r="F27" s="478">
        <f>'[3]EMW Dec25'!$G130+'[3]EMW Dec25'!$G137</f>
        <v>153730.09999999998</v>
      </c>
      <c r="G27" s="478">
        <f>'[3]EMW Jan26'!$G130+'[3]EMW Jan26'!$G137</f>
        <v>154353.19999999998</v>
      </c>
      <c r="H27" s="159">
        <f>'[3]EMW Feb26'!$G130+'[3]EMW Feb26'!$G137</f>
        <v>220196.91</v>
      </c>
      <c r="I27" s="160">
        <f>'[3]EMW Mar26'!$G130+'[3]EMW Mar26'!$G137</f>
        <v>184897.91</v>
      </c>
      <c r="J27" s="156">
        <f>'[3]EMW Apr26'!$G130+'[3]EMW Apr26'!$G137</f>
        <v>168834.13999999998</v>
      </c>
      <c r="K27" s="110">
        <f t="shared" si="5"/>
        <v>205323.98</v>
      </c>
      <c r="L27" s="40">
        <f t="shared" si="5"/>
        <v>228063.4</v>
      </c>
      <c r="M27" s="60">
        <f t="shared" si="5"/>
        <v>254582.66</v>
      </c>
      <c r="N27" s="391">
        <v>1.67E-3</v>
      </c>
      <c r="P27" s="46">
        <f t="shared" ref="P27:P31" si="6">-SUM(K27:M27)</f>
        <v>-687970.04</v>
      </c>
    </row>
    <row r="28" spans="1:17">
      <c r="A28" s="45" t="s">
        <v>92</v>
      </c>
      <c r="C28" s="320">
        <v>-606190.57000000007</v>
      </c>
      <c r="D28" s="229"/>
      <c r="E28" s="478">
        <f>'[3]EMW Nov25'!G131+'[3]EMW Nov25'!$G138</f>
        <v>199690.69</v>
      </c>
      <c r="F28" s="478">
        <f>'[3]EMW Dec25'!$G131+'[3]EMW Dec25'!$G138</f>
        <v>214865.19999999998</v>
      </c>
      <c r="G28" s="478">
        <f>'[3]EMW Jan26'!$G131+'[3]EMW Jan26'!$G138</f>
        <v>204302.99</v>
      </c>
      <c r="H28" s="159">
        <f>'[3]EMW Feb26'!$G131+'[3]EMW Feb26'!$G138</f>
        <v>194724.72</v>
      </c>
      <c r="I28" s="160">
        <f>'[3]EMW Mar26'!$G131+'[3]EMW Mar26'!$G138</f>
        <v>182132.2</v>
      </c>
      <c r="J28" s="156">
        <f>'[3]EMW Apr26'!$G131+'[3]EMW Apr26'!$G138</f>
        <v>173403.27999999997</v>
      </c>
      <c r="K28" s="110">
        <f t="shared" si="5"/>
        <v>197073</v>
      </c>
      <c r="L28" s="40">
        <f t="shared" si="5"/>
        <v>218898.62</v>
      </c>
      <c r="M28" s="60">
        <f t="shared" si="5"/>
        <v>244352.21</v>
      </c>
      <c r="N28" s="391">
        <v>2.1299999999999999E-3</v>
      </c>
      <c r="P28" s="46">
        <f t="shared" si="6"/>
        <v>-660323.82999999996</v>
      </c>
    </row>
    <row r="29" spans="1:17">
      <c r="A29" s="45" t="s">
        <v>93</v>
      </c>
      <c r="C29" s="320">
        <v>-620129.95000000007</v>
      </c>
      <c r="D29" s="229"/>
      <c r="E29" s="478">
        <f>'[3]EMW Nov25'!G132+'[3]EMW Nov25'!$G139</f>
        <v>314426.32999999996</v>
      </c>
      <c r="F29" s="478">
        <f>'[3]EMW Dec25'!$G132+'[3]EMW Dec25'!$G139</f>
        <v>330116.90999999997</v>
      </c>
      <c r="G29" s="478">
        <f>'[3]EMW Jan26'!$G132+'[3]EMW Jan26'!$G139</f>
        <v>318278.73000000004</v>
      </c>
      <c r="H29" s="159">
        <f>'[3]EMW Feb26'!$G132+'[3]EMW Feb26'!$G139</f>
        <v>144152.53000000003</v>
      </c>
      <c r="I29" s="160">
        <f>'[3]EMW Mar26'!$G132+'[3]EMW Mar26'!$G139</f>
        <v>-461779.36</v>
      </c>
      <c r="J29" s="156">
        <f>'[3]EMW Apr26'!$G132+'[3]EMW Apr26'!$G139</f>
        <v>105766.55000000002</v>
      </c>
      <c r="K29" s="110">
        <f t="shared" si="5"/>
        <v>122465.22</v>
      </c>
      <c r="L29" s="40">
        <f t="shared" si="5"/>
        <v>136028.12</v>
      </c>
      <c r="M29" s="60">
        <f t="shared" si="5"/>
        <v>151845.5</v>
      </c>
      <c r="N29" s="391">
        <v>1.5800000000000002E-3</v>
      </c>
      <c r="P29" s="46">
        <f t="shared" si="6"/>
        <v>-410338.83999999997</v>
      </c>
    </row>
    <row r="30" spans="1:17">
      <c r="C30" s="273"/>
      <c r="D30" s="67"/>
      <c r="E30" s="485"/>
      <c r="F30" s="485"/>
      <c r="G30" s="485"/>
      <c r="H30" s="486"/>
      <c r="I30" s="485"/>
      <c r="J30" s="487"/>
      <c r="K30" s="55"/>
      <c r="L30" s="55"/>
      <c r="M30" s="12"/>
      <c r="N30" s="4"/>
      <c r="P30" s="46"/>
    </row>
    <row r="31" spans="1:17" ht="15.75" thickBot="1">
      <c r="A31" s="45" t="s">
        <v>12</v>
      </c>
      <c r="C31" s="322">
        <v>38793.050000000003</v>
      </c>
      <c r="D31" s="232">
        <v>0</v>
      </c>
      <c r="E31" s="103">
        <v>-21690.28</v>
      </c>
      <c r="F31" s="103">
        <v>-20644.43</v>
      </c>
      <c r="G31" s="104">
        <f>-19754.24+0.01</f>
        <v>-19754.230000000003</v>
      </c>
      <c r="H31" s="25">
        <v>-21487.21</v>
      </c>
      <c r="I31" s="109">
        <v>-23129.05</v>
      </c>
      <c r="J31" s="155">
        <f>-22463.7-0.01</f>
        <v>-22463.71</v>
      </c>
      <c r="K31" s="154">
        <f>ROUND((SUM(J40:J43)+SUM(J47:J50)+SUM(K34:K37)/2)*K$45,2)-0.01</f>
        <v>-22223.07</v>
      </c>
      <c r="L31" s="124">
        <f>ROUND((SUM(K40:K43)+SUM(K47:K50)+SUM(L34:L37)/2)*L$45,2)</f>
        <v>-19010.8</v>
      </c>
      <c r="M31" s="78"/>
      <c r="P31" s="46">
        <f t="shared" si="6"/>
        <v>41233.869999999995</v>
      </c>
    </row>
    <row r="32" spans="1:17">
      <c r="C32" s="95"/>
      <c r="D32" s="132"/>
      <c r="E32" s="30"/>
      <c r="F32" s="30"/>
      <c r="G32" s="30"/>
      <c r="H32" s="27"/>
      <c r="I32" s="30"/>
      <c r="J32" s="10"/>
      <c r="K32" s="16"/>
      <c r="L32" s="16"/>
      <c r="M32" s="10"/>
      <c r="P32" s="46"/>
    </row>
    <row r="33" spans="1:16">
      <c r="A33" s="45" t="s">
        <v>46</v>
      </c>
      <c r="C33" s="95"/>
      <c r="D33" s="132"/>
      <c r="E33" s="30"/>
      <c r="F33" s="30"/>
      <c r="G33" s="30"/>
      <c r="H33" s="27"/>
      <c r="I33" s="30"/>
      <c r="J33" s="10"/>
      <c r="K33" s="16"/>
      <c r="L33" s="16"/>
      <c r="M33" s="10"/>
      <c r="P33" s="46"/>
    </row>
    <row r="34" spans="1:16">
      <c r="A34" s="45" t="s">
        <v>22</v>
      </c>
      <c r="C34" s="39">
        <f t="shared" ref="C34:M37" si="7">C14-C26</f>
        <v>-102938.62000000011</v>
      </c>
      <c r="D34" s="110">
        <f t="shared" si="7"/>
        <v>0</v>
      </c>
      <c r="E34" s="40">
        <f>E14-E26</f>
        <v>-31409.809999999998</v>
      </c>
      <c r="F34" s="40">
        <f t="shared" si="7"/>
        <v>300343.35999999993</v>
      </c>
      <c r="G34" s="99">
        <f t="shared" si="7"/>
        <v>-161269.45999999996</v>
      </c>
      <c r="H34" s="39">
        <f t="shared" si="7"/>
        <v>-449395.95</v>
      </c>
      <c r="I34" s="40">
        <f t="shared" si="7"/>
        <v>87558.54999999993</v>
      </c>
      <c r="J34" s="60">
        <f t="shared" si="7"/>
        <v>217489.80999999994</v>
      </c>
      <c r="K34" s="110">
        <f t="shared" si="7"/>
        <v>171510.03999999998</v>
      </c>
      <c r="L34" s="40">
        <f t="shared" si="7"/>
        <v>103105.12</v>
      </c>
      <c r="M34" s="48">
        <f t="shared" si="7"/>
        <v>-437264.81</v>
      </c>
      <c r="P34" s="46"/>
    </row>
    <row r="35" spans="1:16">
      <c r="A35" s="45" t="s">
        <v>91</v>
      </c>
      <c r="C35" s="39">
        <f t="shared" si="7"/>
        <v>-219741.47000000009</v>
      </c>
      <c r="D35" s="110">
        <f t="shared" si="7"/>
        <v>0</v>
      </c>
      <c r="E35" s="40">
        <f t="shared" si="7"/>
        <v>-287586.59999999998</v>
      </c>
      <c r="F35" s="40">
        <f t="shared" si="7"/>
        <v>71848.100000000035</v>
      </c>
      <c r="G35" s="99">
        <f t="shared" si="7"/>
        <v>18542.270000000019</v>
      </c>
      <c r="H35" s="39">
        <f t="shared" si="7"/>
        <v>-99197.25</v>
      </c>
      <c r="I35" s="40">
        <f t="shared" si="7"/>
        <v>-149026.66</v>
      </c>
      <c r="J35" s="60">
        <f t="shared" si="7"/>
        <v>-78379.249999999985</v>
      </c>
      <c r="K35" s="110">
        <f t="shared" si="7"/>
        <v>-54085.600000000006</v>
      </c>
      <c r="L35" s="40">
        <f t="shared" si="7"/>
        <v>185439.22</v>
      </c>
      <c r="M35" s="48">
        <f t="shared" si="7"/>
        <v>-254582.66</v>
      </c>
      <c r="P35" s="46"/>
    </row>
    <row r="36" spans="1:16">
      <c r="A36" s="45" t="s">
        <v>92</v>
      </c>
      <c r="C36" s="39">
        <f t="shared" si="7"/>
        <v>100578.26000000007</v>
      </c>
      <c r="D36" s="110">
        <f t="shared" si="7"/>
        <v>0</v>
      </c>
      <c r="E36" s="40">
        <f t="shared" si="7"/>
        <v>-386424.67000000004</v>
      </c>
      <c r="F36" s="40">
        <f t="shared" si="7"/>
        <v>653680.32000000007</v>
      </c>
      <c r="G36" s="99">
        <f t="shared" si="7"/>
        <v>97713.330000000016</v>
      </c>
      <c r="H36" s="39">
        <f t="shared" si="7"/>
        <v>-24448.440000000002</v>
      </c>
      <c r="I36" s="40">
        <f t="shared" si="7"/>
        <v>-325339.55</v>
      </c>
      <c r="J36" s="60">
        <f t="shared" si="7"/>
        <v>-26677.639999999956</v>
      </c>
      <c r="K36" s="110">
        <f t="shared" si="7"/>
        <v>-55736.869999999995</v>
      </c>
      <c r="L36" s="40">
        <f t="shared" si="7"/>
        <v>474823.7699999999</v>
      </c>
      <c r="M36" s="48">
        <f t="shared" si="7"/>
        <v>-244352.21</v>
      </c>
      <c r="P36" s="46"/>
    </row>
    <row r="37" spans="1:16">
      <c r="A37" s="45" t="s">
        <v>93</v>
      </c>
      <c r="C37" s="39">
        <f t="shared" si="7"/>
        <v>549120.13000000012</v>
      </c>
      <c r="D37" s="110">
        <f t="shared" si="7"/>
        <v>0</v>
      </c>
      <c r="E37" s="40">
        <f t="shared" si="7"/>
        <v>245164.96000000008</v>
      </c>
      <c r="F37" s="40">
        <f t="shared" si="7"/>
        <v>-446201</v>
      </c>
      <c r="G37" s="99">
        <f t="shared" si="7"/>
        <v>-216644.63000000003</v>
      </c>
      <c r="H37" s="39">
        <f t="shared" si="7"/>
        <v>32563.929999999964</v>
      </c>
      <c r="I37" s="40">
        <f t="shared" si="7"/>
        <v>404630.27</v>
      </c>
      <c r="J37" s="60">
        <f t="shared" si="7"/>
        <v>-10066.290000000008</v>
      </c>
      <c r="K37" s="110">
        <f t="shared" si="7"/>
        <v>-3765.320000000007</v>
      </c>
      <c r="L37" s="40">
        <f t="shared" si="7"/>
        <v>763091.19000000006</v>
      </c>
      <c r="M37" s="48">
        <f t="shared" si="7"/>
        <v>-151845.5</v>
      </c>
      <c r="P37" s="46"/>
    </row>
    <row r="38" spans="1:16">
      <c r="C38" s="95"/>
      <c r="D38" s="132"/>
      <c r="E38" s="30"/>
      <c r="F38" s="30"/>
      <c r="G38" s="30"/>
      <c r="H38" s="27"/>
      <c r="I38" s="30"/>
      <c r="J38" s="10"/>
      <c r="K38" s="16"/>
      <c r="L38" s="16"/>
      <c r="M38" s="10"/>
      <c r="P38" s="46"/>
    </row>
    <row r="39" spans="1:16" ht="15.75" thickBot="1">
      <c r="A39" s="45" t="s">
        <v>47</v>
      </c>
      <c r="B39" s="363"/>
      <c r="C39" s="97"/>
      <c r="D39" s="233"/>
      <c r="E39" s="30"/>
      <c r="F39" s="30"/>
      <c r="G39" s="30"/>
      <c r="H39" s="27"/>
      <c r="I39" s="30"/>
      <c r="J39" s="10"/>
      <c r="K39" s="16"/>
      <c r="L39" s="16"/>
      <c r="M39" s="10"/>
      <c r="P39" s="46"/>
    </row>
    <row r="40" spans="1:16">
      <c r="A40" s="45" t="s">
        <v>22</v>
      </c>
      <c r="B40" s="274">
        <v>-1663108.8499999996</v>
      </c>
      <c r="C40" s="40">
        <f t="shared" ref="C40:M43" si="8">B40+C34+B47</f>
        <v>-1766047.4699999997</v>
      </c>
      <c r="D40" s="40">
        <f t="shared" si="8"/>
        <v>-1753183.1699999997</v>
      </c>
      <c r="E40" s="40">
        <f t="shared" si="8"/>
        <v>-1784592.9799999997</v>
      </c>
      <c r="F40" s="40">
        <f t="shared" si="8"/>
        <v>-1492089.0699999998</v>
      </c>
      <c r="G40" s="99">
        <f t="shared" si="8"/>
        <v>-1660340.0799999998</v>
      </c>
      <c r="H40" s="39">
        <f t="shared" si="8"/>
        <v>-2116350.52</v>
      </c>
      <c r="I40" s="40">
        <f t="shared" si="8"/>
        <v>-2036701.9300000002</v>
      </c>
      <c r="J40" s="60">
        <f t="shared" si="8"/>
        <v>-1828087.9100000001</v>
      </c>
      <c r="K40" s="110">
        <f t="shared" si="8"/>
        <v>-1664658.2200000002</v>
      </c>
      <c r="L40" s="40">
        <f t="shared" si="8"/>
        <v>-1568855.7200000002</v>
      </c>
      <c r="M40" s="48">
        <f t="shared" si="8"/>
        <v>-2012880.7800000003</v>
      </c>
      <c r="P40" s="46"/>
    </row>
    <row r="41" spans="1:16">
      <c r="A41" s="45" t="s">
        <v>91</v>
      </c>
      <c r="B41" s="277">
        <v>58109.980000000047</v>
      </c>
      <c r="C41" s="40">
        <f>B41+C35+B48</f>
        <v>-161631.49000000005</v>
      </c>
      <c r="D41" s="40">
        <f t="shared" si="8"/>
        <v>-161408.79000000004</v>
      </c>
      <c r="E41" s="40">
        <f t="shared" si="8"/>
        <v>-448995.39</v>
      </c>
      <c r="F41" s="40">
        <f t="shared" si="8"/>
        <v>-378499.89999999997</v>
      </c>
      <c r="G41" s="99">
        <f t="shared" si="8"/>
        <v>-361719.41999999993</v>
      </c>
      <c r="H41" s="39">
        <f t="shared" si="8"/>
        <v>-462470.06999999995</v>
      </c>
      <c r="I41" s="40">
        <f t="shared" si="8"/>
        <v>-613223.16</v>
      </c>
      <c r="J41" s="60">
        <f t="shared" si="8"/>
        <v>-693900.66</v>
      </c>
      <c r="K41" s="110">
        <f t="shared" si="8"/>
        <v>-750717.68</v>
      </c>
      <c r="L41" s="40">
        <f t="shared" si="8"/>
        <v>-568297.59000000008</v>
      </c>
      <c r="M41" s="48">
        <f t="shared" si="8"/>
        <v>-825637.97000000009</v>
      </c>
      <c r="P41" s="46"/>
    </row>
    <row r="42" spans="1:16">
      <c r="A42" s="45" t="s">
        <v>92</v>
      </c>
      <c r="B42" s="277">
        <v>-1028696.0700000001</v>
      </c>
      <c r="C42" s="40">
        <f>B42+C36+B49</f>
        <v>-928117.81</v>
      </c>
      <c r="D42" s="40">
        <f t="shared" si="8"/>
        <v>-920244.9800000001</v>
      </c>
      <c r="E42" s="40">
        <f t="shared" si="8"/>
        <v>-1306669.6500000001</v>
      </c>
      <c r="F42" s="40">
        <f t="shared" si="8"/>
        <v>-657924.01000000013</v>
      </c>
      <c r="G42" s="99">
        <f t="shared" si="8"/>
        <v>-564397.0900000002</v>
      </c>
      <c r="H42" s="39">
        <f t="shared" si="8"/>
        <v>-591413.33000000031</v>
      </c>
      <c r="I42" s="40">
        <f t="shared" si="8"/>
        <v>-919174.77000000037</v>
      </c>
      <c r="J42" s="60">
        <f t="shared" si="8"/>
        <v>-949079.83000000042</v>
      </c>
      <c r="K42" s="110">
        <f t="shared" si="8"/>
        <v>-1008720.5600000004</v>
      </c>
      <c r="L42" s="40">
        <f t="shared" si="8"/>
        <v>-537988.85000000056</v>
      </c>
      <c r="M42" s="48">
        <f t="shared" si="8"/>
        <v>-785575.99000000057</v>
      </c>
      <c r="P42" s="46"/>
    </row>
    <row r="43" spans="1:16" ht="15.75" thickBot="1">
      <c r="A43" s="45" t="s">
        <v>93</v>
      </c>
      <c r="B43" s="275">
        <v>-2396168.8000000003</v>
      </c>
      <c r="C43" s="40">
        <f t="shared" ref="C43:M43" si="9">B43+C37+B50</f>
        <v>-1847048.6700000002</v>
      </c>
      <c r="D43" s="40">
        <f t="shared" si="8"/>
        <v>-1829215.4700000002</v>
      </c>
      <c r="E43" s="40">
        <f t="shared" si="8"/>
        <v>-1584050.5100000002</v>
      </c>
      <c r="F43" s="40">
        <f t="shared" si="9"/>
        <v>-2037815.0500000003</v>
      </c>
      <c r="G43" s="99">
        <f t="shared" si="9"/>
        <v>-2262174.3600000003</v>
      </c>
      <c r="H43" s="39">
        <f t="shared" si="9"/>
        <v>-2238628.9700000002</v>
      </c>
      <c r="I43" s="40">
        <f t="shared" si="9"/>
        <v>-1843427.6300000001</v>
      </c>
      <c r="J43" s="60">
        <f t="shared" si="9"/>
        <v>-1862221.5100000002</v>
      </c>
      <c r="K43" s="110">
        <f t="shared" si="9"/>
        <v>-1873734.9100000004</v>
      </c>
      <c r="L43" s="40">
        <f t="shared" si="9"/>
        <v>-1118452.9800000002</v>
      </c>
      <c r="M43" s="48">
        <f t="shared" si="9"/>
        <v>-1276556.3800000001</v>
      </c>
      <c r="P43" s="46"/>
    </row>
    <row r="44" spans="1:16">
      <c r="C44" s="95"/>
      <c r="D44" s="132"/>
      <c r="E44" s="30"/>
      <c r="F44" s="30"/>
      <c r="G44" s="30"/>
      <c r="H44" s="27"/>
      <c r="I44" s="30"/>
      <c r="J44" s="10"/>
      <c r="K44" s="16"/>
      <c r="L44" s="16"/>
      <c r="M44" s="10"/>
      <c r="P44" s="46"/>
    </row>
    <row r="45" spans="1:16">
      <c r="A45" s="38" t="s">
        <v>43</v>
      </c>
      <c r="B45" s="38"/>
      <c r="C45" s="97"/>
      <c r="D45" s="233"/>
      <c r="E45" s="278">
        <f>+'PCR Cycle 3'!E45</f>
        <v>4.4318500000000002E-3</v>
      </c>
      <c r="F45" s="278">
        <f>+'PCR Cycle 3'!F45</f>
        <v>4.2511800000000002E-3</v>
      </c>
      <c r="G45" s="278">
        <f>+'PCR Cycle 3'!G45</f>
        <v>4.1871699999999996E-3</v>
      </c>
      <c r="H45" s="279">
        <f>+'PCR Cycle 3'!H45</f>
        <v>4.1815100000000003E-3</v>
      </c>
      <c r="I45" s="278">
        <f>+'PCR Cycle 3'!I45</f>
        <v>4.2662200000000003E-3</v>
      </c>
      <c r="J45" s="280">
        <f>+'PCR Cycle 3'!J45</f>
        <v>4.1719399999999998E-3</v>
      </c>
      <c r="K45" s="477">
        <f>J45</f>
        <v>4.1719399999999998E-3</v>
      </c>
      <c r="L45" s="477">
        <f>J45</f>
        <v>4.1719399999999998E-3</v>
      </c>
      <c r="M45" s="89"/>
      <c r="P45" s="46"/>
    </row>
    <row r="46" spans="1:16">
      <c r="A46" s="38" t="s">
        <v>31</v>
      </c>
      <c r="B46" s="38"/>
      <c r="C46" s="402"/>
      <c r="D46" s="132"/>
      <c r="E46" s="30"/>
      <c r="F46" s="30"/>
      <c r="G46" s="30"/>
      <c r="H46" s="27"/>
      <c r="I46" s="30"/>
      <c r="J46" s="10"/>
      <c r="K46" s="16"/>
      <c r="L46" s="16"/>
      <c r="M46" s="10"/>
      <c r="N46" s="70"/>
      <c r="P46" s="46"/>
    </row>
    <row r="47" spans="1:16">
      <c r="A47" s="45" t="s">
        <v>22</v>
      </c>
      <c r="C47" s="467">
        <v>12864.3</v>
      </c>
      <c r="D47" s="110"/>
      <c r="E47" s="40">
        <f>ROUND((C40+C47+D47+E34/2)*E$45,2)</f>
        <v>-7839.45</v>
      </c>
      <c r="F47" s="40">
        <f t="shared" ref="F47:L50" si="10">ROUND((E40+E47+F34/2)*F$45,2)</f>
        <v>-6981.55</v>
      </c>
      <c r="G47" s="99">
        <f t="shared" si="10"/>
        <v>-6614.49</v>
      </c>
      <c r="H47" s="39">
        <f>ROUND((G40+G47+H34/2)*H$45,2)</f>
        <v>-7909.96</v>
      </c>
      <c r="I47" s="110">
        <f t="shared" si="10"/>
        <v>-8875.7900000000009</v>
      </c>
      <c r="J47" s="60">
        <f t="shared" si="10"/>
        <v>-8080.35</v>
      </c>
      <c r="K47" s="110">
        <f t="shared" si="10"/>
        <v>-7302.62</v>
      </c>
      <c r="L47" s="110">
        <f t="shared" si="10"/>
        <v>-6760.25</v>
      </c>
      <c r="M47" s="48"/>
      <c r="P47" s="46">
        <f>-SUM(K47:M47)</f>
        <v>14062.869999999999</v>
      </c>
    </row>
    <row r="48" spans="1:16">
      <c r="A48" s="45" t="s">
        <v>91</v>
      </c>
      <c r="C48" s="474">
        <v>222.70000000000005</v>
      </c>
      <c r="D48" s="234"/>
      <c r="E48" s="40">
        <f t="shared" ref="E48:E50" si="11">ROUND((C41+C48+D48+E35/2)*E$45,2)</f>
        <v>-1352.61</v>
      </c>
      <c r="F48" s="40">
        <f t="shared" si="10"/>
        <v>-1761.79</v>
      </c>
      <c r="G48" s="99">
        <f t="shared" si="10"/>
        <v>-1553.4</v>
      </c>
      <c r="H48" s="39">
        <f>ROUND((G41+G48+H35/2)*H$45,2)</f>
        <v>-1726.43</v>
      </c>
      <c r="I48" s="110">
        <f t="shared" si="10"/>
        <v>-2298.25</v>
      </c>
      <c r="J48" s="60">
        <f t="shared" si="10"/>
        <v>-2731.42</v>
      </c>
      <c r="K48" s="110">
        <f t="shared" si="10"/>
        <v>-3019.13</v>
      </c>
      <c r="L48" s="110">
        <f t="shared" si="10"/>
        <v>-2757.72</v>
      </c>
      <c r="M48" s="48"/>
      <c r="P48" s="46">
        <f t="shared" ref="P48:P50" si="12">-SUM(K48:M48)</f>
        <v>5776.85</v>
      </c>
    </row>
    <row r="49" spans="1:18">
      <c r="A49" s="45" t="s">
        <v>92</v>
      </c>
      <c r="C49" s="474">
        <v>7872.83</v>
      </c>
      <c r="D49" s="234"/>
      <c r="E49" s="40">
        <f t="shared" si="11"/>
        <v>-4934.68</v>
      </c>
      <c r="F49" s="40">
        <f t="shared" si="10"/>
        <v>-4186.41</v>
      </c>
      <c r="G49" s="99">
        <f t="shared" si="10"/>
        <v>-2567.8000000000002</v>
      </c>
      <c r="H49" s="39">
        <f>ROUND((G42+G49+H36/2)*H$45,2)</f>
        <v>-2421.89</v>
      </c>
      <c r="I49" s="110">
        <f t="shared" si="10"/>
        <v>-3227.42</v>
      </c>
      <c r="J49" s="60">
        <f t="shared" si="10"/>
        <v>-3903.86</v>
      </c>
      <c r="K49" s="110">
        <f t="shared" si="10"/>
        <v>-4092.06</v>
      </c>
      <c r="L49" s="110">
        <f t="shared" si="10"/>
        <v>-3234.93</v>
      </c>
      <c r="M49" s="48"/>
      <c r="P49" s="46">
        <f t="shared" si="12"/>
        <v>7326.99</v>
      </c>
    </row>
    <row r="50" spans="1:18" ht="15.75" thickBot="1">
      <c r="A50" s="45" t="s">
        <v>93</v>
      </c>
      <c r="C50" s="475">
        <v>17833.2</v>
      </c>
      <c r="D50" s="234"/>
      <c r="E50" s="40">
        <f t="shared" si="11"/>
        <v>-7563.54</v>
      </c>
      <c r="F50" s="40">
        <f t="shared" si="10"/>
        <v>-7714.68</v>
      </c>
      <c r="G50" s="99">
        <f t="shared" si="10"/>
        <v>-9018.5400000000009</v>
      </c>
      <c r="H50" s="39">
        <f>ROUND((G43+G50+H37/2)*H$45,2)</f>
        <v>-9428.93</v>
      </c>
      <c r="I50" s="110">
        <f t="shared" si="10"/>
        <v>-8727.59</v>
      </c>
      <c r="J50" s="60">
        <f t="shared" si="10"/>
        <v>-7748.08</v>
      </c>
      <c r="K50" s="110">
        <f t="shared" si="10"/>
        <v>-7809.26</v>
      </c>
      <c r="L50" s="110">
        <f t="shared" si="10"/>
        <v>-6257.9</v>
      </c>
      <c r="M50" s="48"/>
      <c r="P50" s="46">
        <f t="shared" si="12"/>
        <v>14067.16</v>
      </c>
    </row>
    <row r="51" spans="1:18" ht="16.5" thickTop="1" thickBot="1">
      <c r="A51" s="53" t="s">
        <v>20</v>
      </c>
      <c r="B51" s="53"/>
      <c r="C51" s="105">
        <v>0</v>
      </c>
      <c r="D51" s="235"/>
      <c r="E51" s="31">
        <f t="shared" ref="E51:M51" si="13">SUM(E47:E50)+SUM(E40:E43)-E54</f>
        <v>0</v>
      </c>
      <c r="F51" s="31">
        <f t="shared" si="13"/>
        <v>0</v>
      </c>
      <c r="G51" s="49">
        <f t="shared" si="13"/>
        <v>0</v>
      </c>
      <c r="H51" s="111">
        <f t="shared" si="13"/>
        <v>0</v>
      </c>
      <c r="I51" s="31">
        <f t="shared" si="13"/>
        <v>0</v>
      </c>
      <c r="J51" s="61">
        <f t="shared" si="13"/>
        <v>0</v>
      </c>
      <c r="K51" s="144">
        <f t="shared" si="13"/>
        <v>0</v>
      </c>
      <c r="L51" s="31">
        <f t="shared" si="13"/>
        <v>0</v>
      </c>
      <c r="M51" s="93">
        <f t="shared" si="13"/>
        <v>0</v>
      </c>
      <c r="P51" s="46"/>
    </row>
    <row r="52" spans="1:18" ht="16.5" thickTop="1" thickBot="1">
      <c r="A52" s="53" t="s">
        <v>21</v>
      </c>
      <c r="B52" s="53"/>
      <c r="C52" s="98">
        <v>0</v>
      </c>
      <c r="D52" s="236"/>
      <c r="E52" s="31">
        <f>SUM(E47:E50)-E31</f>
        <v>0</v>
      </c>
      <c r="F52" s="31">
        <f t="shared" ref="F52:M52" si="14">SUM(F47:F50)-F31</f>
        <v>0</v>
      </c>
      <c r="G52" s="49">
        <f t="shared" si="14"/>
        <v>0</v>
      </c>
      <c r="H52" s="50">
        <f t="shared" si="14"/>
        <v>0</v>
      </c>
      <c r="I52" s="31">
        <f t="shared" si="14"/>
        <v>0</v>
      </c>
      <c r="J52" s="61">
        <f t="shared" si="14"/>
        <v>0</v>
      </c>
      <c r="K52" s="144">
        <f t="shared" si="14"/>
        <v>0</v>
      </c>
      <c r="L52" s="31">
        <f t="shared" si="14"/>
        <v>0</v>
      </c>
      <c r="M52" s="93">
        <f t="shared" si="14"/>
        <v>0</v>
      </c>
      <c r="P52" s="46"/>
      <c r="Q52" s="476"/>
      <c r="R52" s="476"/>
    </row>
    <row r="53" spans="1:18" ht="16.5" thickTop="1" thickBot="1">
      <c r="C53" s="95"/>
      <c r="D53" s="132"/>
      <c r="E53" s="16"/>
      <c r="F53" s="16"/>
      <c r="G53" s="16"/>
      <c r="H53" s="9"/>
      <c r="I53" s="16"/>
      <c r="J53" s="10"/>
      <c r="K53" s="16"/>
      <c r="L53" s="16"/>
      <c r="M53" s="10"/>
      <c r="P53" s="46"/>
      <c r="Q53" s="476"/>
      <c r="R53" s="476"/>
    </row>
    <row r="54" spans="1:18" ht="15.75" thickBot="1">
      <c r="A54" s="45" t="s">
        <v>30</v>
      </c>
      <c r="B54" s="107">
        <f>SUM(B40:B43)</f>
        <v>-5029863.74</v>
      </c>
      <c r="C54" s="39">
        <f>(SUM(C14:C17)-SUM(C26:C29))+SUM(C47:C50)+B54</f>
        <v>-4664052.4099999992</v>
      </c>
      <c r="D54" s="110"/>
      <c r="E54" s="40">
        <f>(SUM(E14:E17)-SUM(E26:E29))+SUM(E47:E50)+C54</f>
        <v>-5145998.8099999987</v>
      </c>
      <c r="F54" s="40">
        <f t="shared" ref="F54:M54" si="15">(SUM(F14:F17)-SUM(F26:F29))+SUM(F47:F50)+E54</f>
        <v>-4586972.459999999</v>
      </c>
      <c r="G54" s="99">
        <f t="shared" si="15"/>
        <v>-4868385.1799999988</v>
      </c>
      <c r="H54" s="39">
        <f t="shared" si="15"/>
        <v>-5430350.0999999987</v>
      </c>
      <c r="I54" s="40">
        <f t="shared" si="15"/>
        <v>-5435656.5399999991</v>
      </c>
      <c r="J54" s="60">
        <f t="shared" si="15"/>
        <v>-5355753.6199999992</v>
      </c>
      <c r="K54" s="110">
        <f t="shared" si="15"/>
        <v>-5320054.4399999995</v>
      </c>
      <c r="L54" s="40">
        <f t="shared" si="15"/>
        <v>-3812605.9399999995</v>
      </c>
      <c r="M54" s="60">
        <f t="shared" si="15"/>
        <v>-4900651.1199999992</v>
      </c>
      <c r="Q54" s="476"/>
      <c r="R54" s="476"/>
    </row>
    <row r="55" spans="1:18">
      <c r="A55" s="45" t="s">
        <v>10</v>
      </c>
      <c r="C55" s="108"/>
      <c r="D55" s="16"/>
      <c r="E55" s="55"/>
      <c r="F55" s="55"/>
      <c r="G55" s="55"/>
      <c r="H55" s="11"/>
      <c r="I55" s="55"/>
      <c r="J55" s="10"/>
      <c r="K55" s="16"/>
      <c r="L55" s="16"/>
      <c r="M55" s="10"/>
      <c r="Q55" s="476"/>
      <c r="R55" s="476"/>
    </row>
    <row r="56" spans="1:18" ht="15.75" thickBot="1">
      <c r="B56" s="16"/>
      <c r="C56" s="42"/>
      <c r="D56" s="43"/>
      <c r="E56" s="43"/>
      <c r="F56" s="43"/>
      <c r="G56" s="43"/>
      <c r="H56" s="42"/>
      <c r="I56" s="43"/>
      <c r="J56" s="44"/>
      <c r="K56" s="43"/>
      <c r="L56" s="43"/>
      <c r="M56" s="44"/>
      <c r="Q56" s="476"/>
      <c r="R56" s="476"/>
    </row>
    <row r="57" spans="1:18">
      <c r="Q57" s="476"/>
      <c r="R57" s="476"/>
    </row>
    <row r="58" spans="1:18">
      <c r="A58" s="68" t="s">
        <v>9</v>
      </c>
      <c r="B58" s="68"/>
      <c r="C58" s="68"/>
      <c r="D58" s="68"/>
      <c r="Q58" s="476"/>
      <c r="R58" s="476"/>
    </row>
    <row r="59" spans="1:18" ht="87.75" customHeight="1">
      <c r="A59" s="515" t="s">
        <v>266</v>
      </c>
      <c r="B59" s="515"/>
      <c r="C59" s="515"/>
      <c r="D59" s="515"/>
      <c r="E59" s="515"/>
      <c r="F59" s="515"/>
      <c r="G59" s="515"/>
      <c r="H59" s="515"/>
      <c r="I59" s="515"/>
      <c r="J59" s="515"/>
      <c r="K59" s="295"/>
      <c r="L59" s="295"/>
      <c r="M59" s="295"/>
      <c r="Q59" s="476"/>
      <c r="R59" s="476"/>
    </row>
    <row r="60" spans="1:18" ht="60" customHeight="1">
      <c r="A60" s="515" t="s">
        <v>270</v>
      </c>
      <c r="B60" s="515"/>
      <c r="C60" s="515"/>
      <c r="D60" s="515"/>
      <c r="E60" s="515"/>
      <c r="F60" s="515"/>
      <c r="G60" s="515"/>
      <c r="H60" s="515"/>
      <c r="I60" s="515"/>
      <c r="J60" s="515"/>
      <c r="K60" s="295"/>
      <c r="L60" s="295"/>
      <c r="M60" s="295"/>
    </row>
    <row r="61" spans="1:18" ht="55.9" customHeight="1">
      <c r="A61" s="515" t="s">
        <v>235</v>
      </c>
      <c r="B61" s="515"/>
      <c r="C61" s="515"/>
      <c r="D61" s="515"/>
      <c r="E61" s="515"/>
      <c r="F61" s="515"/>
      <c r="G61" s="515"/>
      <c r="H61" s="515"/>
      <c r="I61" s="515"/>
      <c r="J61" s="515"/>
      <c r="K61" s="295"/>
      <c r="L61" s="295"/>
      <c r="M61" s="295"/>
    </row>
    <row r="62" spans="1:18">
      <c r="A62" s="515" t="s">
        <v>189</v>
      </c>
      <c r="B62" s="515"/>
      <c r="C62" s="515"/>
      <c r="D62" s="515"/>
      <c r="E62" s="515"/>
      <c r="F62" s="515"/>
      <c r="G62" s="515"/>
      <c r="H62" s="515"/>
      <c r="I62" s="515"/>
      <c r="J62" s="515"/>
    </row>
    <row r="63" spans="1:18">
      <c r="A63" s="383" t="s">
        <v>239</v>
      </c>
      <c r="B63" s="383"/>
      <c r="C63" s="300"/>
      <c r="D63" s="383"/>
      <c r="E63" s="363"/>
      <c r="F63" s="363"/>
      <c r="G63" s="363"/>
      <c r="H63" s="363"/>
      <c r="I63" s="363"/>
      <c r="J63" s="299"/>
    </row>
    <row r="64" spans="1:18">
      <c r="A64" s="383" t="s">
        <v>45</v>
      </c>
      <c r="B64" s="383"/>
      <c r="C64" s="383"/>
      <c r="D64" s="383"/>
      <c r="E64" s="363"/>
      <c r="F64" s="363"/>
      <c r="G64" s="363"/>
      <c r="H64" s="363"/>
      <c r="I64" s="363"/>
      <c r="J64" s="299"/>
    </row>
    <row r="65" spans="1:14">
      <c r="A65" s="383"/>
      <c r="B65" s="363"/>
      <c r="C65" s="363"/>
      <c r="D65" s="363"/>
      <c r="E65" s="363"/>
      <c r="F65" s="363"/>
      <c r="G65" s="363"/>
      <c r="H65" s="363"/>
      <c r="I65" s="363"/>
      <c r="J65" s="363"/>
    </row>
    <row r="66" spans="1:14" ht="36" customHeight="1">
      <c r="A66" s="512"/>
      <c r="B66" s="512"/>
      <c r="C66" s="512"/>
      <c r="D66" s="512"/>
      <c r="E66" s="512"/>
      <c r="F66" s="512"/>
      <c r="G66" s="512"/>
      <c r="H66" s="363"/>
      <c r="I66" s="363"/>
      <c r="J66" s="363"/>
    </row>
    <row r="74" spans="1:14">
      <c r="N74" s="7"/>
    </row>
  </sheetData>
  <mergeCells count="8">
    <mergeCell ref="A66:G66"/>
    <mergeCell ref="A62:J62"/>
    <mergeCell ref="E10:G10"/>
    <mergeCell ref="H10:J10"/>
    <mergeCell ref="K10:M10"/>
    <mergeCell ref="A59:J59"/>
    <mergeCell ref="A60:J60"/>
    <mergeCell ref="A61:J61"/>
  </mergeCells>
  <pageMargins left="0.2" right="0.2" top="0.75" bottom="0.25" header="0.3" footer="0.3"/>
  <pageSetup scale="54" orientation="landscape" r:id="rId1"/>
  <headerFooter>
    <oddHeader>&amp;C&amp;F &amp;A&amp;R&amp;"Arial"&amp;10&amp;K000000CONFIDENTIAL</oddHeader>
    <oddFooter xml:space="preserve">&amp;R_x000D_&amp;1#&amp;"Calibri"&amp;10&amp;KA80000 Restricted – Sensitive 
</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3"/>
  <sheetViews>
    <sheetView workbookViewId="0"/>
  </sheetViews>
  <sheetFormatPr defaultColWidth="9.140625" defaultRowHeight="15"/>
  <cols>
    <col min="1" max="1" width="24.7109375" style="45" customWidth="1"/>
    <col min="2" max="2" width="16.140625" style="45" customWidth="1"/>
    <col min="3" max="3" width="15.140625" style="45" customWidth="1"/>
    <col min="4" max="4" width="16.5703125" style="45" customWidth="1"/>
    <col min="5" max="5" width="10.5703125" style="45" bestFit="1" customWidth="1"/>
    <col min="6" max="6" width="11.5703125" style="45" bestFit="1" customWidth="1"/>
    <col min="7" max="16384" width="9.140625" style="45"/>
  </cols>
  <sheetData>
    <row r="1" spans="1:23">
      <c r="A1" s="383" t="s">
        <v>229</v>
      </c>
      <c r="B1" s="363"/>
      <c r="C1" s="363"/>
      <c r="D1" s="363"/>
    </row>
    <row r="2" spans="1:23">
      <c r="A2" s="319" t="s">
        <v>230</v>
      </c>
      <c r="B2" s="363"/>
      <c r="C2" s="363"/>
      <c r="D2" s="363"/>
    </row>
    <row r="3" spans="1:23">
      <c r="A3" s="319"/>
      <c r="B3" s="363"/>
      <c r="C3" s="363"/>
      <c r="D3" s="363"/>
    </row>
    <row r="4" spans="1:23" ht="40.5" customHeight="1">
      <c r="A4" s="363"/>
      <c r="B4" s="524" t="s">
        <v>95</v>
      </c>
      <c r="C4" s="524"/>
      <c r="D4" s="363"/>
      <c r="G4" s="476"/>
    </row>
    <row r="5" spans="1:23" ht="75">
      <c r="A5" s="363"/>
      <c r="B5" s="133" t="s">
        <v>56</v>
      </c>
      <c r="C5" s="507" t="s">
        <v>26</v>
      </c>
      <c r="D5" s="501" t="s">
        <v>231</v>
      </c>
      <c r="G5" s="476"/>
    </row>
    <row r="6" spans="1:23">
      <c r="A6" s="19" t="s">
        <v>22</v>
      </c>
      <c r="B6" s="22">
        <f>SUM('[15]Summary Monthly TD Calc'!$AT18:$BE18)</f>
        <v>7149560.8992000846</v>
      </c>
      <c r="C6" s="83">
        <f>SUM(D6:F6)</f>
        <v>249788.93000000005</v>
      </c>
      <c r="D6" s="193">
        <f>SUM('[15]Summary Monthly TD Calc'!$AT3:$BE3)</f>
        <v>249788.93000000005</v>
      </c>
      <c r="E6" s="363"/>
      <c r="G6" s="476"/>
      <c r="H6" s="38"/>
    </row>
    <row r="7" spans="1:23">
      <c r="A7" s="19" t="s">
        <v>91</v>
      </c>
      <c r="B7" s="22">
        <f>SUM('[15]Summary Monthly TD Calc'!$AT19:$BE19)</f>
        <v>9693413.7546200864</v>
      </c>
      <c r="C7" s="83">
        <f>SUM(D7:F7)</f>
        <v>417979.84</v>
      </c>
      <c r="D7" s="193">
        <f>SUM('[15]Summary Monthly TD Calc'!$AT4:$BE4)</f>
        <v>417979.84</v>
      </c>
      <c r="E7" s="363"/>
      <c r="G7" s="476"/>
      <c r="H7" s="38"/>
    </row>
    <row r="8" spans="1:23">
      <c r="A8" s="19" t="s">
        <v>92</v>
      </c>
      <c r="B8" s="22">
        <f>SUM('[15]Summary Monthly TD Calc'!$AT21:$BE21)</f>
        <v>8323398.1120160017</v>
      </c>
      <c r="C8" s="83">
        <f>SUM(D8:F8)</f>
        <v>253007.27000000002</v>
      </c>
      <c r="D8" s="193">
        <f>SUM('[15]Summary Monthly TD Calc'!$AT6:$BE6)</f>
        <v>253007.27000000002</v>
      </c>
      <c r="E8" s="363"/>
      <c r="G8" s="476"/>
      <c r="H8" s="38"/>
    </row>
    <row r="9" spans="1:23">
      <c r="A9" s="19" t="s">
        <v>93</v>
      </c>
      <c r="B9" s="22">
        <f>SUM('[15]Summary Monthly TD Calc'!$AT22:$BE22)</f>
        <v>5268559.666663941</v>
      </c>
      <c r="C9" s="83">
        <f>SUM(D9:F9)</f>
        <v>60917.34</v>
      </c>
      <c r="D9" s="193">
        <f>SUM('[15]Summary Monthly TD Calc'!$AT7:$BE7)</f>
        <v>60917.34</v>
      </c>
      <c r="E9" s="363"/>
      <c r="G9" s="476"/>
      <c r="H9" s="38"/>
    </row>
    <row r="10" spans="1:23">
      <c r="A10" s="29" t="s">
        <v>3</v>
      </c>
      <c r="B10" s="23">
        <f>SUM(B6:B9)</f>
        <v>30434932.432500113</v>
      </c>
      <c r="C10" s="23">
        <f>SUM(C6:C9)</f>
        <v>981693.38</v>
      </c>
      <c r="D10" s="23">
        <f t="shared" ref="D10" si="0">SUM(D6:D9)</f>
        <v>981693.38</v>
      </c>
      <c r="E10" s="363"/>
      <c r="G10" s="476"/>
      <c r="Q10" s="287"/>
    </row>
    <row r="11" spans="1:23">
      <c r="G11" s="476"/>
    </row>
    <row r="12" spans="1:23">
      <c r="A12" s="68" t="s">
        <v>27</v>
      </c>
      <c r="B12" s="19"/>
      <c r="C12" s="20"/>
      <c r="N12" s="1"/>
      <c r="O12" s="1"/>
      <c r="P12" s="1"/>
      <c r="Q12" s="1"/>
      <c r="R12" s="1"/>
      <c r="S12" s="1"/>
      <c r="T12" s="1"/>
      <c r="U12" s="1"/>
      <c r="V12" s="1"/>
      <c r="W12" s="1"/>
    </row>
    <row r="13" spans="1:23" ht="45.6" customHeight="1">
      <c r="A13" s="512" t="s">
        <v>212</v>
      </c>
      <c r="B13" s="512"/>
      <c r="C13" s="512"/>
      <c r="D13" s="512"/>
      <c r="E13" s="512"/>
      <c r="F13" s="3"/>
      <c r="G13" s="3"/>
      <c r="H13" s="3"/>
      <c r="I13" s="3"/>
      <c r="J13" s="3"/>
      <c r="K13" s="3"/>
      <c r="L13" s="3"/>
      <c r="M13" s="3"/>
    </row>
    <row r="14" spans="1:23">
      <c r="A14" s="525" t="s">
        <v>200</v>
      </c>
      <c r="B14" s="525"/>
      <c r="C14" s="525"/>
      <c r="D14" s="525"/>
      <c r="E14" s="525"/>
      <c r="F14" s="3"/>
      <c r="G14" s="3"/>
      <c r="H14" s="3"/>
      <c r="I14" s="3"/>
      <c r="J14" s="3"/>
      <c r="K14" s="3"/>
      <c r="L14" s="3"/>
      <c r="M14" s="3"/>
    </row>
    <row r="15" spans="1:23" ht="31.15" customHeight="1">
      <c r="A15" s="512" t="s">
        <v>213</v>
      </c>
      <c r="B15" s="512"/>
      <c r="C15" s="512"/>
      <c r="D15" s="512"/>
      <c r="E15" s="512"/>
      <c r="F15" s="3"/>
      <c r="G15" s="3"/>
      <c r="H15" s="3"/>
      <c r="I15" s="3"/>
      <c r="J15" s="3"/>
      <c r="K15" s="3"/>
      <c r="L15" s="3"/>
      <c r="M15" s="3"/>
    </row>
    <row r="24" spans="2:5">
      <c r="E24" s="225"/>
    </row>
    <row r="29" spans="2:5">
      <c r="B29" s="7"/>
      <c r="C29" s="7"/>
    </row>
    <row r="33" spans="2:3">
      <c r="B33" s="7"/>
      <c r="C33" s="7"/>
    </row>
  </sheetData>
  <mergeCells count="4">
    <mergeCell ref="B4:C4"/>
    <mergeCell ref="A13:E13"/>
    <mergeCell ref="A14:E14"/>
    <mergeCell ref="A15:E15"/>
  </mergeCells>
  <pageMargins left="0.2" right="0.2" top="0.75" bottom="0.25" header="0.3" footer="0.3"/>
  <pageSetup scale="96" orientation="landscape" r:id="rId1"/>
  <headerFooter>
    <oddHeader>&amp;C&amp;F &amp;A&amp;R&amp;"Arial"&amp;10&amp;K000000CONFIDENTIAL</oddHeader>
    <oddFooter xml:space="preserve">&amp;R_x000D_&amp;1#&amp;"Calibri"&amp;10&amp;KA80000 Restricted – Sensitive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54367-4215-4A06-9ED3-BA417E26FB31}">
  <sheetPr>
    <pageSetUpPr fitToPage="1"/>
  </sheetPr>
  <dimension ref="A1:W33"/>
  <sheetViews>
    <sheetView workbookViewId="0"/>
  </sheetViews>
  <sheetFormatPr defaultColWidth="9.140625" defaultRowHeight="15"/>
  <cols>
    <col min="1" max="1" width="24.7109375" style="45" customWidth="1"/>
    <col min="2" max="2" width="16.140625" style="45" customWidth="1"/>
    <col min="3" max="3" width="15.140625" style="45" customWidth="1"/>
    <col min="4" max="4" width="14.28515625" style="45" customWidth="1"/>
    <col min="5" max="5" width="10.5703125" style="45" bestFit="1" customWidth="1"/>
    <col min="6" max="6" width="11.5703125" style="45" bestFit="1" customWidth="1"/>
    <col min="7" max="16384" width="9.140625" style="45"/>
  </cols>
  <sheetData>
    <row r="1" spans="1:23">
      <c r="A1" s="3" t="str">
        <f>+'PTD Cycle 3'!A1</f>
        <v>Evergy Missouri West, Inc. - DSIM Rider Update Filed 06/01/2026</v>
      </c>
    </row>
    <row r="2" spans="1:23">
      <c r="A2" s="319" t="str">
        <f>+'PPC Cycle 4'!A2</f>
        <v>Projections for Cycle 4 July 2026 - June 2027 DSIM</v>
      </c>
    </row>
    <row r="3" spans="1:23">
      <c r="A3" s="8"/>
      <c r="G3" s="476"/>
    </row>
    <row r="4" spans="1:23" ht="40.5" customHeight="1">
      <c r="B4" s="513" t="s">
        <v>201</v>
      </c>
      <c r="C4" s="513"/>
      <c r="G4" s="476"/>
    </row>
    <row r="5" spans="1:23" ht="44.45" customHeight="1">
      <c r="B5" s="133" t="s">
        <v>56</v>
      </c>
      <c r="C5" s="47" t="s">
        <v>26</v>
      </c>
      <c r="D5" s="325" t="str">
        <f>+'PPC Cycle 4'!D4</f>
        <v>3. Cycle 4 - July 2026 - June 2027</v>
      </c>
      <c r="E5" s="363"/>
      <c r="G5" s="476"/>
    </row>
    <row r="6" spans="1:23">
      <c r="A6" s="19" t="s">
        <v>22</v>
      </c>
      <c r="B6" s="22">
        <f>ROUND(SUM('[16]Summary Monthly TD Calc'!$T17:$AE17),4)</f>
        <v>1475448.2997000001</v>
      </c>
      <c r="C6" s="83">
        <f>SUM(D6:F6)</f>
        <v>132582.48000000001</v>
      </c>
      <c r="D6" s="193">
        <f>ROUND(+SUM('[16]Summary Monthly TD Calc'!$T3:$AE3),2)</f>
        <v>132582.48000000001</v>
      </c>
      <c r="E6" s="363"/>
      <c r="G6" s="476"/>
      <c r="H6" s="38"/>
    </row>
    <row r="7" spans="1:23">
      <c r="A7" s="19" t="s">
        <v>91</v>
      </c>
      <c r="B7" s="22">
        <f>ROUND(SUM('[16]Summary Monthly TD Calc'!$T18:$AE18),4)</f>
        <v>3306919.0424000002</v>
      </c>
      <c r="C7" s="83">
        <f>SUM(D7:F7)</f>
        <v>174473.73</v>
      </c>
      <c r="D7" s="193">
        <f>ROUND(+SUM('[16]Summary Monthly TD Calc'!$T4:$AE4),2)</f>
        <v>174473.73</v>
      </c>
      <c r="E7" s="363"/>
      <c r="G7" s="476"/>
      <c r="H7" s="38"/>
    </row>
    <row r="8" spans="1:23">
      <c r="A8" s="19" t="s">
        <v>92</v>
      </c>
      <c r="B8" s="22">
        <f>ROUND(SUM('[16]Summary Monthly TD Calc'!$T19:$AE19),4)</f>
        <v>5745953.9583000001</v>
      </c>
      <c r="C8" s="83">
        <f>SUM(D8:F8)</f>
        <v>168385.72</v>
      </c>
      <c r="D8" s="193">
        <f>ROUND(+SUM('[16]Summary Monthly TD Calc'!$T5:$AE5),2)</f>
        <v>168385.72</v>
      </c>
      <c r="E8" s="363"/>
      <c r="G8" s="476"/>
      <c r="H8" s="38"/>
    </row>
    <row r="9" spans="1:23">
      <c r="A9" s="19" t="s">
        <v>93</v>
      </c>
      <c r="B9" s="22">
        <f>ROUND(SUM('[16]Summary Monthly TD Calc'!$T20:$AE20),4)</f>
        <v>2167542.8990000002</v>
      </c>
      <c r="C9" s="83">
        <f>SUM(D9:F9)</f>
        <v>23885.18</v>
      </c>
      <c r="D9" s="193">
        <f>ROUND(+SUM('[16]Summary Monthly TD Calc'!$T6:$AE6),2)</f>
        <v>23885.18</v>
      </c>
      <c r="E9" s="363"/>
      <c r="G9" s="476"/>
      <c r="H9" s="38"/>
    </row>
    <row r="10" spans="1:23">
      <c r="A10" s="29" t="s">
        <v>3</v>
      </c>
      <c r="B10" s="23">
        <f>SUM(B6:B9)</f>
        <v>12695864.1994</v>
      </c>
      <c r="C10" s="23">
        <f>SUM(C6:C9)</f>
        <v>499327.11000000004</v>
      </c>
      <c r="D10" s="23">
        <f t="shared" ref="D10" si="0">SUM(D6:D9)</f>
        <v>499327.11000000004</v>
      </c>
      <c r="E10" s="363"/>
      <c r="G10" s="476"/>
      <c r="Q10" s="287"/>
    </row>
    <row r="11" spans="1:23">
      <c r="E11" s="363"/>
      <c r="G11" s="476"/>
    </row>
    <row r="12" spans="1:23">
      <c r="A12" s="68" t="s">
        <v>27</v>
      </c>
      <c r="B12" s="19"/>
      <c r="C12" s="20"/>
      <c r="G12" s="476"/>
      <c r="N12" s="1"/>
      <c r="O12" s="1"/>
      <c r="P12" s="1"/>
      <c r="Q12" s="1"/>
      <c r="R12" s="1"/>
      <c r="S12" s="1"/>
      <c r="T12" s="1"/>
      <c r="U12" s="1"/>
      <c r="V12" s="1"/>
      <c r="W12" s="1"/>
    </row>
    <row r="13" spans="1:23" ht="45.6" customHeight="1">
      <c r="A13" s="512" t="s">
        <v>245</v>
      </c>
      <c r="B13" s="512"/>
      <c r="C13" s="512"/>
      <c r="D13" s="512"/>
      <c r="E13" s="512"/>
      <c r="F13" s="3"/>
      <c r="G13" s="476"/>
      <c r="H13" s="3"/>
      <c r="I13" s="3"/>
      <c r="J13" s="3"/>
      <c r="K13" s="3"/>
      <c r="L13" s="3"/>
      <c r="M13" s="3"/>
    </row>
    <row r="14" spans="1:23">
      <c r="A14" s="525" t="s">
        <v>200</v>
      </c>
      <c r="B14" s="525"/>
      <c r="C14" s="525"/>
      <c r="D14" s="525"/>
      <c r="E14" s="525"/>
      <c r="F14" s="3"/>
      <c r="G14" s="3"/>
      <c r="H14" s="3"/>
      <c r="I14" s="3"/>
      <c r="J14" s="3"/>
      <c r="K14" s="3"/>
      <c r="L14" s="3"/>
      <c r="M14" s="3"/>
    </row>
    <row r="15" spans="1:23" ht="31.15" customHeight="1">
      <c r="A15" s="512" t="s">
        <v>246</v>
      </c>
      <c r="B15" s="512"/>
      <c r="C15" s="512"/>
      <c r="D15" s="512"/>
      <c r="E15" s="512"/>
      <c r="F15" s="3"/>
      <c r="G15" s="3"/>
      <c r="H15" s="3"/>
      <c r="I15" s="3"/>
      <c r="J15" s="3"/>
      <c r="K15" s="3"/>
      <c r="L15" s="3"/>
      <c r="M15" s="3"/>
    </row>
    <row r="16" spans="1:23">
      <c r="A16" s="363"/>
      <c r="B16" s="363"/>
      <c r="C16" s="363"/>
      <c r="D16" s="363"/>
      <c r="E16" s="363"/>
    </row>
    <row r="24" spans="2:5">
      <c r="E24" s="225"/>
    </row>
    <row r="29" spans="2:5">
      <c r="B29" s="7"/>
      <c r="C29" s="7"/>
    </row>
    <row r="33" spans="2:3">
      <c r="B33" s="7"/>
      <c r="C33" s="7"/>
    </row>
  </sheetData>
  <mergeCells count="4">
    <mergeCell ref="B4:C4"/>
    <mergeCell ref="A13:E13"/>
    <mergeCell ref="A14:E14"/>
    <mergeCell ref="A15:E15"/>
  </mergeCells>
  <pageMargins left="0.2" right="0.2" top="0.75" bottom="0.25" header="0.3" footer="0.3"/>
  <pageSetup scale="96" orientation="landscape" r:id="rId1"/>
  <headerFooter>
    <oddHeader>&amp;C&amp;F &amp;A&amp;R&amp;"Arial"&amp;10&amp;K000000CONFIDENTIAL</oddHeader>
    <oddFooter xml:space="preserve">&amp;R_x000D_&amp;1#&amp;"Calibri"&amp;10&amp;KA80000 Restricted – Sensitive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J68"/>
  <sheetViews>
    <sheetView zoomScale="85" zoomScaleNormal="85" workbookViewId="0">
      <pane xSplit="2" ySplit="11" topLeftCell="C12" activePane="bottomRight" state="frozen"/>
      <selection activeCell="C8" sqref="C8"/>
      <selection pane="topRight" activeCell="C8" sqref="C8"/>
      <selection pane="bottomLeft" activeCell="C8" sqref="C8"/>
      <selection pane="bottomRight" activeCell="C12" sqref="C12"/>
    </sheetView>
  </sheetViews>
  <sheetFormatPr defaultColWidth="9.140625" defaultRowHeight="15" outlineLevelRow="1" outlineLevelCol="1"/>
  <cols>
    <col min="1" max="1" width="61.7109375" style="45" customWidth="1"/>
    <col min="2" max="3" width="20.7109375" style="45" customWidth="1"/>
    <col min="4" max="4" width="12.42578125" style="45" hidden="1" customWidth="1" outlineLevel="1"/>
    <col min="5" max="5" width="15.42578125" style="45" customWidth="1" collapsed="1"/>
    <col min="6" max="6" width="15.85546875" style="45" customWidth="1"/>
    <col min="7" max="7" width="12.28515625" style="45" customWidth="1"/>
    <col min="8" max="9" width="13.28515625" style="45" customWidth="1"/>
    <col min="10" max="10" width="12.28515625" style="45" bestFit="1" customWidth="1"/>
    <col min="11" max="11" width="11.5703125" style="45" bestFit="1" customWidth="1"/>
    <col min="12" max="12" width="12.85546875" style="45" customWidth="1"/>
    <col min="13" max="13" width="12.28515625" style="45" bestFit="1" customWidth="1"/>
    <col min="14" max="14" width="15" style="45" bestFit="1" customWidth="1"/>
    <col min="15" max="15" width="16" style="45" bestFit="1" customWidth="1"/>
    <col min="16" max="16" width="17.85546875" style="161" hidden="1" customWidth="1" outlineLevel="1"/>
    <col min="17" max="17" width="15.28515625" style="45" bestFit="1" customWidth="1" collapsed="1"/>
    <col min="18" max="18" width="17.42578125" style="45" bestFit="1" customWidth="1"/>
    <col min="19" max="19" width="16.28515625" style="45" bestFit="1" customWidth="1"/>
    <col min="20" max="20" width="15.28515625" style="45" bestFit="1" customWidth="1"/>
    <col min="21" max="21" width="12.42578125" style="45" customWidth="1"/>
    <col min="22" max="23" width="14.28515625" style="45" bestFit="1" customWidth="1"/>
    <col min="24" max="16384" width="9.140625" style="45"/>
  </cols>
  <sheetData>
    <row r="1" spans="1:36">
      <c r="A1" s="3" t="str">
        <f>+'PTD Cycle 3'!A1</f>
        <v>Evergy Missouri West, Inc. - DSIM Rider Update Filed 06/01/2026</v>
      </c>
      <c r="B1" s="3"/>
      <c r="C1" s="3"/>
      <c r="D1" s="3"/>
    </row>
    <row r="2" spans="1:36">
      <c r="E2" s="3" t="s">
        <v>118</v>
      </c>
    </row>
    <row r="3" spans="1:36" ht="45">
      <c r="E3" s="47" t="s">
        <v>40</v>
      </c>
      <c r="F3" s="69" t="s">
        <v>61</v>
      </c>
      <c r="G3" s="69" t="s">
        <v>48</v>
      </c>
      <c r="H3" s="47" t="s">
        <v>1</v>
      </c>
      <c r="I3" s="69" t="s">
        <v>49</v>
      </c>
      <c r="J3" s="47" t="s">
        <v>8</v>
      </c>
      <c r="K3" s="47" t="s">
        <v>7</v>
      </c>
      <c r="T3" s="47"/>
    </row>
    <row r="4" spans="1:36">
      <c r="A4" s="19" t="s">
        <v>22</v>
      </c>
      <c r="B4" s="19"/>
      <c r="C4" s="19"/>
      <c r="D4" s="19"/>
      <c r="E4" s="21">
        <f>SUM(C15:M15)</f>
        <v>160431.66999999998</v>
      </c>
      <c r="F4" s="121">
        <f>N21</f>
        <v>3371765.97</v>
      </c>
      <c r="G4" s="415">
        <f>SUM(C27:L27)</f>
        <v>99622.94</v>
      </c>
      <c r="H4" s="21">
        <f>G4-E4</f>
        <v>-60808.729999999981</v>
      </c>
      <c r="I4" s="21">
        <f>+B41</f>
        <v>75368.610000000277</v>
      </c>
      <c r="J4" s="21">
        <f>SUM(C48:L48)</f>
        <v>1534.55</v>
      </c>
      <c r="K4" s="24">
        <f>SUM(H4:J4)</f>
        <v>16094.430000000295</v>
      </c>
      <c r="L4" s="46">
        <f>+K4-M41</f>
        <v>0</v>
      </c>
    </row>
    <row r="5" spans="1:36">
      <c r="A5" s="19" t="s">
        <v>91</v>
      </c>
      <c r="B5" s="19"/>
      <c r="C5" s="19"/>
      <c r="D5" s="19"/>
      <c r="E5" s="21">
        <f>SUM(C16:M16)</f>
        <v>238068.31000000003</v>
      </c>
      <c r="F5" s="121">
        <f>N22</f>
        <v>4839587.37</v>
      </c>
      <c r="G5" s="415">
        <f>SUM(C28:L28)</f>
        <v>190112.96000000002</v>
      </c>
      <c r="H5" s="21">
        <f t="shared" ref="H5:H6" si="0">G5-E5</f>
        <v>-47955.350000000006</v>
      </c>
      <c r="I5" s="21">
        <f>+B42</f>
        <v>-14027.680000000044</v>
      </c>
      <c r="J5" s="21">
        <f>SUM(C49:L49)</f>
        <v>-417.74</v>
      </c>
      <c r="K5" s="24">
        <f t="shared" ref="K5:K6" si="1">SUM(H5:J5)</f>
        <v>-62400.770000000048</v>
      </c>
      <c r="L5" s="46">
        <f t="shared" ref="L5:L6" si="2">+K5-M42</f>
        <v>0</v>
      </c>
    </row>
    <row r="6" spans="1:36">
      <c r="A6" s="19" t="s">
        <v>92</v>
      </c>
      <c r="B6" s="19"/>
      <c r="C6" s="19"/>
      <c r="D6" s="19"/>
      <c r="E6" s="21">
        <f>SUM(C17:M17)</f>
        <v>134956.15000000002</v>
      </c>
      <c r="F6" s="121">
        <f>N23</f>
        <v>4154430.81</v>
      </c>
      <c r="G6" s="415">
        <f>SUM(C29:L29)</f>
        <v>119629.18000000001</v>
      </c>
      <c r="H6" s="21">
        <f t="shared" si="0"/>
        <v>-15326.970000000016</v>
      </c>
      <c r="I6" s="21">
        <f>+B43</f>
        <v>19210.180000000029</v>
      </c>
      <c r="J6" s="21">
        <f>SUM(C50:L50)</f>
        <v>752.79000000000008</v>
      </c>
      <c r="K6" s="24">
        <f t="shared" si="1"/>
        <v>4636.0000000000136</v>
      </c>
      <c r="L6" s="46">
        <f t="shared" si="2"/>
        <v>-1.7280399333685637E-11</v>
      </c>
    </row>
    <row r="7" spans="1:36" ht="15.75" thickBot="1">
      <c r="A7" s="19" t="s">
        <v>93</v>
      </c>
      <c r="B7" s="19"/>
      <c r="C7" s="19"/>
      <c r="D7" s="19"/>
      <c r="E7" s="21">
        <f>SUM(C18:M18)</f>
        <v>33727.469999999994</v>
      </c>
      <c r="F7" s="121">
        <f>N24</f>
        <v>2630726.7600000002</v>
      </c>
      <c r="G7" s="415">
        <f>SUM(C30:L30)</f>
        <v>27793.989999999998</v>
      </c>
      <c r="H7" s="21">
        <f>G7-E7</f>
        <v>-5933.4799999999959</v>
      </c>
      <c r="I7" s="21">
        <f>+B44</f>
        <v>2603.8800000000433</v>
      </c>
      <c r="J7" s="21">
        <f>SUM(C51:L51)</f>
        <v>-21.929999999999993</v>
      </c>
      <c r="K7" s="24">
        <f>SUM(H7:J7)</f>
        <v>-3351.5299999999525</v>
      </c>
      <c r="L7" s="46">
        <f>+K7-M44</f>
        <v>5.0022208597511053E-12</v>
      </c>
    </row>
    <row r="8" spans="1:36" ht="16.5" thickTop="1" thickBot="1">
      <c r="E8" s="26">
        <f t="shared" ref="E8:K8" si="3">SUM(E4:E7)</f>
        <v>567183.6</v>
      </c>
      <c r="F8" s="122">
        <f t="shared" si="3"/>
        <v>14996510.91</v>
      </c>
      <c r="G8" s="416">
        <f t="shared" si="3"/>
        <v>437159.07</v>
      </c>
      <c r="H8" s="26">
        <f t="shared" si="3"/>
        <v>-130024.53</v>
      </c>
      <c r="I8" s="26">
        <f t="shared" si="3"/>
        <v>83154.990000000311</v>
      </c>
      <c r="J8" s="26">
        <f t="shared" si="3"/>
        <v>1847.6699999999998</v>
      </c>
      <c r="K8" s="26">
        <f t="shared" si="3"/>
        <v>-45021.86999999969</v>
      </c>
      <c r="U8" s="5"/>
    </row>
    <row r="9" spans="1:36" ht="16.5" thickTop="1" thickBot="1">
      <c r="G9" s="476"/>
      <c r="W9" s="4"/>
      <c r="X9" s="5"/>
    </row>
    <row r="10" spans="1:36" ht="60.75" thickBot="1">
      <c r="B10" s="106" t="str">
        <f>+'PCR Cycle 4'!B10</f>
        <v>Cumulative Over/Under Carryover From 12/01/2025 Filing</v>
      </c>
      <c r="C10" s="134" t="str">
        <f>+'PCR Cycle 4'!C10</f>
        <v>Reverse November 2025 - January 2026 Forecast From 12/01/2025 Filing</v>
      </c>
      <c r="D10" s="318"/>
      <c r="E10" s="529" t="s">
        <v>28</v>
      </c>
      <c r="F10" s="516"/>
      <c r="G10" s="517"/>
      <c r="H10" s="530" t="s">
        <v>28</v>
      </c>
      <c r="I10" s="531"/>
      <c r="J10" s="532"/>
      <c r="K10" s="521" t="s">
        <v>6</v>
      </c>
      <c r="L10" s="522"/>
      <c r="M10" s="523"/>
      <c r="P10" s="253" t="s">
        <v>173</v>
      </c>
    </row>
    <row r="11" spans="1:36">
      <c r="A11" s="45" t="s">
        <v>55</v>
      </c>
      <c r="C11" s="491"/>
      <c r="D11" s="179"/>
      <c r="E11" s="302">
        <f>+'PCR Cycle 4'!E$11</f>
        <v>45991</v>
      </c>
      <c r="F11" s="302">
        <f>+'PCR Cycle 4'!F$11</f>
        <v>46022</v>
      </c>
      <c r="G11" s="302">
        <f>+'PCR Cycle 4'!G$11</f>
        <v>46053</v>
      </c>
      <c r="H11" s="491">
        <f>+'PCR Cycle 4'!H$11</f>
        <v>46081</v>
      </c>
      <c r="I11" s="302">
        <f>+'PCR Cycle 4'!I$11</f>
        <v>46112</v>
      </c>
      <c r="J11" s="492">
        <f>+'PCR Cycle 4'!J$11</f>
        <v>46142</v>
      </c>
      <c r="K11" s="302">
        <f>+'PCR Cycle 4'!K$11</f>
        <v>46173</v>
      </c>
      <c r="L11" s="302">
        <f>+'PCR Cycle 4'!L$11</f>
        <v>46203</v>
      </c>
      <c r="M11" s="493">
        <f>+'PCR Cycle 4'!M$11</f>
        <v>46234</v>
      </c>
      <c r="AA11" s="1"/>
      <c r="AB11" s="1"/>
      <c r="AC11" s="1"/>
      <c r="AD11" s="1"/>
      <c r="AE11" s="1"/>
      <c r="AF11" s="1"/>
      <c r="AG11" s="1"/>
      <c r="AH11" s="1"/>
      <c r="AI11" s="1"/>
      <c r="AJ11" s="1"/>
    </row>
    <row r="12" spans="1:36">
      <c r="A12" s="45" t="s">
        <v>3</v>
      </c>
      <c r="C12" s="314">
        <v>-128694.22</v>
      </c>
      <c r="D12" s="163"/>
      <c r="E12" s="100">
        <f>SUM(E27:E30)</f>
        <v>64978.39</v>
      </c>
      <c r="F12" s="100">
        <f t="shared" ref="F12:L12" si="4">SUM(F27:F30)</f>
        <v>63715.829999999994</v>
      </c>
      <c r="G12" s="101">
        <f t="shared" si="4"/>
        <v>65451.76999999999</v>
      </c>
      <c r="H12" s="15">
        <f t="shared" si="4"/>
        <v>59246.3</v>
      </c>
      <c r="I12" s="54">
        <f t="shared" si="4"/>
        <v>66915.100000000006</v>
      </c>
      <c r="J12" s="145">
        <f t="shared" si="4"/>
        <v>65328.66</v>
      </c>
      <c r="K12" s="138">
        <f t="shared" si="4"/>
        <v>69612.38</v>
      </c>
      <c r="L12" s="75">
        <f t="shared" si="4"/>
        <v>110604.86</v>
      </c>
      <c r="M12" s="76"/>
      <c r="P12" s="161">
        <f>-SUM(K12:M12)</f>
        <v>-180217.24</v>
      </c>
    </row>
    <row r="13" spans="1:36">
      <c r="C13" s="95"/>
      <c r="D13" s="164"/>
      <c r="E13" s="16"/>
      <c r="F13" s="16"/>
      <c r="G13" s="16"/>
      <c r="H13" s="9"/>
      <c r="I13" s="16"/>
      <c r="J13" s="10"/>
      <c r="K13" s="30"/>
      <c r="L13" s="30"/>
      <c r="M13" s="28"/>
    </row>
    <row r="14" spans="1:36">
      <c r="A14" s="45" t="s">
        <v>54</v>
      </c>
      <c r="C14" s="95"/>
      <c r="D14" s="164"/>
      <c r="E14" s="230"/>
      <c r="F14" s="230"/>
      <c r="G14" s="230"/>
      <c r="H14" s="503"/>
      <c r="I14" s="230"/>
      <c r="J14" s="502"/>
      <c r="K14" s="30"/>
      <c r="L14" s="30"/>
      <c r="M14" s="28"/>
      <c r="N14" s="383" t="s">
        <v>58</v>
      </c>
      <c r="O14" s="38"/>
    </row>
    <row r="15" spans="1:36">
      <c r="A15" s="45" t="s">
        <v>22</v>
      </c>
      <c r="C15" s="314">
        <v>-78916.890000000014</v>
      </c>
      <c r="D15" s="163"/>
      <c r="E15" s="119">
        <f>ROUND('[3]EMW Nov25'!$G101+'[3]EMW Nov25'!$G108,2)</f>
        <v>19888.689999999999</v>
      </c>
      <c r="F15" s="119">
        <f>ROUND('[3]EMW Dec25'!$G101+'[3]EMW Dec25'!$G108,2)</f>
        <v>28944.06</v>
      </c>
      <c r="G15" s="119">
        <f>ROUND('[3]EMW Jan26'!$G101+'[3]EMW Jan26'!$G108,2)</f>
        <v>31591.3</v>
      </c>
      <c r="H15" s="15">
        <f>ROUND('[3]EMW Feb26'!$G101+'[3]EMW Feb26'!$G108,2)</f>
        <v>34446.85</v>
      </c>
      <c r="I15" s="54">
        <f>ROUND('[3]EMW Mar26'!$G101+'[3]EMW Mar26'!$G108,2)</f>
        <v>24521.77</v>
      </c>
      <c r="J15" s="211">
        <f>ROUND('[3]EMW Apr26'!$G101+'[3]EMW Apr26'!$G108,2)</f>
        <v>20498.75</v>
      </c>
      <c r="K15" s="110">
        <f>ROUND('PCR Cycle 4'!K20*'TDR Cycle 3'!$N15,2)</f>
        <v>19523.59</v>
      </c>
      <c r="L15" s="40">
        <f>ROUND('PCR Cycle 4'!L20*'TDR Cycle 3'!$N15,2)</f>
        <v>24796.2</v>
      </c>
      <c r="M15" s="60">
        <f>ROUND('PCR Cycle 4'!M20*'TDR Cycle 3'!$N15,2)</f>
        <v>35137.35</v>
      </c>
      <c r="N15" s="71">
        <v>8.9999999999999992E-5</v>
      </c>
      <c r="O15" s="4"/>
      <c r="P15" s="161">
        <f t="shared" ref="P15:P18" si="5">-SUM(K15:M15)</f>
        <v>-79457.14</v>
      </c>
    </row>
    <row r="16" spans="1:36">
      <c r="A16" s="45" t="s">
        <v>91</v>
      </c>
      <c r="C16" s="314">
        <v>-106394.25</v>
      </c>
      <c r="D16" s="163"/>
      <c r="E16" s="413">
        <f>ROUND('[3]EMW Nov25'!$G102+'[3]EMW Nov25'!$G109,2)</f>
        <v>36889.480000000003</v>
      </c>
      <c r="F16" s="119">
        <f>ROUND('[3]EMW Dec25'!$G102+'[3]EMW Dec25'!$G109,2)</f>
        <v>44118.75</v>
      </c>
      <c r="G16" s="119">
        <f>ROUND('[3]EMW Jan26'!$G102+'[3]EMW Jan26'!$G109,2)</f>
        <v>44282.41</v>
      </c>
      <c r="H16" s="15">
        <f>ROUND('[3]EMW Feb26'!$G102+'[3]EMW Feb26'!$G109,2)</f>
        <v>38315.11</v>
      </c>
      <c r="I16" s="54">
        <f>ROUND('[3]EMW Mar26'!$G102+'[3]EMW Mar26'!$G109,2)</f>
        <v>32069.66</v>
      </c>
      <c r="J16" s="211">
        <f>ROUND('[3]EMW Apr26'!$G102+'[3]EMW Apr26'!$G109,2)</f>
        <v>29319.3</v>
      </c>
      <c r="K16" s="110">
        <f>ROUND('PCR Cycle 4'!K21*'TDR Cycle 3'!$N16,2)</f>
        <v>35655.06</v>
      </c>
      <c r="L16" s="40">
        <f>ROUND('PCR Cycle 4'!L21*'TDR Cycle 3'!$N16,2)</f>
        <v>39603.82</v>
      </c>
      <c r="M16" s="60">
        <f>ROUND('PCR Cycle 4'!M21*'TDR Cycle 3'!$N16,2)</f>
        <v>44208.97</v>
      </c>
      <c r="N16" s="391">
        <v>2.9E-4</v>
      </c>
      <c r="O16" s="4"/>
      <c r="P16" s="161">
        <f t="shared" si="5"/>
        <v>-119467.85</v>
      </c>
    </row>
    <row r="17" spans="1:16">
      <c r="A17" s="45" t="s">
        <v>92</v>
      </c>
      <c r="C17" s="314">
        <v>-76732.989999999991</v>
      </c>
      <c r="D17" s="163"/>
      <c r="E17" s="413">
        <f>ROUND('[3]EMW Nov25'!$G103+'[3]EMW Nov25'!$G110,2)</f>
        <v>26119.89</v>
      </c>
      <c r="F17" s="119">
        <f>ROUND('[3]EMW Dec25'!$G103+'[3]EMW Dec25'!$G110,2)</f>
        <v>28104.720000000001</v>
      </c>
      <c r="G17" s="119">
        <f>ROUND('[3]EMW Jan26'!$G103+'[3]EMW Jan26'!$G110,2)</f>
        <v>26723.17</v>
      </c>
      <c r="H17" s="15">
        <f>ROUND('[3]EMW Feb26'!$G103+'[3]EMW Feb26'!$G110,2)</f>
        <v>21033.87</v>
      </c>
      <c r="I17" s="54">
        <f>ROUND('[3]EMW Mar26'!$G103+'[3]EMW Mar26'!$G110,2)</f>
        <v>19680.63</v>
      </c>
      <c r="J17" s="211">
        <f>ROUND('[3]EMW Apr26'!$G103+'[3]EMW Apr26'!$G110,2)</f>
        <v>18724.29</v>
      </c>
      <c r="K17" s="110">
        <f>ROUND('PCR Cycle 4'!K22*'TDR Cycle 3'!$N17,2)</f>
        <v>21280.18</v>
      </c>
      <c r="L17" s="40">
        <f>ROUND('PCR Cycle 4'!L22*'TDR Cycle 3'!$N17,2)</f>
        <v>23636.94</v>
      </c>
      <c r="M17" s="60">
        <f>ROUND('PCR Cycle 4'!M22*'TDR Cycle 3'!$N17,2)</f>
        <v>26385.45</v>
      </c>
      <c r="N17" s="391">
        <v>2.3000000000000001E-4</v>
      </c>
      <c r="O17" s="4"/>
      <c r="P17" s="161">
        <f t="shared" si="5"/>
        <v>-71302.569999999992</v>
      </c>
    </row>
    <row r="18" spans="1:16">
      <c r="A18" s="45" t="s">
        <v>93</v>
      </c>
      <c r="C18" s="314">
        <v>-17768.760000000002</v>
      </c>
      <c r="D18" s="163"/>
      <c r="E18" s="413">
        <f>ROUND('[3]EMW Nov25'!$G104+'[3]EMW Nov25'!$G111,2)</f>
        <v>9910.2999999999993</v>
      </c>
      <c r="F18" s="119">
        <f>ROUND('[3]EMW Dec25'!$G104+'[3]EMW Dec25'!$G111,2)</f>
        <v>10404.82</v>
      </c>
      <c r="G18" s="119">
        <f>ROUND('[3]EMW Jan26'!$G104+'[3]EMW Jan26'!$G111,2)</f>
        <v>10031.700000000001</v>
      </c>
      <c r="H18" s="15">
        <f>ROUND('[3]EMW Feb26'!$G104+'[3]EMW Feb26'!$G111,2)</f>
        <v>7280.85</v>
      </c>
      <c r="I18" s="54">
        <f>ROUND('[3]EMW Mar26'!$G104+'[3]EMW Mar26'!$G111,2)</f>
        <v>-12263.36</v>
      </c>
      <c r="J18" s="211">
        <f>ROUND('[3]EMW Apr26'!$G104+'[3]EMW Apr26'!$G111,2)</f>
        <v>5355.27</v>
      </c>
      <c r="K18" s="110">
        <f>ROUND('PCR Cycle 4'!K23*'TDR Cycle 3'!$N18,2)</f>
        <v>6200.77</v>
      </c>
      <c r="L18" s="40">
        <f>ROUND('PCR Cycle 4'!L23*'TDR Cycle 3'!$N18,2)</f>
        <v>6887.5</v>
      </c>
      <c r="M18" s="60">
        <f>ROUND('PCR Cycle 4'!M23*'TDR Cycle 3'!$N18,2)</f>
        <v>7688.38</v>
      </c>
      <c r="N18" s="391">
        <v>8.0000000000000007E-5</v>
      </c>
      <c r="O18" s="4"/>
      <c r="P18" s="161">
        <f t="shared" si="5"/>
        <v>-20776.650000000001</v>
      </c>
    </row>
    <row r="19" spans="1:16">
      <c r="C19" s="66"/>
      <c r="D19" s="165"/>
      <c r="E19" s="67"/>
      <c r="F19" s="67"/>
      <c r="G19" s="67"/>
      <c r="H19" s="66"/>
      <c r="I19" s="67"/>
      <c r="J19" s="147"/>
      <c r="K19" s="55"/>
      <c r="L19" s="55"/>
      <c r="M19" s="12"/>
      <c r="O19" s="4"/>
    </row>
    <row r="20" spans="1:16">
      <c r="A20" s="38" t="s">
        <v>57</v>
      </c>
      <c r="B20" s="38"/>
      <c r="C20" s="66"/>
      <c r="D20" s="165"/>
      <c r="E20" s="388"/>
      <c r="F20" s="388"/>
      <c r="G20" s="388"/>
      <c r="H20" s="387"/>
      <c r="I20" s="388"/>
      <c r="J20" s="508"/>
      <c r="K20" s="388"/>
      <c r="L20" s="388"/>
      <c r="M20" s="12"/>
      <c r="N20" s="6"/>
    </row>
    <row r="21" spans="1:16">
      <c r="A21" s="45" t="s">
        <v>22</v>
      </c>
      <c r="C21" s="315">
        <v>-1072435.72</v>
      </c>
      <c r="D21" s="166"/>
      <c r="E21" s="102">
        <f>ROUND(SUM('[15]Monthly TD Calc-PY1-3'!BW461:BW461),2)+ROUND(SUM('[15]Monthly TD Calc-PY4'!BW469:BW469),2)+ROUND(SUM('[15]Monthly TD Calc-PY5'!BW577:BW577),2)</f>
        <v>514469.69</v>
      </c>
      <c r="F21" s="102">
        <f>ROUND(SUM('[15]Monthly TD Calc-PY1-3'!BX461:BX461),2)+ROUND(SUM('[15]Monthly TD Calc-PY4'!BX469:BX469),2)+ROUND(SUM('[15]Monthly TD Calc-PY5'!BX577:BX577),2)</f>
        <v>557966.03</v>
      </c>
      <c r="G21" s="102">
        <f>ROUND(SUM('[15]Monthly TD Calc-PY1-3'!BY461:BY461),2)+ROUND(SUM('[15]Monthly TD Calc-PY4'!BY469:BY469),2)+ROUND(SUM('[15]Monthly TD Calc-PY5'!BY577:BY577),2)</f>
        <v>561911.46</v>
      </c>
      <c r="H21" s="72">
        <f>ROUND(SUM('[15]Monthly TD Calc-PY1-3'!BZ461:BZ461),2)+ROUND(SUM('[15]Monthly TD Calc-PY4'!BZ469:BZ469),2)+ROUND(SUM('[15]Monthly TD Calc-PY5'!BZ577:BZ577),2)</f>
        <v>504580.87</v>
      </c>
      <c r="I21" s="73">
        <f>ROUND(SUM('[15]Monthly TD Calc-PY1-3'!CA461:CA461),2)+ROUND(SUM('[15]Monthly TD Calc-PY4'!CA469:CA469),2)+ROUND(SUM('[15]Monthly TD Calc-PY5'!CA577:CA577),2)</f>
        <v>544606.19999999995</v>
      </c>
      <c r="J21" s="148">
        <f>ROUND(SUM('[15]Monthly TD Calc-PY1-3'!CB461:CB461),2)+ROUND(SUM('[15]Monthly TD Calc-PY4'!CB469:CB469),2)+ROUND(SUM('[15]Monthly TD Calc-PY5'!CB577:CB577),2)</f>
        <v>519975.38</v>
      </c>
      <c r="K21" s="139">
        <f>ROUND(SUM('[15]Monthly TD Calc-PY1-3'!CC461:CC461),2)+ROUND(SUM('[15]Monthly TD Calc-PY4'!CC469:CC469),2)+ROUND(SUM('[15]Monthly TD Calc-PY5'!CC577:CC577),2)</f>
        <v>569448.6</v>
      </c>
      <c r="L21" s="126">
        <f>ROUND(SUM('[15]Monthly TD Calc-PY1-3'!CD461:CD461),2)+ROUND(SUM('[15]Monthly TD Calc-PY4'!CD469:CD469),2)+ROUND(SUM('[15]Monthly TD Calc-PY5'!CD577:CD577),2)</f>
        <v>671243.46</v>
      </c>
      <c r="M21" s="77"/>
      <c r="N21" s="58">
        <f>SUM(C21:L21)</f>
        <v>3371765.97</v>
      </c>
      <c r="P21" s="161">
        <f t="shared" ref="P21:P24" si="6">-SUM(K21:M21)</f>
        <v>-1240692.06</v>
      </c>
    </row>
    <row r="22" spans="1:16">
      <c r="A22" s="45" t="s">
        <v>91</v>
      </c>
      <c r="C22" s="315">
        <v>-1581274.7400000002</v>
      </c>
      <c r="D22" s="166"/>
      <c r="E22" s="407">
        <f>ROUND(SUM('[15]Monthly TD Calc-PY1-3'!BW462:BW462),2)+ROUND(SUM('[15]Monthly TD Calc-PY4'!BW470:BW470),2)+ROUND(SUM('[15]Monthly TD Calc-PY5'!BW578:BW578),2)</f>
        <v>789441.93</v>
      </c>
      <c r="F22" s="102">
        <f>ROUND(SUM('[15]Monthly TD Calc-PY1-3'!BX462:BX462),2)+ROUND(SUM('[15]Monthly TD Calc-PY4'!BX470:BX470),2)+ROUND(SUM('[15]Monthly TD Calc-PY5'!BX578:BX578),2)</f>
        <v>791832.81</v>
      </c>
      <c r="G22" s="102">
        <f>ROUND(SUM('[15]Monthly TD Calc-PY1-3'!BY462:BY462),2)+ROUND(SUM('[15]Monthly TD Calc-PY4'!BY470:BY470),2)+ROUND(SUM('[15]Monthly TD Calc-PY5'!BY578:BY578),2)</f>
        <v>830454.51</v>
      </c>
      <c r="H22" s="72">
        <f>ROUND(SUM('[15]Monthly TD Calc-PY1-3'!BZ462:BZ462),2)+ROUND(SUM('[15]Monthly TD Calc-PY4'!BZ470:BZ470),2)+ROUND(SUM('[15]Monthly TD Calc-PY5'!BZ578:BZ578),2)</f>
        <v>750771.15</v>
      </c>
      <c r="I22" s="73">
        <f>ROUND(SUM('[15]Monthly TD Calc-PY1-3'!CA462:CA462),2)+ROUND(SUM('[15]Monthly TD Calc-PY4'!CA470:CA470),2)+ROUND(SUM('[15]Monthly TD Calc-PY5'!CA578:CA578),2)</f>
        <v>831923.54</v>
      </c>
      <c r="J22" s="148">
        <f>ROUND(SUM('[15]Monthly TD Calc-PY1-3'!CB462:CB462),2)+ROUND(SUM('[15]Monthly TD Calc-PY4'!CB470:CB470),2)+ROUND(SUM('[15]Monthly TD Calc-PY5'!CB578:CB578),2)</f>
        <v>794156.35</v>
      </c>
      <c r="K22" s="139">
        <f>ROUND(SUM('[15]Monthly TD Calc-PY1-3'!CC462:CC462),2)+ROUND(SUM('[15]Monthly TD Calc-PY4'!CC470:CC470),2)+ROUND(SUM('[15]Monthly TD Calc-PY5'!CC578:CC578),2)</f>
        <v>832798.33</v>
      </c>
      <c r="L22" s="126">
        <f>ROUND(SUM('[15]Monthly TD Calc-PY1-3'!CD462:CD462),2)+ROUND(SUM('[15]Monthly TD Calc-PY4'!CD470:CD470),2)+ROUND(SUM('[15]Monthly TD Calc-PY5'!CD578:CD578),2)</f>
        <v>799483.49</v>
      </c>
      <c r="M22" s="77"/>
      <c r="N22" s="58">
        <f t="shared" ref="N22:N24" si="7">SUM(C22:L22)</f>
        <v>4839587.37</v>
      </c>
      <c r="P22" s="161">
        <f t="shared" si="6"/>
        <v>-1632281.8199999998</v>
      </c>
    </row>
    <row r="23" spans="1:16">
      <c r="A23" s="45" t="s">
        <v>92</v>
      </c>
      <c r="C23" s="315">
        <v>-1358193.85</v>
      </c>
      <c r="D23" s="166"/>
      <c r="E23" s="407">
        <f>ROUND(SUM('[15]Monthly TD Calc-PY1-3'!BW464:BW464),2)+ROUND(SUM('[15]Monthly TD Calc-PY4'!BW472:BW472),2)+ROUND(SUM('[15]Monthly TD Calc-PY5'!BW580:BW580),2)</f>
        <v>678127.97</v>
      </c>
      <c r="F23" s="102">
        <f>ROUND(SUM('[15]Monthly TD Calc-PY1-3'!BX464:BX464),2)+ROUND(SUM('[15]Monthly TD Calc-PY4'!BX472:BX472),2)+ROUND(SUM('[15]Monthly TD Calc-PY5'!BX580:BX580),2)</f>
        <v>680065.88</v>
      </c>
      <c r="G23" s="102">
        <f>ROUND(SUM('[15]Monthly TD Calc-PY1-3'!BY464:BY464),2)+ROUND(SUM('[15]Monthly TD Calc-PY4'!BY472:BY472),2)+ROUND(SUM('[15]Monthly TD Calc-PY5'!BY580:BY580),2)</f>
        <v>712770</v>
      </c>
      <c r="H23" s="72">
        <f>ROUND(SUM('[15]Monthly TD Calc-PY1-3'!BZ464:BZ464),2)+ROUND(SUM('[15]Monthly TD Calc-PY4'!BZ472:BZ472),2)+ROUND(SUM('[15]Monthly TD Calc-PY5'!BZ580:BZ580),2)</f>
        <v>644320.21</v>
      </c>
      <c r="I23" s="73">
        <f>ROUND(SUM('[15]Monthly TD Calc-PY1-3'!CA464:CA464),2)+ROUND(SUM('[15]Monthly TD Calc-PY4'!CA472:CA472),2)+ROUND(SUM('[15]Monthly TD Calc-PY5'!CA580:CA580),2)</f>
        <v>713996.56</v>
      </c>
      <c r="J23" s="148">
        <f>ROUND(SUM('[15]Monthly TD Calc-PY1-3'!CB464:CB464),2)+ROUND(SUM('[15]Monthly TD Calc-PY4'!CB472:CB472),2)+ROUND(SUM('[15]Monthly TD Calc-PY5'!CB580:CB580),2)</f>
        <v>681946.97</v>
      </c>
      <c r="K23" s="139">
        <f>ROUND(SUM('[15]Monthly TD Calc-PY1-3'!CC464:CC464),2)+ROUND(SUM('[15]Monthly TD Calc-PY4'!CC472:CC472),2)+ROUND(SUM('[15]Monthly TD Calc-PY5'!CC580:CC580),2)</f>
        <v>714787.92</v>
      </c>
      <c r="L23" s="126">
        <f>ROUND(SUM('[15]Monthly TD Calc-PY1-3'!CD464:CD464),2)+ROUND(SUM('[15]Monthly TD Calc-PY4'!CD472:CD472),2)+ROUND(SUM('[15]Monthly TD Calc-PY5'!CD580:CD580),2)</f>
        <v>686609.15</v>
      </c>
      <c r="M23" s="77"/>
      <c r="N23" s="58">
        <f t="shared" si="7"/>
        <v>4154430.81</v>
      </c>
      <c r="P23" s="161">
        <f t="shared" si="6"/>
        <v>-1401397.07</v>
      </c>
    </row>
    <row r="24" spans="1:16">
      <c r="A24" s="45" t="s">
        <v>93</v>
      </c>
      <c r="C24" s="315">
        <v>-858868.96</v>
      </c>
      <c r="D24" s="166"/>
      <c r="E24" s="407">
        <f>ROUND(SUM('[15]Monthly TD Calc-PY1-3'!BW465:BW465),2)+ROUND(SUM('[15]Monthly TD Calc-PY4'!BW473:BW473),2)+ROUND(SUM('[15]Monthly TD Calc-PY5'!BW581:BW581),2)</f>
        <v>428819.42</v>
      </c>
      <c r="F24" s="102">
        <f>ROUND(SUM('[15]Monthly TD Calc-PY1-3'!BX465:BX465),2)+ROUND(SUM('[15]Monthly TD Calc-PY4'!BX473:BX473),2)+ROUND(SUM('[15]Monthly TD Calc-PY5'!BX581:BX581),2)</f>
        <v>430049.54</v>
      </c>
      <c r="G24" s="102">
        <f>ROUND(SUM('[15]Monthly TD Calc-PY1-3'!BY465:BY465),2)+ROUND(SUM('[15]Monthly TD Calc-PY4'!BY473:BY473),2)+ROUND(SUM('[15]Monthly TD Calc-PY5'!BY581:BY581),2)</f>
        <v>451336.12</v>
      </c>
      <c r="H24" s="72">
        <f>ROUND(SUM('[15]Monthly TD Calc-PY1-3'!BZ465:BZ465),2)+ROUND(SUM('[15]Monthly TD Calc-PY4'!BZ473:BZ473),2)+ROUND(SUM('[15]Monthly TD Calc-PY5'!BZ581:BZ581),2)</f>
        <v>408047.18</v>
      </c>
      <c r="I24" s="73">
        <f>ROUND(SUM('[15]Monthly TD Calc-PY1-3'!CA465:CA465),2)+ROUND(SUM('[15]Monthly TD Calc-PY4'!CA473:CA473),2)+ROUND(SUM('[15]Monthly TD Calc-PY5'!CA581:CA581),2)</f>
        <v>452304.32</v>
      </c>
      <c r="J24" s="148">
        <f>ROUND(SUM('[15]Monthly TD Calc-PY1-3'!CB465:CB465),2)+ROUND(SUM('[15]Monthly TD Calc-PY4'!CB473:CB473),2)+ROUND(SUM('[15]Monthly TD Calc-PY5'!CB581:CB581),2)</f>
        <v>431511.1</v>
      </c>
      <c r="K24" s="139">
        <f>ROUND(SUM('[15]Monthly TD Calc-PY1-3'!CC465:CC465),2)+ROUND(SUM('[15]Monthly TD Calc-PY4'!CC473:CC473),2)+ROUND(SUM('[15]Monthly TD Calc-PY5'!CC581:CC581),2)</f>
        <v>452764.48</v>
      </c>
      <c r="L24" s="126">
        <f>ROUND(SUM('[15]Monthly TD Calc-PY1-3'!CD465:CD465),2)+ROUND(SUM('[15]Monthly TD Calc-PY4'!CD473:CD473),2)+ROUND(SUM('[15]Monthly TD Calc-PY5'!CD581:CD581),2)</f>
        <v>434763.56</v>
      </c>
      <c r="M24" s="77"/>
      <c r="N24" s="58">
        <f t="shared" si="7"/>
        <v>2630726.7600000002</v>
      </c>
      <c r="P24" s="161">
        <f t="shared" si="6"/>
        <v>-887528.04</v>
      </c>
    </row>
    <row r="25" spans="1:16">
      <c r="C25" s="66"/>
      <c r="D25" s="165"/>
      <c r="E25" s="288"/>
      <c r="F25" s="288"/>
      <c r="G25" s="36"/>
      <c r="H25" s="35"/>
      <c r="I25" s="288"/>
      <c r="J25" s="149"/>
      <c r="K25" s="51"/>
      <c r="L25" s="55"/>
      <c r="M25" s="12"/>
    </row>
    <row r="26" spans="1:16">
      <c r="A26" s="45" t="s">
        <v>59</v>
      </c>
      <c r="C26" s="35"/>
      <c r="D26" s="167"/>
      <c r="E26" s="361"/>
      <c r="F26" s="361"/>
      <c r="G26" s="361"/>
      <c r="H26" s="360"/>
      <c r="I26" s="361"/>
      <c r="J26" s="433"/>
      <c r="K26" s="374"/>
      <c r="L26" s="374"/>
      <c r="M26" s="37"/>
    </row>
    <row r="27" spans="1:16">
      <c r="A27" s="45" t="s">
        <v>22</v>
      </c>
      <c r="C27" s="314">
        <v>-28580.65</v>
      </c>
      <c r="D27" s="166"/>
      <c r="E27" s="407">
        <f>+ROUND(SUM('[15]Monthly TD Calc-PY4'!BW575:BW575),2)+ROUND(SUM('[15]Monthly TD Calc-PY5'!BW711:BW711),2)+ROUND(SUM('[15]Monthly TD Calc-PY1-3'!BW563:BW563),2)</f>
        <v>14403.89</v>
      </c>
      <c r="F27" s="100">
        <f>+ROUND(SUM('[15]Monthly TD Calc-PY4'!BX575:BX575),2)+ROUND(SUM('[15]Monthly TD Calc-PY5'!BX711:BX711),2)+ROUND(SUM('[15]Monthly TD Calc-PY1-3'!BX563:BX563),2)</f>
        <v>14176.76</v>
      </c>
      <c r="G27" s="100">
        <f>+ROUND(SUM('[15]Monthly TD Calc-PY4'!BY575:BY575),2)+ROUND(SUM('[15]Monthly TD Calc-PY5'!BY711:BY711),2)+ROUND(SUM('[15]Monthly TD Calc-PY1-3'!BY563:BY563),2)</f>
        <v>12816.14</v>
      </c>
      <c r="H27" s="15">
        <f>+ROUND(SUM('[15]Monthly TD Calc-PY4'!BZ575:BZ575),2)+ROUND(SUM('[15]Monthly TD Calc-PY5'!BZ711:BZ711),2)+ROUND(SUM('[15]Monthly TD Calc-PY1-3'!BZ563:BZ563),2)</f>
        <v>11764.97</v>
      </c>
      <c r="I27" s="54">
        <f>+ROUND(SUM('[15]Monthly TD Calc-PY4'!CA575:CA575),2)+ROUND(SUM('[15]Monthly TD Calc-PY5'!CA711:CA711),2)+ROUND(SUM('[15]Monthly TD Calc-PY1-3'!CA563:CA563),2)</f>
        <v>13858.83</v>
      </c>
      <c r="J27" s="211">
        <f>+ROUND(SUM('[15]Monthly TD Calc-PY4'!CB575:CB575),2)+ROUND(SUM('[15]Monthly TD Calc-PY5'!CB711:CB711),2)+ROUND(SUM('[15]Monthly TD Calc-PY1-3'!CB563:CB563),2)</f>
        <v>13806.93</v>
      </c>
      <c r="K27" s="424">
        <f>+ROUND(SUM('[15]Monthly TD Calc-PY4'!CC575:CC575),2)+ROUND(SUM('[15]Monthly TD Calc-PY5'!CC711:CC711),2)+ROUND(SUM('[15]Monthly TD Calc-PY1-3'!CC563:CC563),2)</f>
        <v>15418.1</v>
      </c>
      <c r="L27" s="417">
        <f>+ROUND(SUM('[15]Monthly TD Calc-PY4'!CD575:CD575),2)+ROUND(SUM('[15]Monthly TD Calc-PY5'!CD711:CD711),2)+ROUND(SUM('[15]Monthly TD Calc-PY1-3'!CD563:CD563),2)</f>
        <v>31957.97</v>
      </c>
      <c r="M27" s="76"/>
      <c r="P27" s="161">
        <f t="shared" ref="P27:P32" si="8">-SUM(K27:M27)</f>
        <v>-47376.07</v>
      </c>
    </row>
    <row r="28" spans="1:16">
      <c r="A28" s="45" t="s">
        <v>91</v>
      </c>
      <c r="C28" s="314">
        <v>-56219.39</v>
      </c>
      <c r="D28" s="166"/>
      <c r="E28" s="407">
        <f>+ROUND(SUM('[15]Monthly TD Calc-PY4'!BW576:BW576),2)+ROUND(SUM('[15]Monthly TD Calc-PY5'!BW712:BW712),2)+ROUND(SUM('[15]Monthly TD Calc-PY1-3'!BW564:BW564),2)</f>
        <v>28183.41</v>
      </c>
      <c r="F28" s="100">
        <f>+ROUND(SUM('[15]Monthly TD Calc-PY4'!BX576:BX576),2)+ROUND(SUM('[15]Monthly TD Calc-PY5'!BX712:BX712),2)+ROUND(SUM('[15]Monthly TD Calc-PY1-3'!BX564:BX564),2)</f>
        <v>28035.98</v>
      </c>
      <c r="G28" s="100">
        <f>+ROUND(SUM('[15]Monthly TD Calc-PY4'!BY576:BY576),2)+ROUND(SUM('[15]Monthly TD Calc-PY5'!BY712:BY712),2)+ROUND(SUM('[15]Monthly TD Calc-PY1-3'!BY564:BY564),2)</f>
        <v>29239.37</v>
      </c>
      <c r="H28" s="15">
        <f>+ROUND(SUM('[15]Monthly TD Calc-PY4'!BZ576:BZ576),2)+ROUND(SUM('[15]Monthly TD Calc-PY5'!BZ712:BZ712),2)+ROUND(SUM('[15]Monthly TD Calc-PY1-3'!BZ564:BZ564),2)</f>
        <v>26590.2</v>
      </c>
      <c r="I28" s="54">
        <f>+ROUND(SUM('[15]Monthly TD Calc-PY4'!CA576:CA576),2)+ROUND(SUM('[15]Monthly TD Calc-PY5'!CA712:CA712),2)+ROUND(SUM('[15]Monthly TD Calc-PY1-3'!CA564:CA564),2)</f>
        <v>29563.15</v>
      </c>
      <c r="J28" s="211">
        <f>+ROUND(SUM('[15]Monthly TD Calc-PY4'!CB576:CB576),2)+ROUND(SUM('[15]Monthly TD Calc-PY5'!CB712:CB712),2)+ROUND(SUM('[15]Monthly TD Calc-PY1-3'!CB564:CB564),2)</f>
        <v>28425.32</v>
      </c>
      <c r="K28" s="424">
        <f>+ROUND(SUM('[15]Monthly TD Calc-PY4'!CC576:CC576),2)+ROUND(SUM('[15]Monthly TD Calc-PY5'!CC712:CC712),2)+ROUND(SUM('[15]Monthly TD Calc-PY1-3'!CC564:CC564),2)</f>
        <v>29883.5</v>
      </c>
      <c r="L28" s="417">
        <f>+ROUND(SUM('[15]Monthly TD Calc-PY4'!CD576:CD576),2)+ROUND(SUM('[15]Monthly TD Calc-PY5'!CD712:CD712),2)+ROUND(SUM('[15]Monthly TD Calc-PY1-3'!CD564:CD564),2)</f>
        <v>46411.42</v>
      </c>
      <c r="M28" s="76"/>
      <c r="P28" s="161">
        <f t="shared" si="8"/>
        <v>-76294.92</v>
      </c>
    </row>
    <row r="29" spans="1:16">
      <c r="A29" s="45" t="s">
        <v>92</v>
      </c>
      <c r="C29" s="314">
        <v>-35647.03</v>
      </c>
      <c r="D29" s="166"/>
      <c r="E29" s="407">
        <f>+ROUND(SUM('[15]Monthly TD Calc-PY4'!BW578:BW578),2)+ROUND(SUM('[15]Monthly TD Calc-PY5'!BW714:BW714),2)+ROUND(SUM('[15]Monthly TD Calc-PY1-3'!BW566:BW566),2)</f>
        <v>18182.07</v>
      </c>
      <c r="F29" s="100">
        <f>+ROUND(SUM('[15]Monthly TD Calc-PY4'!BX578:BX578),2)+ROUND(SUM('[15]Monthly TD Calc-PY5'!BX714:BX714),2)+ROUND(SUM('[15]Monthly TD Calc-PY1-3'!BX566:BX566),2)</f>
        <v>17464.96</v>
      </c>
      <c r="G29" s="100">
        <f>+ROUND(SUM('[15]Monthly TD Calc-PY4'!BY578:BY578),2)+ROUND(SUM('[15]Monthly TD Calc-PY5'!BY714:BY714),2)+ROUND(SUM('[15]Monthly TD Calc-PY1-3'!BY566:BY566),2)</f>
        <v>19315.810000000001</v>
      </c>
      <c r="H29" s="15">
        <f>+ROUND(SUM('[15]Monthly TD Calc-PY4'!BZ578:BZ578),2)+ROUND(SUM('[15]Monthly TD Calc-PY5'!BZ714:BZ714),2)+ROUND(SUM('[15]Monthly TD Calc-PY1-3'!BZ566:BZ566),2)</f>
        <v>16975.47</v>
      </c>
      <c r="I29" s="54">
        <f>+ROUND(SUM('[15]Monthly TD Calc-PY4'!CA578:CA578),2)+ROUND(SUM('[15]Monthly TD Calc-PY5'!CA714:CA714),2)+ROUND(SUM('[15]Monthly TD Calc-PY1-3'!CA566:CA566),2)</f>
        <v>19095.16</v>
      </c>
      <c r="J29" s="211">
        <f>+ROUND(SUM('[15]Monthly TD Calc-PY4'!CB578:CB578),2)+ROUND(SUM('[15]Monthly TD Calc-PY5'!CB714:CB714),2)+ROUND(SUM('[15]Monthly TD Calc-PY1-3'!CB566:CB566),2)</f>
        <v>18781.13</v>
      </c>
      <c r="K29" s="424">
        <f>+ROUND(SUM('[15]Monthly TD Calc-PY4'!CC578:CC578),2)+ROUND(SUM('[15]Monthly TD Calc-PY5'!CC714:CC714),2)+ROUND(SUM('[15]Monthly TD Calc-PY1-3'!CC566:CC566),2)</f>
        <v>19828.98</v>
      </c>
      <c r="L29" s="417">
        <f>+ROUND(SUM('[15]Monthly TD Calc-PY4'!CD578:CD578),2)+ROUND(SUM('[15]Monthly TD Calc-PY5'!CD714:CD714),2)+ROUND(SUM('[15]Monthly TD Calc-PY1-3'!CD566:CD566),2)</f>
        <v>25632.63</v>
      </c>
      <c r="M29" s="76"/>
      <c r="P29" s="161">
        <f t="shared" si="8"/>
        <v>-45461.61</v>
      </c>
    </row>
    <row r="30" spans="1:16">
      <c r="A30" s="45" t="s">
        <v>93</v>
      </c>
      <c r="C30" s="314">
        <v>-8247.1500000000015</v>
      </c>
      <c r="D30" s="166"/>
      <c r="E30" s="407">
        <f>+ROUND(SUM('[15]Monthly TD Calc-PY4'!BW579:BW579),2)+ROUND(SUM('[15]Monthly TD Calc-PY5'!BW715:BW715),2)+ROUND(SUM('[15]Monthly TD Calc-PY1-3'!BW567:BW567),2)</f>
        <v>4209.0200000000004</v>
      </c>
      <c r="F30" s="100">
        <f>+ROUND(SUM('[15]Monthly TD Calc-PY4'!BX579:BX579),2)+ROUND(SUM('[15]Monthly TD Calc-PY5'!BX715:BX715),2)+ROUND(SUM('[15]Monthly TD Calc-PY1-3'!BX567:BX567),2)</f>
        <v>4038.13</v>
      </c>
      <c r="G30" s="100">
        <f>+ROUND(SUM('[15]Monthly TD Calc-PY4'!BY579:BY579),2)+ROUND(SUM('[15]Monthly TD Calc-PY5'!BY715:BY715),2)+ROUND(SUM('[15]Monthly TD Calc-PY1-3'!BY567:BY567),2)</f>
        <v>4080.45</v>
      </c>
      <c r="H30" s="15">
        <f>+ROUND(SUM('[15]Monthly TD Calc-PY4'!BZ579:BZ579),2)+ROUND(SUM('[15]Monthly TD Calc-PY5'!BZ715:BZ715),2)+ROUND(SUM('[15]Monthly TD Calc-PY1-3'!BZ567:BZ567),2)</f>
        <v>3915.66</v>
      </c>
      <c r="I30" s="54">
        <f>+ROUND(SUM('[15]Monthly TD Calc-PY4'!CA579:CA579),2)+ROUND(SUM('[15]Monthly TD Calc-PY5'!CA715:CA715),2)+ROUND(SUM('[15]Monthly TD Calc-PY1-3'!CA567:CA567),2)</f>
        <v>4397.96</v>
      </c>
      <c r="J30" s="211">
        <f>+ROUND(SUM('[15]Monthly TD Calc-PY4'!CB579:CB579),2)+ROUND(SUM('[15]Monthly TD Calc-PY5'!CB715:CB715),2)+ROUND(SUM('[15]Monthly TD Calc-PY1-3'!CB567:CB567),2)</f>
        <v>4315.28</v>
      </c>
      <c r="K30" s="424">
        <f>+ROUND(SUM('[15]Monthly TD Calc-PY4'!CC579:CC579),2)+ROUND(SUM('[15]Monthly TD Calc-PY5'!CC715:CC715),2)+ROUND(SUM('[15]Monthly TD Calc-PY1-3'!CC567:CC567),2)</f>
        <v>4481.8</v>
      </c>
      <c r="L30" s="417">
        <f>+ROUND(SUM('[15]Monthly TD Calc-PY4'!CD579:CD579),2)+ROUND(SUM('[15]Monthly TD Calc-PY5'!CD715:CD715),2)+ROUND(SUM('[15]Monthly TD Calc-PY1-3'!CD567:CD567),2)</f>
        <v>6602.84</v>
      </c>
      <c r="M30" s="76"/>
      <c r="O30" s="46"/>
      <c r="P30" s="161">
        <f t="shared" si="8"/>
        <v>-11084.64</v>
      </c>
    </row>
    <row r="31" spans="1:16">
      <c r="C31" s="95"/>
      <c r="D31" s="164"/>
      <c r="E31" s="301"/>
      <c r="F31" s="17"/>
      <c r="G31" s="17"/>
      <c r="H31" s="88"/>
      <c r="I31" s="17"/>
      <c r="J31" s="146"/>
      <c r="K31" s="55"/>
      <c r="L31" s="55"/>
      <c r="M31" s="12"/>
    </row>
    <row r="32" spans="1:16" ht="15.75" thickBot="1">
      <c r="A32" s="3" t="s">
        <v>13</v>
      </c>
      <c r="B32" s="3"/>
      <c r="C32" s="316">
        <v>-1928.57</v>
      </c>
      <c r="D32" s="168"/>
      <c r="E32" s="119">
        <f>968.06-0.02</f>
        <v>968.04</v>
      </c>
      <c r="F32" s="119">
        <f>771.83-0.01</f>
        <v>771.82</v>
      </c>
      <c r="G32" s="120">
        <f>564.48-0.01</f>
        <v>564.47</v>
      </c>
      <c r="H32" s="25">
        <f>379.97+0.01</f>
        <v>379.98</v>
      </c>
      <c r="I32" s="109">
        <f>306.27+0.01</f>
        <v>306.27999999999997</v>
      </c>
      <c r="J32" s="150">
        <v>288.97000000000003</v>
      </c>
      <c r="K32" s="141">
        <f>ROUND((SUM(J41:J44)+SUM(J48:J51)+SUM(K35:K38)/2)*K$46,2)</f>
        <v>245.08</v>
      </c>
      <c r="L32" s="127">
        <f>ROUND((SUM(K41:K44)+SUM(K48:K51)+SUM(L35:L38)/2)*L$46,2)</f>
        <v>251.6</v>
      </c>
      <c r="M32" s="79"/>
      <c r="P32" s="161">
        <f t="shared" si="8"/>
        <v>-496.68</v>
      </c>
    </row>
    <row r="33" spans="1:16">
      <c r="C33" s="63"/>
      <c r="D33" s="171"/>
      <c r="E33" s="65"/>
      <c r="F33" s="65"/>
      <c r="G33" s="32"/>
      <c r="H33" s="63"/>
      <c r="I33" s="32"/>
      <c r="J33" s="151"/>
      <c r="K33" s="33"/>
      <c r="L33" s="33"/>
      <c r="M33" s="59"/>
    </row>
    <row r="34" spans="1:16">
      <c r="A34" s="45" t="s">
        <v>46</v>
      </c>
      <c r="C34" s="64"/>
      <c r="D34" s="172"/>
      <c r="E34" s="34"/>
      <c r="F34" s="34"/>
      <c r="G34" s="34"/>
      <c r="H34" s="64"/>
      <c r="I34" s="34"/>
      <c r="J34" s="152"/>
      <c r="K34" s="33"/>
      <c r="L34" s="33"/>
      <c r="M34" s="59"/>
    </row>
    <row r="35" spans="1:16" outlineLevel="1">
      <c r="A35" s="45" t="s">
        <v>22</v>
      </c>
      <c r="C35" s="169">
        <f t="shared" ref="C35:M35" si="9">C27-C15</f>
        <v>50336.240000000013</v>
      </c>
      <c r="D35" s="173">
        <f t="shared" si="9"/>
        <v>0</v>
      </c>
      <c r="E35" s="40">
        <f t="shared" si="9"/>
        <v>-5484.7999999999993</v>
      </c>
      <c r="F35" s="40">
        <f t="shared" si="9"/>
        <v>-14767.300000000001</v>
      </c>
      <c r="G35" s="99">
        <f t="shared" si="9"/>
        <v>-18775.16</v>
      </c>
      <c r="H35" s="39">
        <f t="shared" si="9"/>
        <v>-22681.879999999997</v>
      </c>
      <c r="I35" s="40">
        <f t="shared" si="9"/>
        <v>-10662.94</v>
      </c>
      <c r="J35" s="60">
        <f t="shared" si="9"/>
        <v>-6691.82</v>
      </c>
      <c r="K35" s="110">
        <f t="shared" si="9"/>
        <v>-4105.49</v>
      </c>
      <c r="L35" s="40">
        <f t="shared" si="9"/>
        <v>7161.77</v>
      </c>
      <c r="M35" s="60">
        <f t="shared" si="9"/>
        <v>-35137.35</v>
      </c>
    </row>
    <row r="36" spans="1:16" outlineLevel="1">
      <c r="A36" s="45" t="s">
        <v>91</v>
      </c>
      <c r="C36" s="169">
        <f t="shared" ref="C36:M36" si="10">C28-C16</f>
        <v>50174.86</v>
      </c>
      <c r="D36" s="173">
        <f t="shared" si="10"/>
        <v>0</v>
      </c>
      <c r="E36" s="40">
        <f t="shared" si="10"/>
        <v>-8706.0700000000033</v>
      </c>
      <c r="F36" s="40">
        <f t="shared" si="10"/>
        <v>-16082.77</v>
      </c>
      <c r="G36" s="99">
        <f t="shared" si="10"/>
        <v>-15043.040000000005</v>
      </c>
      <c r="H36" s="39">
        <f t="shared" si="10"/>
        <v>-11724.91</v>
      </c>
      <c r="I36" s="40">
        <f t="shared" si="10"/>
        <v>-2506.5099999999984</v>
      </c>
      <c r="J36" s="60">
        <f t="shared" si="10"/>
        <v>-893.97999999999956</v>
      </c>
      <c r="K36" s="110">
        <f t="shared" si="10"/>
        <v>-5771.5599999999977</v>
      </c>
      <c r="L36" s="40">
        <f t="shared" si="10"/>
        <v>6807.5999999999985</v>
      </c>
      <c r="M36" s="60">
        <f t="shared" si="10"/>
        <v>-44208.97</v>
      </c>
    </row>
    <row r="37" spans="1:16" outlineLevel="1">
      <c r="A37" s="45" t="s">
        <v>92</v>
      </c>
      <c r="C37" s="169">
        <f t="shared" ref="C37:M37" si="11">C29-C17</f>
        <v>41085.959999999992</v>
      </c>
      <c r="D37" s="173">
        <f t="shared" si="11"/>
        <v>0</v>
      </c>
      <c r="E37" s="40">
        <f t="shared" si="11"/>
        <v>-7937.82</v>
      </c>
      <c r="F37" s="40">
        <f t="shared" si="11"/>
        <v>-10639.760000000002</v>
      </c>
      <c r="G37" s="99">
        <f t="shared" si="11"/>
        <v>-7407.3599999999969</v>
      </c>
      <c r="H37" s="39">
        <f t="shared" si="11"/>
        <v>-4058.3999999999978</v>
      </c>
      <c r="I37" s="40">
        <f t="shared" si="11"/>
        <v>-585.47000000000116</v>
      </c>
      <c r="J37" s="60">
        <f t="shared" si="11"/>
        <v>56.840000000000146</v>
      </c>
      <c r="K37" s="110">
        <f t="shared" si="11"/>
        <v>-1451.2000000000007</v>
      </c>
      <c r="L37" s="40">
        <f t="shared" si="11"/>
        <v>1995.6900000000023</v>
      </c>
      <c r="M37" s="60">
        <f t="shared" si="11"/>
        <v>-26385.45</v>
      </c>
    </row>
    <row r="38" spans="1:16" outlineLevel="1">
      <c r="A38" s="45" t="s">
        <v>93</v>
      </c>
      <c r="C38" s="169">
        <f t="shared" ref="C38:M38" si="12">C30-C18</f>
        <v>9521.61</v>
      </c>
      <c r="D38" s="173">
        <f t="shared" si="12"/>
        <v>0</v>
      </c>
      <c r="E38" s="40">
        <f t="shared" si="12"/>
        <v>-5701.2799999999988</v>
      </c>
      <c r="F38" s="40">
        <f t="shared" si="12"/>
        <v>-6366.69</v>
      </c>
      <c r="G38" s="99">
        <f t="shared" si="12"/>
        <v>-5951.2500000000009</v>
      </c>
      <c r="H38" s="39">
        <f t="shared" si="12"/>
        <v>-3365.1900000000005</v>
      </c>
      <c r="I38" s="40">
        <f t="shared" si="12"/>
        <v>16661.32</v>
      </c>
      <c r="J38" s="60">
        <f t="shared" si="12"/>
        <v>-1039.9900000000007</v>
      </c>
      <c r="K38" s="110">
        <f t="shared" si="12"/>
        <v>-1718.9700000000003</v>
      </c>
      <c r="L38" s="40">
        <f t="shared" si="12"/>
        <v>-284.65999999999985</v>
      </c>
      <c r="M38" s="60">
        <f t="shared" si="12"/>
        <v>-7688.38</v>
      </c>
    </row>
    <row r="39" spans="1:16" outlineLevel="1">
      <c r="C39" s="95"/>
      <c r="D39" s="164"/>
      <c r="E39" s="30"/>
      <c r="F39" s="16"/>
      <c r="G39" s="16"/>
      <c r="H39" s="9"/>
      <c r="I39" s="16"/>
      <c r="J39" s="10"/>
      <c r="K39" s="16"/>
      <c r="L39" s="16"/>
      <c r="M39" s="10"/>
    </row>
    <row r="40" spans="1:16" ht="15.75" outlineLevel="1" thickBot="1">
      <c r="A40" s="45" t="s">
        <v>47</v>
      </c>
      <c r="B40" s="363"/>
      <c r="C40" s="95"/>
      <c r="D40" s="164"/>
      <c r="E40" s="16"/>
      <c r="F40" s="16"/>
      <c r="G40" s="16"/>
      <c r="H40" s="9"/>
      <c r="I40" s="16"/>
      <c r="J40" s="10"/>
      <c r="K40" s="16"/>
      <c r="L40" s="16"/>
      <c r="M40" s="10"/>
    </row>
    <row r="41" spans="1:16" outlineLevel="1">
      <c r="A41" s="45" t="s">
        <v>22</v>
      </c>
      <c r="B41" s="274">
        <v>75368.610000000277</v>
      </c>
      <c r="C41" s="169">
        <f t="shared" ref="C41:M41" si="13">+B41+C35+B48</f>
        <v>125704.8500000003</v>
      </c>
      <c r="D41" s="173">
        <f t="shared" si="13"/>
        <v>124648.6300000003</v>
      </c>
      <c r="E41" s="40">
        <f t="shared" si="13"/>
        <v>119163.83000000029</v>
      </c>
      <c r="F41" s="40">
        <f t="shared" si="13"/>
        <v>104936.80000000029</v>
      </c>
      <c r="G41" s="99">
        <f t="shared" si="13"/>
        <v>86639.130000000296</v>
      </c>
      <c r="H41" s="39">
        <f t="shared" si="13"/>
        <v>64359.3300000003</v>
      </c>
      <c r="I41" s="40">
        <f t="shared" si="13"/>
        <v>54012.930000000299</v>
      </c>
      <c r="J41" s="60">
        <f t="shared" si="13"/>
        <v>47574.290000000299</v>
      </c>
      <c r="K41" s="110">
        <f t="shared" si="13"/>
        <v>43681.240000000304</v>
      </c>
      <c r="L41" s="40">
        <f t="shared" si="13"/>
        <v>51033.810000000303</v>
      </c>
      <c r="M41" s="60">
        <f t="shared" si="13"/>
        <v>16094.430000000304</v>
      </c>
    </row>
    <row r="42" spans="1:16" outlineLevel="1">
      <c r="A42" s="45" t="s">
        <v>91</v>
      </c>
      <c r="B42" s="277">
        <v>-14027.680000000044</v>
      </c>
      <c r="C42" s="169">
        <f t="shared" ref="C42:M42" si="14">+B42+C36+B49</f>
        <v>36147.179999999957</v>
      </c>
      <c r="D42" s="173">
        <f t="shared" si="14"/>
        <v>35862.219999999958</v>
      </c>
      <c r="E42" s="40">
        <f t="shared" si="14"/>
        <v>27156.149999999954</v>
      </c>
      <c r="F42" s="40">
        <f t="shared" si="14"/>
        <v>11213.019999999953</v>
      </c>
      <c r="G42" s="99">
        <f t="shared" si="14"/>
        <v>-3748.1700000000515</v>
      </c>
      <c r="H42" s="39">
        <f t="shared" si="14"/>
        <v>-15457.280000000052</v>
      </c>
      <c r="I42" s="40">
        <f t="shared" si="14"/>
        <v>-18003.910000000051</v>
      </c>
      <c r="J42" s="60">
        <f t="shared" si="14"/>
        <v>-18969.350000000049</v>
      </c>
      <c r="K42" s="110">
        <f t="shared" si="14"/>
        <v>-24818.180000000048</v>
      </c>
      <c r="L42" s="40">
        <f t="shared" si="14"/>
        <v>-18102.080000000049</v>
      </c>
      <c r="M42" s="60">
        <f t="shared" si="14"/>
        <v>-62400.770000000048</v>
      </c>
    </row>
    <row r="43" spans="1:16" outlineLevel="1">
      <c r="A43" s="45" t="s">
        <v>92</v>
      </c>
      <c r="B43" s="277">
        <v>19210.180000000029</v>
      </c>
      <c r="C43" s="169">
        <f t="shared" ref="C43:M43" si="15">+B43+C37+B50</f>
        <v>60296.140000000021</v>
      </c>
      <c r="D43" s="173">
        <f t="shared" si="15"/>
        <v>59805.880000000019</v>
      </c>
      <c r="E43" s="40">
        <f t="shared" si="15"/>
        <v>51868.060000000019</v>
      </c>
      <c r="F43" s="40">
        <f t="shared" si="15"/>
        <v>41475.760000000017</v>
      </c>
      <c r="G43" s="99">
        <f t="shared" si="15"/>
        <v>34267.340000000026</v>
      </c>
      <c r="H43" s="39">
        <f t="shared" si="15"/>
        <v>30367.930000000029</v>
      </c>
      <c r="I43" s="40">
        <f t="shared" si="15"/>
        <v>29917.930000000029</v>
      </c>
      <c r="J43" s="60">
        <f t="shared" si="15"/>
        <v>30103.660000000029</v>
      </c>
      <c r="K43" s="110">
        <f t="shared" si="15"/>
        <v>28777.930000000029</v>
      </c>
      <c r="L43" s="40">
        <f t="shared" si="15"/>
        <v>30896.710000000032</v>
      </c>
      <c r="M43" s="60">
        <f t="shared" si="15"/>
        <v>4636.0000000000309</v>
      </c>
    </row>
    <row r="44" spans="1:16" ht="15.75" outlineLevel="1" thickBot="1">
      <c r="A44" s="45" t="s">
        <v>93</v>
      </c>
      <c r="B44" s="275">
        <v>2603.8800000000433</v>
      </c>
      <c r="C44" s="169">
        <f t="shared" ref="C44:M44" si="16">+B44+C38+B51</f>
        <v>12125.490000000043</v>
      </c>
      <c r="D44" s="173">
        <f t="shared" si="16"/>
        <v>12028.360000000044</v>
      </c>
      <c r="E44" s="40">
        <f t="shared" si="16"/>
        <v>6327.0800000000454</v>
      </c>
      <c r="F44" s="40">
        <f t="shared" si="16"/>
        <v>1.0600000000458039</v>
      </c>
      <c r="G44" s="99">
        <f t="shared" si="16"/>
        <v>-5936.6499999999551</v>
      </c>
      <c r="H44" s="39">
        <f t="shared" si="16"/>
        <v>-9314.2399999999561</v>
      </c>
      <c r="I44" s="40">
        <f t="shared" si="16"/>
        <v>7315.1700000000437</v>
      </c>
      <c r="J44" s="60">
        <f t="shared" si="16"/>
        <v>6270.8500000000431</v>
      </c>
      <c r="K44" s="110">
        <f t="shared" si="16"/>
        <v>4580.2100000000428</v>
      </c>
      <c r="L44" s="40">
        <f t="shared" si="16"/>
        <v>4318.2400000000425</v>
      </c>
      <c r="M44" s="60">
        <f t="shared" si="16"/>
        <v>-3351.5299999999575</v>
      </c>
    </row>
    <row r="45" spans="1:16" outlineLevel="1">
      <c r="C45" s="95"/>
      <c r="D45" s="164"/>
      <c r="E45" s="16"/>
      <c r="F45" s="16"/>
      <c r="G45" s="16"/>
      <c r="H45" s="9"/>
      <c r="I45" s="16"/>
      <c r="J45" s="10"/>
      <c r="K45" s="16"/>
      <c r="L45" s="16"/>
      <c r="M45" s="10"/>
    </row>
    <row r="46" spans="1:16" outlineLevel="1">
      <c r="A46" s="38" t="s">
        <v>104</v>
      </c>
      <c r="B46" s="38"/>
      <c r="C46" s="97"/>
      <c r="D46" s="174"/>
      <c r="E46" s="278">
        <f>+'PCR Cycle 3'!E45</f>
        <v>4.4318500000000002E-3</v>
      </c>
      <c r="F46" s="278">
        <f>+'PCR Cycle 3'!F45</f>
        <v>4.2511800000000002E-3</v>
      </c>
      <c r="G46" s="278">
        <f>+'PCR Cycle 3'!G45</f>
        <v>4.1871699999999996E-3</v>
      </c>
      <c r="H46" s="279">
        <f>+'PCR Cycle 3'!H45</f>
        <v>4.1815100000000003E-3</v>
      </c>
      <c r="I46" s="278">
        <f>+'PCR Cycle 3'!I45</f>
        <v>4.2662200000000003E-3</v>
      </c>
      <c r="J46" s="280">
        <f>+'PCR Cycle 3'!J45</f>
        <v>4.1719399999999998E-3</v>
      </c>
      <c r="K46" s="80">
        <f>J46</f>
        <v>4.1719399999999998E-3</v>
      </c>
      <c r="L46" s="80">
        <f>J46</f>
        <v>4.1719399999999998E-3</v>
      </c>
      <c r="M46" s="82"/>
    </row>
    <row r="47" spans="1:16">
      <c r="A47" s="38" t="s">
        <v>31</v>
      </c>
      <c r="B47" s="38"/>
      <c r="C47" s="509"/>
      <c r="D47" s="175"/>
      <c r="E47" s="80"/>
      <c r="F47" s="80"/>
      <c r="G47" s="80"/>
      <c r="H47" s="81"/>
      <c r="I47" s="80"/>
      <c r="J47" s="82"/>
      <c r="K47" s="80"/>
      <c r="L47" s="80"/>
      <c r="M47" s="82"/>
    </row>
    <row r="48" spans="1:16">
      <c r="A48" s="45" t="s">
        <v>22</v>
      </c>
      <c r="C48" s="317">
        <v>-1056.22</v>
      </c>
      <c r="D48" s="326"/>
      <c r="E48" s="40">
        <f t="shared" ref="E48:M48" si="17">ROUND((D41+D48+E35/2)*E$46,2)</f>
        <v>540.27</v>
      </c>
      <c r="F48" s="40">
        <f t="shared" si="17"/>
        <v>477.49</v>
      </c>
      <c r="G48" s="99">
        <f t="shared" si="17"/>
        <v>402.08</v>
      </c>
      <c r="H48" s="39">
        <f t="shared" si="17"/>
        <v>316.54000000000002</v>
      </c>
      <c r="I48" s="110">
        <f t="shared" si="17"/>
        <v>253.18</v>
      </c>
      <c r="J48" s="60">
        <f t="shared" si="17"/>
        <v>212.44</v>
      </c>
      <c r="K48" s="142">
        <f t="shared" si="17"/>
        <v>190.8</v>
      </c>
      <c r="L48" s="99">
        <f t="shared" si="17"/>
        <v>197.97</v>
      </c>
      <c r="M48" s="60">
        <f t="shared" si="17"/>
        <v>0</v>
      </c>
      <c r="P48" s="161">
        <f t="shared" ref="P48:P51" si="18">-SUM(K48:M48)</f>
        <v>-388.77</v>
      </c>
    </row>
    <row r="49" spans="1:18">
      <c r="A49" s="45" t="s">
        <v>91</v>
      </c>
      <c r="C49" s="317">
        <v>-284.96000000000004</v>
      </c>
      <c r="D49" s="326"/>
      <c r="E49" s="40">
        <f t="shared" ref="E49:L49" si="19">ROUND((D42+D49+E36/2)*E$46,2)</f>
        <v>139.63999999999999</v>
      </c>
      <c r="F49" s="40">
        <f t="shared" si="19"/>
        <v>81.849999999999994</v>
      </c>
      <c r="G49" s="99">
        <f t="shared" si="19"/>
        <v>15.8</v>
      </c>
      <c r="H49" s="39">
        <f t="shared" si="19"/>
        <v>-40.119999999999997</v>
      </c>
      <c r="I49" s="110">
        <f t="shared" si="19"/>
        <v>-71.459999999999994</v>
      </c>
      <c r="J49" s="60">
        <f t="shared" si="19"/>
        <v>-77.27</v>
      </c>
      <c r="K49" s="142">
        <f t="shared" si="19"/>
        <v>-91.5</v>
      </c>
      <c r="L49" s="99">
        <f t="shared" si="19"/>
        <v>-89.72</v>
      </c>
      <c r="M49" s="60"/>
      <c r="P49" s="161">
        <f t="shared" si="18"/>
        <v>181.22</v>
      </c>
    </row>
    <row r="50" spans="1:18">
      <c r="A50" s="45" t="s">
        <v>92</v>
      </c>
      <c r="C50" s="317">
        <v>-490.26</v>
      </c>
      <c r="D50" s="326"/>
      <c r="E50" s="40">
        <f t="shared" ref="E50:L50" si="20">ROUND((D43+D50+E37/2)*E$46,2)</f>
        <v>247.46</v>
      </c>
      <c r="F50" s="40">
        <f t="shared" si="20"/>
        <v>198.94</v>
      </c>
      <c r="G50" s="99">
        <f t="shared" si="20"/>
        <v>158.99</v>
      </c>
      <c r="H50" s="39">
        <f t="shared" si="20"/>
        <v>135.47</v>
      </c>
      <c r="I50" s="110">
        <f t="shared" si="20"/>
        <v>128.88999999999999</v>
      </c>
      <c r="J50" s="60">
        <f t="shared" si="20"/>
        <v>125.47</v>
      </c>
      <c r="K50" s="142">
        <f t="shared" si="20"/>
        <v>123.09</v>
      </c>
      <c r="L50" s="99">
        <f t="shared" si="20"/>
        <v>124.74</v>
      </c>
      <c r="M50" s="60"/>
      <c r="P50" s="161">
        <f t="shared" si="18"/>
        <v>-247.82999999999998</v>
      </c>
    </row>
    <row r="51" spans="1:18" ht="15.75" thickBot="1">
      <c r="A51" s="45" t="s">
        <v>93</v>
      </c>
      <c r="C51" s="317">
        <v>-97.13</v>
      </c>
      <c r="D51" s="326"/>
      <c r="E51" s="40">
        <f t="shared" ref="E51:L51" si="21">ROUND((D44+D51+E38/2)*E$46,2)</f>
        <v>40.67</v>
      </c>
      <c r="F51" s="40">
        <f t="shared" si="21"/>
        <v>13.54</v>
      </c>
      <c r="G51" s="99">
        <f t="shared" si="21"/>
        <v>-12.4</v>
      </c>
      <c r="H51" s="39">
        <f t="shared" si="21"/>
        <v>-31.91</v>
      </c>
      <c r="I51" s="110">
        <f t="shared" si="21"/>
        <v>-4.33</v>
      </c>
      <c r="J51" s="60">
        <f t="shared" si="21"/>
        <v>28.33</v>
      </c>
      <c r="K51" s="142">
        <f t="shared" si="21"/>
        <v>22.69</v>
      </c>
      <c r="L51" s="99">
        <f t="shared" si="21"/>
        <v>18.61</v>
      </c>
      <c r="M51" s="60">
        <f>ROUND((L44+L51+M38/2)*M$46,2)</f>
        <v>0</v>
      </c>
      <c r="P51" s="161">
        <f t="shared" si="18"/>
        <v>-41.3</v>
      </c>
    </row>
    <row r="52" spans="1:18" ht="16.5" thickTop="1" thickBot="1">
      <c r="A52" s="53" t="s">
        <v>20</v>
      </c>
      <c r="B52" s="53"/>
      <c r="C52" s="170">
        <v>0</v>
      </c>
      <c r="D52" s="176"/>
      <c r="E52" s="41">
        <f t="shared" ref="E52:M52" si="22">SUM(E48:E51)+SUM(E41:E44)-E55</f>
        <v>0</v>
      </c>
      <c r="F52" s="41">
        <f t="shared" si="22"/>
        <v>0</v>
      </c>
      <c r="G52" s="49">
        <f t="shared" si="22"/>
        <v>0</v>
      </c>
      <c r="H52" s="50">
        <f t="shared" si="22"/>
        <v>0</v>
      </c>
      <c r="I52" s="41">
        <f t="shared" si="22"/>
        <v>0</v>
      </c>
      <c r="J52" s="61">
        <f t="shared" si="22"/>
        <v>0</v>
      </c>
      <c r="K52" s="143">
        <f t="shared" si="22"/>
        <v>0</v>
      </c>
      <c r="L52" s="49">
        <f t="shared" si="22"/>
        <v>0</v>
      </c>
      <c r="M52" s="61">
        <f t="shared" si="22"/>
        <v>0</v>
      </c>
    </row>
    <row r="53" spans="1:18" ht="16.5" thickTop="1" thickBot="1">
      <c r="A53" s="53" t="s">
        <v>21</v>
      </c>
      <c r="B53" s="53"/>
      <c r="C53" s="170">
        <v>0</v>
      </c>
      <c r="D53" s="176"/>
      <c r="E53" s="41">
        <f t="shared" ref="E53:M53" si="23">SUM(E48:E51)-E32</f>
        <v>0</v>
      </c>
      <c r="F53" s="41">
        <f t="shared" si="23"/>
        <v>0</v>
      </c>
      <c r="G53" s="49">
        <f t="shared" si="23"/>
        <v>0</v>
      </c>
      <c r="H53" s="50">
        <f t="shared" si="23"/>
        <v>0</v>
      </c>
      <c r="I53" s="41">
        <f t="shared" si="23"/>
        <v>0</v>
      </c>
      <c r="J53" s="61">
        <f t="shared" si="23"/>
        <v>0</v>
      </c>
      <c r="K53" s="144">
        <f>SUM(K48:K51)-K32</f>
        <v>0</v>
      </c>
      <c r="L53" s="41">
        <f t="shared" si="23"/>
        <v>0</v>
      </c>
      <c r="M53" s="41">
        <f t="shared" si="23"/>
        <v>0</v>
      </c>
      <c r="Q53" s="476"/>
      <c r="R53" s="476"/>
    </row>
    <row r="54" spans="1:18" ht="16.5" thickTop="1" thickBot="1">
      <c r="C54" s="95"/>
      <c r="D54" s="164"/>
      <c r="E54" s="16"/>
      <c r="F54" s="16"/>
      <c r="G54" s="16"/>
      <c r="H54" s="9"/>
      <c r="I54" s="16"/>
      <c r="J54" s="10"/>
      <c r="K54" s="16"/>
      <c r="L54" s="16"/>
      <c r="M54" s="10"/>
      <c r="Q54" s="476"/>
      <c r="R54" s="476"/>
    </row>
    <row r="55" spans="1:18" ht="15.75" thickBot="1">
      <c r="A55" s="45" t="s">
        <v>30</v>
      </c>
      <c r="B55" s="107">
        <f>SUM(B41:B44)</f>
        <v>83154.990000000311</v>
      </c>
      <c r="C55" s="169">
        <f t="shared" ref="C55:M55" si="24">(C12-SUM(C15:C18))+SUM(C48:C51)+B55</f>
        <v>232345.09000000032</v>
      </c>
      <c r="D55" s="173">
        <f t="shared" si="24"/>
        <v>232345.09000000032</v>
      </c>
      <c r="E55" s="40">
        <f t="shared" si="24"/>
        <v>205483.16000000032</v>
      </c>
      <c r="F55" s="40">
        <f t="shared" si="24"/>
        <v>158398.46000000031</v>
      </c>
      <c r="G55" s="99">
        <f t="shared" si="24"/>
        <v>111786.1200000003</v>
      </c>
      <c r="H55" s="39">
        <f t="shared" si="24"/>
        <v>70335.720000000321</v>
      </c>
      <c r="I55" s="40">
        <f t="shared" si="24"/>
        <v>73548.400000000329</v>
      </c>
      <c r="J55" s="60">
        <f t="shared" si="24"/>
        <v>65268.420000000333</v>
      </c>
      <c r="K55" s="142">
        <f t="shared" si="24"/>
        <v>52466.280000000348</v>
      </c>
      <c r="L55" s="99">
        <f t="shared" si="24"/>
        <v>68398.280000000348</v>
      </c>
      <c r="M55" s="60">
        <f t="shared" si="24"/>
        <v>-45021.869999999661</v>
      </c>
      <c r="Q55" s="476"/>
      <c r="R55" s="476"/>
    </row>
    <row r="56" spans="1:18">
      <c r="A56" s="45" t="s">
        <v>10</v>
      </c>
      <c r="C56" s="108"/>
      <c r="D56" s="177"/>
      <c r="E56" s="16"/>
      <c r="F56" s="16"/>
      <c r="G56" s="16"/>
      <c r="H56" s="9"/>
      <c r="I56" s="16"/>
      <c r="J56" s="10"/>
      <c r="K56" s="16"/>
      <c r="L56" s="16"/>
      <c r="M56" s="10"/>
      <c r="Q56" s="476"/>
      <c r="R56" s="476"/>
    </row>
    <row r="57" spans="1:18" ht="15.75" thickBot="1">
      <c r="A57" s="36"/>
      <c r="B57" s="36"/>
      <c r="C57" s="129"/>
      <c r="D57" s="178"/>
      <c r="E57" s="43"/>
      <c r="F57" s="43"/>
      <c r="G57" s="43"/>
      <c r="H57" s="42"/>
      <c r="I57" s="43"/>
      <c r="J57" s="44"/>
      <c r="K57" s="43"/>
      <c r="L57" s="43"/>
      <c r="M57" s="44"/>
      <c r="Q57" s="476"/>
      <c r="R57" s="476"/>
    </row>
    <row r="58" spans="1:18">
      <c r="Q58" s="476"/>
      <c r="R58" s="476"/>
    </row>
    <row r="59" spans="1:18">
      <c r="A59" s="68" t="s">
        <v>9</v>
      </c>
      <c r="B59" s="68"/>
      <c r="C59" s="68"/>
      <c r="D59" s="68"/>
      <c r="Q59" s="476"/>
      <c r="R59" s="476"/>
    </row>
    <row r="60" spans="1:18" ht="28.9" customHeight="1">
      <c r="A60" s="515" t="s">
        <v>210</v>
      </c>
      <c r="B60" s="515"/>
      <c r="C60" s="515"/>
      <c r="D60" s="515"/>
      <c r="E60" s="515"/>
      <c r="F60" s="515"/>
      <c r="G60" s="515"/>
      <c r="H60" s="515"/>
      <c r="I60" s="515"/>
      <c r="J60" s="515"/>
      <c r="K60" s="496"/>
      <c r="L60" s="496"/>
      <c r="M60" s="196"/>
    </row>
    <row r="61" spans="1:18" ht="30.6" customHeight="1">
      <c r="A61" s="533" t="s">
        <v>236</v>
      </c>
      <c r="B61" s="533"/>
      <c r="C61" s="533"/>
      <c r="D61" s="533"/>
      <c r="E61" s="533"/>
      <c r="F61" s="533"/>
      <c r="G61" s="533"/>
      <c r="H61" s="533"/>
      <c r="I61" s="533"/>
      <c r="J61" s="533"/>
      <c r="K61" s="533"/>
      <c r="L61" s="533"/>
      <c r="M61" s="196"/>
    </row>
    <row r="62" spans="1:18" ht="33.75" customHeight="1">
      <c r="A62" s="515" t="s">
        <v>211</v>
      </c>
      <c r="B62" s="515"/>
      <c r="C62" s="515"/>
      <c r="D62" s="515"/>
      <c r="E62" s="515"/>
      <c r="F62" s="515"/>
      <c r="G62" s="515"/>
      <c r="H62" s="515"/>
      <c r="I62" s="515"/>
      <c r="J62" s="515"/>
      <c r="K62" s="496"/>
      <c r="L62" s="496"/>
      <c r="M62" s="196"/>
    </row>
    <row r="63" spans="1:18">
      <c r="A63" s="515" t="s">
        <v>190</v>
      </c>
      <c r="B63" s="515"/>
      <c r="C63" s="515"/>
      <c r="D63" s="515"/>
      <c r="E63" s="515"/>
      <c r="F63" s="515"/>
      <c r="G63" s="515"/>
      <c r="H63" s="515"/>
      <c r="I63" s="515"/>
      <c r="J63" s="515"/>
      <c r="K63" s="363"/>
      <c r="L63" s="363"/>
    </row>
    <row r="64" spans="1:18">
      <c r="A64" s="383" t="s">
        <v>240</v>
      </c>
      <c r="B64" s="383"/>
      <c r="C64" s="383"/>
      <c r="D64" s="383"/>
      <c r="E64" s="363"/>
      <c r="F64" s="363"/>
      <c r="G64" s="363"/>
      <c r="H64" s="363"/>
      <c r="I64" s="363"/>
      <c r="J64" s="363"/>
      <c r="K64" s="363"/>
      <c r="L64" s="363"/>
    </row>
    <row r="65" spans="1:12">
      <c r="A65" s="383" t="s">
        <v>60</v>
      </c>
      <c r="B65" s="383"/>
      <c r="C65" s="383"/>
      <c r="D65" s="383"/>
      <c r="E65" s="363"/>
      <c r="F65" s="363"/>
      <c r="G65" s="363"/>
      <c r="H65" s="363"/>
      <c r="I65" s="363"/>
      <c r="J65" s="363"/>
      <c r="K65" s="363"/>
      <c r="L65" s="363"/>
    </row>
    <row r="66" spans="1:12">
      <c r="A66" s="526"/>
      <c r="B66" s="527"/>
      <c r="C66" s="527"/>
      <c r="D66" s="527"/>
      <c r="E66" s="527"/>
      <c r="F66" s="527"/>
      <c r="G66" s="527"/>
      <c r="H66" s="528"/>
      <c r="I66" s="528"/>
      <c r="J66" s="528"/>
      <c r="K66" s="528"/>
      <c r="L66" s="363"/>
    </row>
    <row r="67" spans="1:12">
      <c r="A67" s="527"/>
      <c r="B67" s="527"/>
      <c r="C67" s="527"/>
      <c r="D67" s="527"/>
      <c r="E67" s="527"/>
      <c r="F67" s="527"/>
      <c r="G67" s="527"/>
      <c r="H67" s="528"/>
      <c r="I67" s="528"/>
      <c r="J67" s="528"/>
      <c r="K67" s="528"/>
      <c r="L67" s="363"/>
    </row>
    <row r="68" spans="1:12">
      <c r="A68" s="363"/>
      <c r="B68" s="363"/>
      <c r="C68" s="363"/>
      <c r="D68" s="363"/>
      <c r="E68" s="363"/>
      <c r="F68" s="363"/>
      <c r="G68" s="363"/>
      <c r="H68" s="363"/>
      <c r="I68" s="363"/>
      <c r="J68" s="363"/>
      <c r="K68" s="363"/>
      <c r="L68" s="363"/>
    </row>
  </sheetData>
  <mergeCells count="8">
    <mergeCell ref="A66:K67"/>
    <mergeCell ref="A63:J63"/>
    <mergeCell ref="A62:J62"/>
    <mergeCell ref="E10:G10"/>
    <mergeCell ref="H10:J10"/>
    <mergeCell ref="K10:M10"/>
    <mergeCell ref="A60:J60"/>
    <mergeCell ref="A61:L61"/>
  </mergeCells>
  <pageMargins left="0.2" right="0.2" top="0.75" bottom="0.25" header="0.3" footer="0.3"/>
  <pageSetup scale="49" orientation="landscape" r:id="rId1"/>
  <headerFooter>
    <oddHeader>&amp;C&amp;F &amp;A&amp;R&amp;"Arial"&amp;10&amp;K000000CONFIDENTIAL</oddHeader>
    <oddFooter xml:space="preserve">&amp;R_x000D_&amp;1#&amp;"Calibri"&amp;10&amp;KA80000 Restricted – Sensitive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3B6732D9B8AC45B92AC23C294CFAF4" ma:contentTypeVersion="14" ma:contentTypeDescription="Create a new document." ma:contentTypeScope="" ma:versionID="b9d5140cd17dae9c7b2a46ebb159fbff">
  <xsd:schema xmlns:xsd="http://www.w3.org/2001/XMLSchema" xmlns:xs="http://www.w3.org/2001/XMLSchema" xmlns:p="http://schemas.microsoft.com/office/2006/metadata/properties" xmlns:ns1="http://schemas.microsoft.com/sharepoint/v3" xmlns:ns2="308be8b2-5e07-4cfb-9cc8-18c24700adb9" xmlns:ns3="ac490600-4b8a-4089-8db0-d3461bbed9a9" targetNamespace="http://schemas.microsoft.com/office/2006/metadata/properties" ma:root="true" ma:fieldsID="5e52bd7649cdcd385828f50493d81f6e" ns1:_="" ns2:_="" ns3:_="">
    <xsd:import namespace="http://schemas.microsoft.com/sharepoint/v3"/>
    <xsd:import namespace="308be8b2-5e07-4cfb-9cc8-18c24700adb9"/>
    <xsd:import namespace="ac490600-4b8a-4089-8db0-d3461bbed9a9"/>
    <xsd:element name="properties">
      <xsd:complexType>
        <xsd:sequence>
          <xsd:element name="documentManagement">
            <xsd:complexType>
              <xsd:all>
                <xsd:element ref="ns2:TaxCatchAll" minOccurs="0"/>
                <xsd:element ref="ns2:TaxCatchAllLabel" minOccurs="0"/>
                <xsd:element ref="ns1:_ip_UnifiedCompliancePolicyUIAction" minOccurs="0"/>
                <xsd:element ref="ns3:MediaServiceGenerationTime" minOccurs="0"/>
                <xsd:element ref="ns3:MediaServiceEventHashCode" minOccurs="0"/>
                <xsd:element ref="ns3:MediaLengthInSeconds" minOccurs="0"/>
                <xsd:element ref="ns3:lcf76f155ced4ddcb4097134ff3c332f" minOccurs="0"/>
                <xsd:element ref="ns3:MediaServiceSearchProperties" minOccurs="0"/>
                <xsd:element ref="ns3:MediaServiceDateTaken" minOccurs="0"/>
                <xsd:element ref="ns3:MediaServiceOCR" minOccurs="0"/>
                <xsd:element ref="ns3:MediaServiceFastMetadata" minOccurs="0"/>
                <xsd:element ref="ns3:MediaServiceMetadata" minOccurs="0"/>
                <xsd:element ref="ns3:MediaServiceObjectDetectorVersions" minOccurs="0"/>
                <xsd:element ref="ns1:_ip_UnifiedCompliancePolicy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UIAction" ma:index="10" nillable="true" ma:displayName="Unified Compliance Policy UI Action" ma:hidden="true" ma:internalName="_ip_UnifiedCompliancePolicyUIAction">
      <xsd:simpleType>
        <xsd:restriction base="dms:Text"/>
      </xsd:simpleType>
    </xsd:element>
    <xsd:element name="_ip_UnifiedCompliancePolicyProperties" ma:index="22" nillable="true" ma:displayName="Unified Compliance Policy Properties" ma:hidden="true" ma:internalName="_ip_UnifiedCompliancePolicyPropertie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8be8b2-5e07-4cfb-9cc8-18c24700adb9"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700ed5c-b17b-44a6-a19c-5d7c9e773f44}" ma:internalName="TaxCatchAll" ma:showField="CatchAllData" ma:web="854f6eb9-76cf-4368-a46f-84f4be2bef9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700ed5c-b17b-44a6-a19c-5d7c9e773f44}" ma:internalName="TaxCatchAllLabel" ma:readOnly="true" ma:showField="CatchAllDataLabel" ma:web="854f6eb9-76cf-4368-a46f-84f4be2bef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490600-4b8a-4089-8db0-d3461bbed9a9" elementFormDefault="qualified">
    <xsd:import namespace="http://schemas.microsoft.com/office/2006/documentManagement/types"/>
    <xsd:import namespace="http://schemas.microsoft.com/office/infopath/2007/PartnerControls"/>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ede806c-d2cf-4c46-a211-32d1573fcf03" ma:termSetId="09814cd3-568e-fe90-9814-8d621ff8fb84" ma:anchorId="fba54fb3-c3e1-fe81-a776-ca4b69148c4d" ma:open="true" ma:isKeyword="false">
      <xsd:complexType>
        <xsd:sequence>
          <xsd:element ref="pc:Terms" minOccurs="0" maxOccurs="1"/>
        </xsd:sequence>
      </xsd:complex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TaxCatchAll xmlns="308be8b2-5e07-4cfb-9cc8-18c24700adb9" xsi:nil="true"/>
    <lcf76f155ced4ddcb4097134ff3c332f xmlns="ac490600-4b8a-4089-8db0-d3461bbed9a9">
      <Terms xmlns="http://schemas.microsoft.com/office/infopath/2007/PartnerControls"/>
    </lcf76f155ced4ddcb4097134ff3c332f>
  </documentManagement>
</p:properties>
</file>

<file path=customXml/item3.xml><?xml version="1.0" encoding="utf-8"?>
<?mso-contentType ?>
<SharedContentType xmlns="Microsoft.SharePoint.Taxonomy.ContentTypeSync" SourceId="1ede806c-d2cf-4c46-a211-32d1573fcf0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402AE7-4438-4967-8FB6-57847663D4BA}"/>
</file>

<file path=customXml/itemProps2.xml><?xml version="1.0" encoding="utf-8"?>
<ds:datastoreItem xmlns:ds="http://schemas.openxmlformats.org/officeDocument/2006/customXml" ds:itemID="{BBE680F6-EEBC-41A4-AEB5-0B773B5EACA2}">
  <ds:schemaRefs>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http://www.w3.org/XML/1998/namespace"/>
    <ds:schemaRef ds:uri="9bb15880-a89a-4599-bc05-3c1ac81ecb24"/>
    <ds:schemaRef ds:uri="e671dda1-c4dd-4158-a073-4aef9b50df6e"/>
    <ds:schemaRef ds:uri="308be8b2-5e07-4cfb-9cc8-18c24700adb9"/>
    <ds:schemaRef ds:uri="http://schemas.microsoft.com/sharepoint/v3"/>
  </ds:schemaRefs>
</ds:datastoreItem>
</file>

<file path=customXml/itemProps3.xml><?xml version="1.0" encoding="utf-8"?>
<ds:datastoreItem xmlns:ds="http://schemas.openxmlformats.org/officeDocument/2006/customXml" ds:itemID="{F59CD5C7-5C7D-48A1-82F3-738AF4C95489}">
  <ds:schemaRefs>
    <ds:schemaRef ds:uri="Microsoft.SharePoint.Taxonomy.ContentTypeSync"/>
  </ds:schemaRefs>
</ds:datastoreItem>
</file>

<file path=customXml/itemProps4.xml><?xml version="1.0" encoding="utf-8"?>
<ds:datastoreItem xmlns:ds="http://schemas.openxmlformats.org/officeDocument/2006/customXml" ds:itemID="{4FE36353-2D23-4413-BFF3-128FB6002D9C}">
  <ds:schemaRefs>
    <ds:schemaRef ds:uri="http://schemas.microsoft.com/sharepoint/v3/contenttype/forms"/>
  </ds:schemaRefs>
</ds:datastoreItem>
</file>

<file path=docMetadata/LabelInfo.xml><?xml version="1.0" encoding="utf-8"?>
<clbl:labelList xmlns:clbl="http://schemas.microsoft.com/office/2020/mipLabelMetadata">
  <clbl:label id="{c4ea03cb-2792-4bbc-b221-0721aa9d3290}" enabled="1" method="Privileged" siteId="{9ef58ab0-3510-4d99-8d3e-3c9e02ebab7f}"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Index Table of Contents</vt:lpstr>
      <vt:lpstr>Tariff Tables</vt:lpstr>
      <vt:lpstr>DSIM Cycle Tables</vt:lpstr>
      <vt:lpstr>PPC Cycle 4</vt:lpstr>
      <vt:lpstr>PCR Cycle 3</vt:lpstr>
      <vt:lpstr>PCR Cycle 4</vt:lpstr>
      <vt:lpstr>PTD Cycle 3</vt:lpstr>
      <vt:lpstr>PTD Cycle 4</vt:lpstr>
      <vt:lpstr>TDR Cycle 3</vt:lpstr>
      <vt:lpstr>TDR Cycle 4</vt:lpstr>
      <vt:lpstr>EO Cycle 3</vt:lpstr>
      <vt:lpstr>EO Cycle 4</vt:lpstr>
      <vt:lpstr>EOR Cycle 3</vt:lpstr>
      <vt:lpstr>OA Cycle 3</vt:lpstr>
      <vt:lpstr>OAR Cycle 3</vt:lpstr>
      <vt:lpstr>OAR Cycle 4</vt:lpstr>
      <vt:lpstr>'PCR Cycle 3'!Print_Area</vt:lpstr>
      <vt:lpstr>'PCR Cycle 4'!Print_Area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Shauna Dempsey</cp:lastModifiedBy>
  <cp:lastPrinted>2019-05-23T21:26:27Z</cp:lastPrinted>
  <dcterms:created xsi:type="dcterms:W3CDTF">2013-08-12T19:20:10Z</dcterms:created>
  <dcterms:modified xsi:type="dcterms:W3CDTF">2026-06-01T17:13:47Z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0x010100683B6732D9B8AC45B92AC23C294CFAF4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2022-11-08T16:29:14Z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636e1bc7-477d-40da-aa64-7b585cb78bc9</vt:lpwstr>
  </property>
  <property fmtid="{D5CDD505-2E9C-101B-9397-08002B2CF9AE}" pid="11" name="MSIP_Label_d275ac46-98b9-4d64-949f-e82ee8dc823c_ContentBits">
    <vt:lpwstr>3</vt:lpwstr>
  </property>
  <property fmtid="{D5CDD505-2E9C-101B-9397-08002B2CF9AE}" pid="12" name="Order">
    <vt:r8>8544200</vt:r8>
  </property>
  <property fmtid="{D5CDD505-2E9C-101B-9397-08002B2CF9AE}" pid="13" name="MediaServiceImageTags">
    <vt:lpwstr/>
  </property>
  <property fmtid="{D5CDD505-2E9C-101B-9397-08002B2CF9AE}" pid="14" name="b41baa0b2b8740c38c240084c3a91d4c">
    <vt:lpwstr/>
  </property>
  <property fmtid="{D5CDD505-2E9C-101B-9397-08002B2CF9AE}" pid="15" name="Record_x0020_Class">
    <vt:lpwstr/>
  </property>
  <property fmtid="{D5CDD505-2E9C-101B-9397-08002B2CF9AE}" pid="16" name="Record Class">
    <vt:lpwstr/>
  </property>
</Properties>
</file>