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N:\RESRAM\Rate Filings\September 2026\"/>
    </mc:Choice>
  </mc:AlternateContent>
  <xr:revisionPtr revIDLastSave="0" documentId="13_ncr:1_{1600FC10-0528-4967-84B7-BF2DC1AA3D52}" xr6:coauthVersionLast="47" xr6:coauthVersionMax="47" xr10:uidLastSave="{00000000-0000-0000-0000-000000000000}"/>
  <bookViews>
    <workbookView xWindow="-120" yWindow="-120" windowWidth="29040" windowHeight="15720" xr2:uid="{2709060D-9C2E-4306-84D9-78395BB6CFFD}"/>
  </bookViews>
  <sheets>
    <sheet name="Monthly Cost Tracker 6" sheetId="63" r:id="rId1"/>
    <sheet name="Monthly Cost Tracker 7" sheetId="62" r:id="rId2"/>
    <sheet name="Monthly Cost Tracker 8" sheetId="67" r:id="rId3"/>
    <sheet name="True-Up" sheetId="32" r:id="rId4"/>
    <sheet name="Rate Schedule" sheetId="2" r:id="rId5"/>
    <sheet name="RRR" sheetId="9" r:id="rId6"/>
    <sheet name="ER-2024-0319" sheetId="84" r:id="rId7"/>
    <sheet name="SRP" sheetId="10" r:id="rId8"/>
    <sheet name="WACC" sheetId="86" r:id="rId9"/>
    <sheet name="Rate Base" sheetId="48" r:id="rId10"/>
    <sheet name="Aug 25 Int" sheetId="68" r:id="rId11"/>
    <sheet name="Sept 25 Int" sheetId="69" r:id="rId12"/>
    <sheet name="Oct 25 Int" sheetId="70" r:id="rId13"/>
    <sheet name="Nov 25 Int" sheetId="71" r:id="rId14"/>
    <sheet name="Dec 25 Int" sheetId="72" r:id="rId15"/>
    <sheet name="Jan 26 Int" sheetId="73" r:id="rId16"/>
    <sheet name="Feb 26 Int" sheetId="74" r:id="rId17"/>
    <sheet name="Mar 26 Int" sheetId="75" r:id="rId18"/>
    <sheet name="Apr 26 Int" sheetId="76" r:id="rId19"/>
    <sheet name="May 26 Int" sheetId="77" r:id="rId20"/>
    <sheet name="Jun 26 Int" sheetId="78" r:id="rId21"/>
    <sheet name="Jul 26 Int" sheetId="79" r:id="rId22"/>
  </sheets>
  <definedNames>
    <definedName name="\a">#N/A</definedName>
    <definedName name="\b">#N/A</definedName>
    <definedName name="\i">#N/A</definedName>
    <definedName name="\p" localSheetId="6">#REF!</definedName>
    <definedName name="\p" localSheetId="0">#REF!</definedName>
    <definedName name="\p" localSheetId="1">#REF!</definedName>
    <definedName name="\p" localSheetId="2">#REF!</definedName>
    <definedName name="\p" localSheetId="9">#REF!</definedName>
    <definedName name="\p">#REF!</definedName>
    <definedName name="\r">#N/A</definedName>
    <definedName name="\t">#N/A</definedName>
    <definedName name="__MISO_Hrly_Spec_Gross_Purchases_01" localSheetId="8" hidden="1">#REF!</definedName>
    <definedName name="__MISO_Hrly_Spec_Gross_Purchases_01" hidden="1">#REF!</definedName>
    <definedName name="__MISO_Hrly_Spec_Gross_Sales_01" localSheetId="8" hidden="1">#REF!</definedName>
    <definedName name="__MISO_Hrly_Spec_Gross_Sales_01" hidden="1">#REF!</definedName>
    <definedName name="__ORIG_COST_TRAN_MW_AVG_ORG_PURCH_PRICE_for_01" localSheetId="8" hidden="1">#REF!</definedName>
    <definedName name="__ORIG_COST_TRAN_MW_AVG_ORG_PURCH_PRICE_for_01" hidden="1">#REF!</definedName>
    <definedName name="__ORIG_COST_TRAN_MW_AVG_ORG_PURCH_PRICE_for_02" localSheetId="8" hidden="1">#REF!</definedName>
    <definedName name="__ORIG_COST_TRAN_MW_AVG_ORG_PURCH_PRICE_for_02" hidden="1">#REF!</definedName>
    <definedName name="__ORIG_COST_TRAN_MW_AVG_ORG_PURCH_PRICE_for_MISO_01" localSheetId="8" hidden="1">#REF!</definedName>
    <definedName name="__ORIG_COST_TRAN_MW_AVG_ORG_PURCH_PRICE_for_MISO_01" hidden="1">#REF!</definedName>
    <definedName name="__REVENUE_TRAN_MW_AVG_ORG_SALES_PRICE_for_April_02" localSheetId="8" hidden="1">#REF!</definedName>
    <definedName name="__REVENUE_TRAN_MW_AVG_ORG_SALES_PRICE_for_April_02" hidden="1">#REF!</definedName>
    <definedName name="__REVENUE_TRAN_MW_AVG_ORG_SALES_PRICE_for_MISO_01" localSheetId="8" hidden="1">#REF!</definedName>
    <definedName name="__REVENUE_TRAN_MW_AVG_ORG_SALES_PRICE_for_MISO_01" hidden="1">#REF!</definedName>
    <definedName name="_10JE220_WP" localSheetId="6">#REF!</definedName>
    <definedName name="_10JE220_WP" localSheetId="2">#REF!</definedName>
    <definedName name="_10JE220_WP">#REF!</definedName>
    <definedName name="_4mcc" localSheetId="8">#REF!</definedName>
    <definedName name="_4mcc">#REF!</definedName>
    <definedName name="_4mkvar" localSheetId="8">#REF!</definedName>
    <definedName name="_4mkvar">#REF!</definedName>
    <definedName name="_4mrdrb34" localSheetId="8">#REF!</definedName>
    <definedName name="_4mrdrb34">#REF!</definedName>
    <definedName name="_4mskw" localSheetId="8">#REF!</definedName>
    <definedName name="_4mskw">#REF!</definedName>
    <definedName name="_4mskwh1" localSheetId="8">#REF!</definedName>
    <definedName name="_4mskwh1">#REF!</definedName>
    <definedName name="_4mskwh2" localSheetId="8">#REF!</definedName>
    <definedName name="_4mskwh2">#REF!</definedName>
    <definedName name="_4mskwh3" localSheetId="8">#REF!</definedName>
    <definedName name="_4mskwh3">#REF!</definedName>
    <definedName name="_4mtsoffpk" localSheetId="8">#REF!</definedName>
    <definedName name="_4mtsoffpk">#REF!</definedName>
    <definedName name="_4mtspk" localSheetId="8">#REF!</definedName>
    <definedName name="_4mtspk">#REF!</definedName>
    <definedName name="_4mtwoffpk" localSheetId="8">#REF!</definedName>
    <definedName name="_4mtwoffpk">#REF!</definedName>
    <definedName name="_4mtwpk" localSheetId="8">#REF!</definedName>
    <definedName name="_4mtwpk">#REF!</definedName>
    <definedName name="_4mwkw" localSheetId="8">#REF!</definedName>
    <definedName name="_4mwkw">#REF!</definedName>
    <definedName name="_4mwkwh1" localSheetId="8">#REF!</definedName>
    <definedName name="_4mwkwh1">#REF!</definedName>
    <definedName name="_4mwkwh2" localSheetId="8">#REF!</definedName>
    <definedName name="_4mwkwh2">#REF!</definedName>
    <definedName name="_4mwkwh3" localSheetId="8">#REF!</definedName>
    <definedName name="_4mwkwh3">#REF!</definedName>
    <definedName name="_4mwkwhs" localSheetId="8">#REF!</definedName>
    <definedName name="_4mwkwhs">#REF!</definedName>
    <definedName name="_AMO_UniqueIdentifier" hidden="1">"'6416d6e6-63ab-455c-ace6-43b18e7dad2f'"</definedName>
    <definedName name="_Fill" localSheetId="6" hidden="1">#REF!</definedName>
    <definedName name="_Fill" localSheetId="2" hidden="1">#REF!</definedName>
    <definedName name="_Fill" hidden="1">#REF!</definedName>
    <definedName name="_fill2" localSheetId="6" hidden="1">#REF!</definedName>
    <definedName name="_fill2" localSheetId="2" hidden="1">#REF!</definedName>
    <definedName name="_fill2" hidden="1">#REF!</definedName>
    <definedName name="_je1" localSheetId="6">#REF!</definedName>
    <definedName name="_je1" localSheetId="2">#REF!</definedName>
    <definedName name="_je1">#REF!</definedName>
    <definedName name="_JE124" localSheetId="6">#REF!</definedName>
    <definedName name="_JE124" localSheetId="2">#REF!</definedName>
    <definedName name="_JE124">#REF!</definedName>
    <definedName name="_JE13" localSheetId="6">#REF!</definedName>
    <definedName name="_JE13" localSheetId="2">#REF!</definedName>
    <definedName name="_JE13">#REF!</definedName>
    <definedName name="_je14" localSheetId="6">#REF!</definedName>
    <definedName name="_je14" localSheetId="2">#REF!</definedName>
    <definedName name="_je14">#REF!</definedName>
    <definedName name="_JE147" localSheetId="6">#REF!</definedName>
    <definedName name="_JE147" localSheetId="2">#REF!</definedName>
    <definedName name="_JE147">#REF!</definedName>
    <definedName name="_JE16" localSheetId="6">#REF!</definedName>
    <definedName name="_JE16" localSheetId="2">#REF!</definedName>
    <definedName name="_JE16">#REF!</definedName>
    <definedName name="_JE17" localSheetId="6">#REF!</definedName>
    <definedName name="_JE17" localSheetId="2">#REF!</definedName>
    <definedName name="_JE17">#REF!</definedName>
    <definedName name="_je2" localSheetId="6">#REF!</definedName>
    <definedName name="_je2" localSheetId="2">#REF!</definedName>
    <definedName name="_je2" localSheetId="8">#REF!</definedName>
    <definedName name="_je2">#REF!</definedName>
    <definedName name="_JE220" localSheetId="6">#REF!</definedName>
    <definedName name="_JE220" localSheetId="2">#REF!</definedName>
    <definedName name="_JE220">#REF!</definedName>
    <definedName name="_JE230" localSheetId="6">#REF!</definedName>
    <definedName name="_JE230" localSheetId="2">#REF!</definedName>
    <definedName name="_JE230">#REF!</definedName>
    <definedName name="_JE234" localSheetId="6">#REF!</definedName>
    <definedName name="_JE234" localSheetId="2">#REF!</definedName>
    <definedName name="_JE234">#REF!</definedName>
    <definedName name="_JE236" localSheetId="6">#REF!</definedName>
    <definedName name="_JE236" localSheetId="2">#REF!</definedName>
    <definedName name="_JE236">#REF!</definedName>
    <definedName name="_JE237" localSheetId="6">#REF!</definedName>
    <definedName name="_JE237" localSheetId="2">#REF!</definedName>
    <definedName name="_JE237">#REF!</definedName>
    <definedName name="_JE24" localSheetId="6">#REF!</definedName>
    <definedName name="_JE24" localSheetId="2">#REF!</definedName>
    <definedName name="_JE24">#REF!</definedName>
    <definedName name="_JE33" localSheetId="6">#REF!</definedName>
    <definedName name="_JE33" localSheetId="2">#REF!</definedName>
    <definedName name="_JE33">#REF!</definedName>
    <definedName name="_Key1" localSheetId="6" hidden="1">#REF!</definedName>
    <definedName name="_Key1" localSheetId="0" hidden="1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hidden="1">#REF!</definedName>
    <definedName name="_Order1" hidden="1">255</definedName>
    <definedName name="_Order2">255</definedName>
    <definedName name="_ORIG_COST_TRAN_MW_AVG_ORG_PURCH_PRICE_for_MISO_00" localSheetId="8" hidden="1">#REF!</definedName>
    <definedName name="_ORIG_COST_TRAN_MW_AVG_ORG_PURCH_PRICE_for_MISO_00" hidden="1">#REF!</definedName>
    <definedName name="_pcSlicerSheet_Slicer1" localSheetId="6" hidden="1">#REF!</definedName>
    <definedName name="_pcSlicerSheet_Slicer1" localSheetId="0" hidden="1">#REF!</definedName>
    <definedName name="_pcSlicerSheet_Slicer1" localSheetId="1" hidden="1">#REF!</definedName>
    <definedName name="_pcSlicerSheet_Slicer1" localSheetId="2" hidden="1">#REF!</definedName>
    <definedName name="_pcSlicerSheet_Slicer1" localSheetId="3" hidden="1">#REF!</definedName>
    <definedName name="_pcSlicerSheet_Slicer1" hidden="1">#REF!</definedName>
    <definedName name="_pcSlicerSheet1_Slicer1" localSheetId="6" hidden="1">#REF!</definedName>
    <definedName name="_pcSlicerSheet1_Slicer1" localSheetId="0" hidden="1">#REF!</definedName>
    <definedName name="_pcSlicerSheet1_Slicer1" localSheetId="1" hidden="1">#REF!</definedName>
    <definedName name="_pcSlicerSheet1_Slicer1" localSheetId="2" hidden="1">#REF!</definedName>
    <definedName name="_pcSlicerSheet1_Slicer1" localSheetId="3" hidden="1">#REF!</definedName>
    <definedName name="_pcSlicerSheet1_Slicer1" hidden="1">#REF!</definedName>
    <definedName name="_pcSlicerSheet2_Slicer1" localSheetId="8" hidden="1">#REF!</definedName>
    <definedName name="_pcSlicerSheet2_Slicer1" hidden="1">#REF!</definedName>
    <definedName name="_pcSlicerSheet3_Slicer1" localSheetId="8" hidden="1">#REF!</definedName>
    <definedName name="_pcSlicerSheet3_Slicer1" hidden="1">#REF!</definedName>
    <definedName name="_pcSlicerSheet4_Slicer1" localSheetId="8" hidden="1">#REF!</definedName>
    <definedName name="_pcSlicerSheet4_Slicer1" hidden="1">#REF!</definedName>
    <definedName name="_pcSlicerSheet5_Slicer1" localSheetId="8" hidden="1">#REF!</definedName>
    <definedName name="_pcSlicerSheet5_Slicer1" hidden="1">#REF!</definedName>
    <definedName name="_pcSlicerSheet6_Slicer1" localSheetId="8" hidden="1">#REF!</definedName>
    <definedName name="_pcSlicerSheet6_Slicer1" hidden="1">#REF!</definedName>
    <definedName name="_pcSlicerSheet7_Slicer1" localSheetId="8" hidden="1">#REF!</definedName>
    <definedName name="_pcSlicerSheet7_Slicer1" hidden="1">#REF!</definedName>
    <definedName name="_pcSlicerSheet8_Slicer1" localSheetId="8" hidden="1">#REF!</definedName>
    <definedName name="_pcSlicerSheet8_Slicer1" hidden="1">#REF!</definedName>
    <definedName name="_pcSlicerSheet9_Slicer1" localSheetId="8" hidden="1">#REF!</definedName>
    <definedName name="_pcSlicerSheet9_Slicer1" hidden="1">#REF!</definedName>
    <definedName name="_pg1" localSheetId="6">#REF!</definedName>
    <definedName name="_pg1" localSheetId="0">#REF!</definedName>
    <definedName name="_pg1" localSheetId="1">#REF!</definedName>
    <definedName name="_pg1" localSheetId="2">#REF!</definedName>
    <definedName name="_pg1" localSheetId="3">#REF!</definedName>
    <definedName name="_pg1">#REF!</definedName>
    <definedName name="_PG2" localSheetId="6">#REF!</definedName>
    <definedName name="_PG2" localSheetId="0">#REF!</definedName>
    <definedName name="_PG2" localSheetId="1">#REF!</definedName>
    <definedName name="_PG2" localSheetId="2">#REF!</definedName>
    <definedName name="_PG2" localSheetId="3">#REF!</definedName>
    <definedName name="_PG2">#REF!</definedName>
    <definedName name="_q1" localSheetId="6">PAGE5</definedName>
    <definedName name="_q1" localSheetId="2">PAGE5</definedName>
    <definedName name="_q1" localSheetId="8">PAGE5</definedName>
    <definedName name="_q1">PAGE5</definedName>
    <definedName name="_REVENUE_TRAN_MW_AVG_ORG_SALES_PRICE_for_April_00" localSheetId="8" hidden="1">#REF!</definedName>
    <definedName name="_REVENUE_TRAN_MW_AVG_ORG_SALES_PRICE_for_April_00" hidden="1">#REF!</definedName>
    <definedName name="_REVENUE_TRAN_MW_AVG_ORG_SALES_PRICE_for_MISO_00" localSheetId="8" hidden="1">#REF!</definedName>
    <definedName name="_REVENUE_TRAN_MW_AVG_ORG_SALES_PRICE_for_MISO_00" hidden="1">#REF!</definedName>
    <definedName name="_SO2" localSheetId="6">#REF!</definedName>
    <definedName name="_SO2" localSheetId="2">#REF!</definedName>
    <definedName name="_SO2">#REF!</definedName>
    <definedName name="_Sort" localSheetId="6" hidden="1">#REF!</definedName>
    <definedName name="_Sort" localSheetId="0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hidden="1">#REF!</definedName>
    <definedName name="a" localSheetId="6" hidden="1">#REF!</definedName>
    <definedName name="a" localSheetId="0" hidden="1">#REF!</definedName>
    <definedName name="a" localSheetId="1" hidden="1">#REF!</definedName>
    <definedName name="a" localSheetId="2" hidden="1">#REF!</definedName>
    <definedName name="a" localSheetId="3" hidden="1">#REF!</definedName>
    <definedName name="a" hidden="1">#REF!</definedName>
    <definedName name="abc" localSheetId="6">#REF!</definedName>
    <definedName name="abc" localSheetId="2">#REF!</definedName>
    <definedName name="abc">#REF!</definedName>
    <definedName name="AdjDol" localSheetId="8">OFFSET(#REF!,0,0,COUNTA(#REF!),1)</definedName>
    <definedName name="AdjDol">OFFSET(#REF!,0,0,COUNTA(#REF!),1)</definedName>
    <definedName name="AdjTons" localSheetId="8">OFFSET(#REF!,0,0,COUNTA(#REF!),1)</definedName>
    <definedName name="AdjTons">OFFSET(#REF!,0,0,COUNTA(#REF!),1)</definedName>
    <definedName name="amo" localSheetId="6">#REF!</definedName>
    <definedName name="amo" localSheetId="2">#REF!</definedName>
    <definedName name="amo">#REF!</definedName>
    <definedName name="Amount" localSheetId="6">#REF!</definedName>
    <definedName name="Amount" localSheetId="2">#REF!</definedName>
    <definedName name="Amount">#REF!</definedName>
    <definedName name="AprGenDol" localSheetId="8">OFFSET(#REF!,0,0,COUNTA(#REF!),1)</definedName>
    <definedName name="AprGenDol">OFFSET(#REF!,0,0,COUNTA(#REF!),1)</definedName>
    <definedName name="AprInvDol" localSheetId="8">OFFSET(#REF!,0,0,COUNTA(#REF!),1)</definedName>
    <definedName name="AprInvDol">OFFSET(#REF!,0,0,COUNTA(#REF!),1)</definedName>
    <definedName name="AprTonInv" localSheetId="8">OFFSET(#REF!,0,0,COUNTA(#REF!),1)</definedName>
    <definedName name="AprTonInv">OFFSET(#REF!,0,0,COUNTA(#REF!),1)</definedName>
    <definedName name="AprUnits" localSheetId="8">OFFSET(#REF!,0,0,COUNTA(#REF!),1)</definedName>
    <definedName name="AprUnits">OFFSET(#REF!,0,0,COUNTA(#REF!),1)</definedName>
    <definedName name="AS2DocOpenMode">"AS2DocumentEdit"</definedName>
    <definedName name="AugGenDol" localSheetId="8">OFFSET(#REF!,0,0,COUNTA(#REF!),1)</definedName>
    <definedName name="AugGenDol">OFFSET(#REF!,0,0,COUNTA(#REF!),1)</definedName>
    <definedName name="AugInvDol" localSheetId="8">OFFSET(#REF!,0,0,COUNTA(#REF!),1)</definedName>
    <definedName name="AugInvDol">OFFSET(#REF!,0,0,COUNTA(#REF!),1)</definedName>
    <definedName name="AugTonInv" localSheetId="8">OFFSET(#REF!,0,0,COUNTA(#REF!),1)</definedName>
    <definedName name="AugTonInv">OFFSET(#REF!,0,0,COUNTA(#REF!),1)</definedName>
    <definedName name="AugUnits" localSheetId="8">OFFSET(#REF!,0,0,COUNTA(#REF!),1)</definedName>
    <definedName name="AugUnits">OFFSET(#REF!,0,0,COUNTA(#REF!),1)</definedName>
    <definedName name="Base_KWH" localSheetId="6">#REF!</definedName>
    <definedName name="Base_KWH" localSheetId="2">#REF!</definedName>
    <definedName name="Base_KWH">#REF!</definedName>
    <definedName name="BDGenDol" localSheetId="8">OFFSET(#REF!,0,0,COUNTA(#REF!),1)</definedName>
    <definedName name="BDGenDol">OFFSET(#REF!,0,0,COUNTA(#REF!),1)</definedName>
    <definedName name="BDInvDol" localSheetId="8">OFFSET(#REF!,0,0,COUNTA(#REF!),1)</definedName>
    <definedName name="BDInvDol">OFFSET(#REF!,0,0,COUNTA(#REF!),1)</definedName>
    <definedName name="BDTonInv" localSheetId="8">OFFSET(#REF!,0,0,COUNTA(#REF!),1)</definedName>
    <definedName name="BDTonInv">OFFSET(#REF!,0,0,COUNTA(#REF!),1)</definedName>
    <definedName name="BDUnits" localSheetId="8">OFFSET(#REF!,0,0,COUNTA(#REF!),1)</definedName>
    <definedName name="BDUnits">OFFSET(#REF!,0,0,COUNTA(#REF!),1)</definedName>
    <definedName name="booka_g" localSheetId="6">#REF!</definedName>
    <definedName name="booka_g" localSheetId="2">#REF!</definedName>
    <definedName name="booka_g">#REF!</definedName>
    <definedName name="CilDCCoalCo" localSheetId="6">#REF!</definedName>
    <definedName name="CilDCCoalCo" localSheetId="2">#REF!</definedName>
    <definedName name="CilDCCoalCo">#REF!</definedName>
    <definedName name="CilDCCurrPrior" localSheetId="6">#REF!</definedName>
    <definedName name="CilDCCurrPrior" localSheetId="2">#REF!</definedName>
    <definedName name="CilDCCurrPrior">#REF!</definedName>
    <definedName name="CilDCFuel" localSheetId="6">#REF!</definedName>
    <definedName name="CilDCFuel" localSheetId="2">#REF!</definedName>
    <definedName name="CilDCFuel">#REF!</definedName>
    <definedName name="CilDCFuelwTax" localSheetId="6">#REF!</definedName>
    <definedName name="CilDCFuelwTax" localSheetId="2">#REF!</definedName>
    <definedName name="CilDCFuelwTax">#REF!</definedName>
    <definedName name="CilDCInvoiceType" localSheetId="6">#REF!</definedName>
    <definedName name="CilDCInvoiceType" localSheetId="2">#REF!</definedName>
    <definedName name="CilDCInvoiceType">#REF!</definedName>
    <definedName name="CilDCSourceData" localSheetId="6">#REF!</definedName>
    <definedName name="CilDCSourceData" localSheetId="2">#REF!</definedName>
    <definedName name="CilDCSourceData">#REF!</definedName>
    <definedName name="CilDCStats" localSheetId="6">#REF!</definedName>
    <definedName name="CilDCStats" localSheetId="2">#REF!</definedName>
    <definedName name="CilDCStats">#REF!</definedName>
    <definedName name="CilDCTransp" localSheetId="6">#REF!</definedName>
    <definedName name="CilDCTransp" localSheetId="2">#REF!</definedName>
    <definedName name="CilDCTransp">#REF!</definedName>
    <definedName name="CilDCUnits" localSheetId="6">#REF!</definedName>
    <definedName name="CilDCUnits" localSheetId="2">#REF!</definedName>
    <definedName name="CilDCUnits">#REF!</definedName>
    <definedName name="CilDCUnitType" localSheetId="6">#REF!</definedName>
    <definedName name="CilDCUnitType" localSheetId="2">#REF!</definedName>
    <definedName name="CilDCUnitType">#REF!</definedName>
    <definedName name="CilEDCoalCo" localSheetId="6">#REF!</definedName>
    <definedName name="CilEDCoalCo" localSheetId="2">#REF!</definedName>
    <definedName name="CilEDCoalCo">#REF!</definedName>
    <definedName name="CilEDCurrPrior" localSheetId="6">#REF!</definedName>
    <definedName name="CilEDCurrPrior" localSheetId="2">#REF!</definedName>
    <definedName name="CilEDCurrPrior">#REF!</definedName>
    <definedName name="CilEDFuel" localSheetId="6">#REF!</definedName>
    <definedName name="CilEDFuel" localSheetId="2">#REF!</definedName>
    <definedName name="CilEDFuel">#REF!</definedName>
    <definedName name="CilEDFuelwTax" localSheetId="6">#REF!</definedName>
    <definedName name="CilEDFuelwTax" localSheetId="2">#REF!</definedName>
    <definedName name="CilEDFuelwTax">#REF!</definedName>
    <definedName name="CilEDInvoiceType" localSheetId="6">#REF!</definedName>
    <definedName name="CilEDInvoiceType" localSheetId="2">#REF!</definedName>
    <definedName name="CilEDInvoiceType">#REF!</definedName>
    <definedName name="CilEDSourceData" localSheetId="6">#REF!</definedName>
    <definedName name="CilEDSourceData" localSheetId="2">#REF!</definedName>
    <definedName name="CilEDSourceData">#REF!</definedName>
    <definedName name="CilEDStats" localSheetId="6">#REF!</definedName>
    <definedName name="CilEDStats" localSheetId="2">#REF!</definedName>
    <definedName name="CilEDStats">#REF!</definedName>
    <definedName name="CilEDTransp" localSheetId="6">#REF!</definedName>
    <definedName name="CilEDTransp" localSheetId="2">#REF!</definedName>
    <definedName name="CilEDTransp">#REF!</definedName>
    <definedName name="CilEDUnits" localSheetId="6">#REF!</definedName>
    <definedName name="CilEDUnits" localSheetId="2">#REF!</definedName>
    <definedName name="CilEDUnits">#REF!</definedName>
    <definedName name="CilEDUnitType" localSheetId="6">#REF!</definedName>
    <definedName name="CilEDUnitType" localSheetId="2">#REF!</definedName>
    <definedName name="CilEDUnitType">#REF!</definedName>
    <definedName name="CIPS_IL_EZ_parcels" localSheetId="6">#REF!</definedName>
    <definedName name="CIPS_IL_EZ_parcels" localSheetId="2">#REF!</definedName>
    <definedName name="CIPS_IL_EZ_parcels">#REF!</definedName>
    <definedName name="ckdl" localSheetId="6">#REF!</definedName>
    <definedName name="ckdl" localSheetId="2">#REF!</definedName>
    <definedName name="ckdl">#REF!</definedName>
    <definedName name="CoalFreight" localSheetId="8">OFFSET(#REF!,0,0,COUNTA(#REF!),1)</definedName>
    <definedName name="CoalFreight">OFFSET(#REF!,0,0,COUNTA(#REF!),1)</definedName>
    <definedName name="color" localSheetId="6">#REF!</definedName>
    <definedName name="color" localSheetId="2">#REF!</definedName>
    <definedName name="color">#REF!</definedName>
    <definedName name="Common_Inventory" localSheetId="8">OFFSET(#REF!,0,0,COUNTA(#REF!),1)</definedName>
    <definedName name="Common_Inventory">OFFSET(#REF!,0,0,COUNTA(#REF!),1)</definedName>
    <definedName name="Common_Inventory_Table" localSheetId="8">OFFSET(#REF!,0,0,COUNTA(#REF!),4)</definedName>
    <definedName name="Common_Inventory_Table">OFFSET(#REF!,0,0,COUNTA(#REF!),4)</definedName>
    <definedName name="CORPGenDol" localSheetId="8">OFFSET(#REF!,0,0,COUNTA(#REF!),1)</definedName>
    <definedName name="CORPGenDol">OFFSET(#REF!,0,0,COUNTA(#REF!),1)</definedName>
    <definedName name="CorpUnits" localSheetId="8">OFFSET(#REF!,0,0,COUNTA(#REF!),1)</definedName>
    <definedName name="CorpUnits">OFFSET(#REF!,0,0,COUNTA(#REF!),1)</definedName>
    <definedName name="cosales" localSheetId="6">#REF!</definedName>
    <definedName name="cosales" localSheetId="0">#REF!</definedName>
    <definedName name="cosales" localSheetId="1">#REF!</definedName>
    <definedName name="cosales" localSheetId="2">#REF!</definedName>
    <definedName name="cosales" localSheetId="3">#REF!</definedName>
    <definedName name="cosales">#REF!</definedName>
    <definedName name="Critical_Peak_KWH" localSheetId="6">#REF!</definedName>
    <definedName name="Critical_Peak_KWH" localSheetId="2">#REF!</definedName>
    <definedName name="Critical_Peak_KWH">#REF!</definedName>
    <definedName name="CT_1" localSheetId="6" hidden="1">{"page1",#N/A,FALSE,"260"}</definedName>
    <definedName name="CT_1" localSheetId="8" hidden="1">{"page1",#N/A,FALSE,"260"}</definedName>
    <definedName name="CT_1" hidden="1">{"page1",#N/A,FALSE,"260"}</definedName>
    <definedName name="ctoucc" localSheetId="6">#REF!</definedName>
    <definedName name="ctoucc" localSheetId="2">#REF!</definedName>
    <definedName name="ctoucc" localSheetId="8">#REF!</definedName>
    <definedName name="ctoucc">#REF!</definedName>
    <definedName name="ctouskw" localSheetId="6">#REF!</definedName>
    <definedName name="ctouskw" localSheetId="2">#REF!</definedName>
    <definedName name="ctouskw" localSheetId="8">#REF!</definedName>
    <definedName name="ctouskw">#REF!</definedName>
    <definedName name="ctousofkwh" localSheetId="6">#REF!</definedName>
    <definedName name="ctousofkwh" localSheetId="2">#REF!</definedName>
    <definedName name="ctousofkwh" localSheetId="8">#REF!</definedName>
    <definedName name="ctousofkwh">#REF!</definedName>
    <definedName name="ctouspkkwh" localSheetId="6">#REF!</definedName>
    <definedName name="ctouspkkwh" localSheetId="2">#REF!</definedName>
    <definedName name="ctouspkkwh" localSheetId="8">#REF!</definedName>
    <definedName name="ctouspkkwh">#REF!</definedName>
    <definedName name="ctouwkw" localSheetId="6">#REF!</definedName>
    <definedName name="ctouwkw" localSheetId="2">#REF!</definedName>
    <definedName name="ctouwkw" localSheetId="8">#REF!</definedName>
    <definedName name="ctouwkw">#REF!</definedName>
    <definedName name="ctouwofkwh" localSheetId="6">#REF!</definedName>
    <definedName name="ctouwofkwh" localSheetId="2">#REF!</definedName>
    <definedName name="ctouwofkwh" localSheetId="8">#REF!</definedName>
    <definedName name="ctouwofkwh">#REF!</definedName>
    <definedName name="ctouwpkkwh" localSheetId="6">#REF!</definedName>
    <definedName name="ctouwpkkwh" localSheetId="2">#REF!</definedName>
    <definedName name="ctouwpkkwh" localSheetId="8">#REF!</definedName>
    <definedName name="ctouwpkkwh">#REF!</definedName>
    <definedName name="CUSSUM" localSheetId="6">#REF!</definedName>
    <definedName name="CUSSUM" localSheetId="2">#REF!</definedName>
    <definedName name="CUSSUM">#REF!</definedName>
    <definedName name="cust" localSheetId="8">#REF!</definedName>
    <definedName name="cust">#REF!</definedName>
    <definedName name="Customer_Count" localSheetId="6">#REF!</definedName>
    <definedName name="Customer_Count" localSheetId="2">#REF!</definedName>
    <definedName name="Customer_Count">#REF!</definedName>
    <definedName name="CUSWIN" localSheetId="6">#REF!</definedName>
    <definedName name="CUSWIN" localSheetId="2">#REF!</definedName>
    <definedName name="CUSWIN">#REF!</definedName>
    <definedName name="d" localSheetId="8" hidden="1">#REF!</definedName>
    <definedName name="d" hidden="1">#REF!</definedName>
    <definedName name="Data" localSheetId="6">#REF!</definedName>
    <definedName name="Data" localSheetId="2">#REF!</definedName>
    <definedName name="Data">#REF!</definedName>
    <definedName name="date" localSheetId="6">#REF!</definedName>
    <definedName name="date" localSheetId="2">#REF!</definedName>
    <definedName name="date">#REF!</definedName>
    <definedName name="DateDue" localSheetId="6">#REF!</definedName>
    <definedName name="DateDue" localSheetId="2">#REF!</definedName>
    <definedName name="DateDue">#REF!</definedName>
    <definedName name="DecGenDol" localSheetId="8">OFFSET(#REF!,0,0,COUNTA(#REF!),1)</definedName>
    <definedName name="DecGenDol">OFFSET(#REF!,0,0,COUNTA(#REF!),1)</definedName>
    <definedName name="DecInvDol" localSheetId="8">OFFSET(#REF!,0,0,COUNTA(#REF!),1)</definedName>
    <definedName name="DecInvDol">OFFSET(#REF!,0,0,COUNTA(#REF!),1)</definedName>
    <definedName name="DecInvDolPrior" localSheetId="8">OFFSET(#REF!,0,0,COUNTA(#REF!),1)</definedName>
    <definedName name="DecInvDolPrior">OFFSET(#REF!,0,0,COUNTA(#REF!),1)</definedName>
    <definedName name="DecTonInv" localSheetId="8">OFFSET(#REF!,0,0,COUNTA(#REF!),1)</definedName>
    <definedName name="DecTonInv">OFFSET(#REF!,0,0,COUNTA(#REF!),1)</definedName>
    <definedName name="DecTonInvPrior" localSheetId="8">OFFSET(#REF!,0,0,COUNTA(#REF!),1)</definedName>
    <definedName name="DecTonInvPrior">OFFSET(#REF!,0,0,COUNTA(#REF!),1)</definedName>
    <definedName name="DecUnits" localSheetId="8">OFFSET(#REF!,0,0,COUNTA(#REF!),1)</definedName>
    <definedName name="DecUnits">OFFSET(#REF!,0,0,COUNTA(#REF!),1)</definedName>
    <definedName name="Demand_KW" localSheetId="6">#REF!</definedName>
    <definedName name="Demand_KW" localSheetId="2">#REF!</definedName>
    <definedName name="Demand_KW">#REF!</definedName>
    <definedName name="DEPRECIATION" localSheetId="6">#REF!</definedName>
    <definedName name="DEPRECIATION" localSheetId="0">#REF!</definedName>
    <definedName name="DEPRECIATION" localSheetId="1">#REF!</definedName>
    <definedName name="DEPRECIATION" localSheetId="2">#REF!</definedName>
    <definedName name="DEPRECIATION" localSheetId="9">#REF!</definedName>
    <definedName name="DEPRECIATION">#REF!</definedName>
    <definedName name="DescrDol" localSheetId="8">OFFSET(#REF!,0,0,COUNTA(#REF!),1)</definedName>
    <definedName name="DescrDol">OFFSET(#REF!,0,0,COUNTA(#REF!),1)</definedName>
    <definedName name="Difference" localSheetId="6">#REF!</definedName>
    <definedName name="Difference" localSheetId="2">#REF!</definedName>
    <definedName name="Difference">#REF!</definedName>
    <definedName name="DLOV_oracle_apps_financials_generalLedger_journals_desktopEntry_di_FinGlDesktopMultibatchEntryPageDef_PeriodName_LedgerId_0">#REF!</definedName>
    <definedName name="DLOV_oracle_apps_financials_generalLedger_journals_desktopEntry_di_FinGlDesktopMultibatchEntryPageDef_ReversalPeriodName_LedgerId_0">#REF!</definedName>
    <definedName name="FCode_Amt" localSheetId="6">OFFSET(#REF!,0,0,COUNTA(#REF!),1)</definedName>
    <definedName name="FCode_Amt" localSheetId="2">OFFSET(#REF!,0,0,COUNTA(#REF!),1)</definedName>
    <definedName name="FCode_Amt">OFFSET(#REF!,0,0,COUNTA(#REF!),1)</definedName>
    <definedName name="FCode_Amt2" localSheetId="6">OFFSET(#REF!,0,0,COUNTA(#REF!),1)</definedName>
    <definedName name="FCode_Amt2" localSheetId="2">OFFSET(#REF!,0,0,COUNTA(#REF!),1)</definedName>
    <definedName name="FCode_Amt2">OFFSET(#REF!,0,0,COUNTA(#REF!),1)</definedName>
    <definedName name="FCode_BD" localSheetId="6">OFFSET(#REF!,0,0,COUNTA(#REF!),1)</definedName>
    <definedName name="FCode_BD" localSheetId="2">OFFSET(#REF!,0,0,COUNTA(#REF!),1)</definedName>
    <definedName name="FCode_BD">OFFSET(#REF!,0,0,COUNTA(#REF!),1)</definedName>
    <definedName name="FCode_Corp" localSheetId="6">OFFSET(#REF!,0,0,COUNTA(#REF!),1)</definedName>
    <definedName name="FCode_Corp" localSheetId="2">OFFSET(#REF!,0,0,COUNTA(#REF!),1)</definedName>
    <definedName name="FCode_Corp">OFFSET(#REF!,0,0,COUNTA(#REF!),1)</definedName>
    <definedName name="FCode_Funcode" localSheetId="6">OFFSET(#REF!,0,0,COUNTA(#REF!),1)</definedName>
    <definedName name="FCode_Funcode" localSheetId="2">OFFSET(#REF!,0,0,COUNTA(#REF!),1)</definedName>
    <definedName name="FCode_Funcode">OFFSET(#REF!,0,0,COUNTA(#REF!),1)</definedName>
    <definedName name="FebGenDol" localSheetId="8">OFFSET(#REF!,0,0,COUNTA(#REF!),1)</definedName>
    <definedName name="FebGenDol">OFFSET(#REF!,0,0,COUNTA(#REF!),1)</definedName>
    <definedName name="FebInvDol" localSheetId="8">OFFSET(#REF!,0,0,COUNTA(#REF!),1)</definedName>
    <definedName name="FebInvDol">OFFSET(#REF!,0,0,COUNTA(#REF!),1)</definedName>
    <definedName name="FebTonInv" localSheetId="8">OFFSET(#REF!,0,0,COUNTA(#REF!),1)</definedName>
    <definedName name="FebTonInv">OFFSET(#REF!,0,0,COUNTA(#REF!),1)</definedName>
    <definedName name="FebUnits" localSheetId="8">OFFSET(#REF!,0,0,COUNTA(#REF!),1)</definedName>
    <definedName name="FebUnits">OFFSET(#REF!,0,0,COUNTA(#REF!),1)</definedName>
    <definedName name="FINAL_JV" localSheetId="6">#REF!</definedName>
    <definedName name="FINAL_JV" localSheetId="0">#REF!</definedName>
    <definedName name="FINAL_JV" localSheetId="1">#REF!</definedName>
    <definedName name="FINAL_JV" localSheetId="2">#REF!</definedName>
    <definedName name="FINAL_JV" localSheetId="9">#REF!</definedName>
    <definedName name="FINAL_JV">#REF!</definedName>
    <definedName name="First_Block_kwh" localSheetId="6">#REF!</definedName>
    <definedName name="First_Block_kwh" localSheetId="2">#REF!</definedName>
    <definedName name="First_Block_kwh">#REF!</definedName>
    <definedName name="FuelType" localSheetId="8">OFFSET(#REF!,0,0,COUNTA(#REF!),2)</definedName>
    <definedName name="FuelType">OFFSET(#REF!,0,0,COUNTA(#REF!),2)</definedName>
    <definedName name="FueltypeGenDol" localSheetId="8">OFFSET(#REF!,0,0,COUNTA(#REF!),1)</definedName>
    <definedName name="FueltypeGenDol">OFFSET(#REF!,0,0,COUNTA(#REF!),1)</definedName>
    <definedName name="FuelTypeInvDol" localSheetId="8">OFFSET(#REF!,0,0,COUNTA(#REF!),1)</definedName>
    <definedName name="FuelTypeInvDol">OFFSET(#REF!,0,0,COUNTA(#REF!),1)</definedName>
    <definedName name="FuelTypeList" localSheetId="6">OFFSET(#REF!,0,0,COUNTA(#REF!),1)</definedName>
    <definedName name="FuelTypeList" localSheetId="2">OFFSET(#REF!,0,0,COUNTA(#REF!),1)</definedName>
    <definedName name="FuelTypeList">OFFSET(#REF!,0,0,COUNTA(#REF!),1)</definedName>
    <definedName name="FuelTypeTonInv" localSheetId="8">OFFSET(#REF!,0,0,COUNTA(#REF!),1)</definedName>
    <definedName name="FuelTypeTonInv">OFFSET(#REF!,0,0,COUNTA(#REF!),1)</definedName>
    <definedName name="FuelTypeUnits" localSheetId="8">OFFSET(#REF!,0,0,COUNTA(#REF!),1)</definedName>
    <definedName name="FuelTypeUnits">OFFSET(#REF!,0,0,COUNTA(#REF!),1)</definedName>
    <definedName name="Gas" localSheetId="8">OFFSET(#REF!,0,0,COUNTA(#REF!),1)</definedName>
    <definedName name="Gas">OFFSET(#REF!,0,0,COUNTA(#REF!),1)</definedName>
    <definedName name="Gen66CoalCo" localSheetId="6">#REF!</definedName>
    <definedName name="Gen66CoalCo" localSheetId="2">#REF!</definedName>
    <definedName name="Gen66CoalCo">#REF!</definedName>
    <definedName name="Gen66CurrPrior" localSheetId="6">#REF!</definedName>
    <definedName name="Gen66CurrPrior" localSheetId="2">#REF!</definedName>
    <definedName name="Gen66CurrPrior">#REF!</definedName>
    <definedName name="Gen66Fuel" localSheetId="6">#REF!</definedName>
    <definedName name="Gen66Fuel" localSheetId="2">#REF!</definedName>
    <definedName name="Gen66Fuel">#REF!</definedName>
    <definedName name="Gen66FuelwTax" localSheetId="6">#REF!</definedName>
    <definedName name="Gen66FuelwTax" localSheetId="2">#REF!</definedName>
    <definedName name="Gen66FuelwTax">#REF!</definedName>
    <definedName name="Gen66InvoiceType" localSheetId="6">#REF!</definedName>
    <definedName name="Gen66InvoiceType" localSheetId="2">#REF!</definedName>
    <definedName name="Gen66InvoiceType">#REF!</definedName>
    <definedName name="Gen66SourceData" localSheetId="6">#REF!</definedName>
    <definedName name="Gen66SourceData" localSheetId="2">#REF!</definedName>
    <definedName name="Gen66SourceData">#REF!</definedName>
    <definedName name="Gen66Stats" localSheetId="6">#REF!</definedName>
    <definedName name="Gen66Stats" localSheetId="2">#REF!</definedName>
    <definedName name="Gen66Stats">#REF!</definedName>
    <definedName name="Gen66Transp" localSheetId="6">#REF!</definedName>
    <definedName name="Gen66Transp" localSheetId="2">#REF!</definedName>
    <definedName name="Gen66Transp">#REF!</definedName>
    <definedName name="Gen66Units" localSheetId="6">#REF!</definedName>
    <definedName name="Gen66Units" localSheetId="2">#REF!</definedName>
    <definedName name="Gen66Units">#REF!</definedName>
    <definedName name="Gen66UnitType" localSheetId="6">#REF!</definedName>
    <definedName name="Gen66UnitType" localSheetId="2">#REF!</definedName>
    <definedName name="Gen66UnitType">#REF!</definedName>
    <definedName name="Gen68CoalCo" localSheetId="6">#REF!</definedName>
    <definedName name="Gen68CoalCo" localSheetId="2">#REF!</definedName>
    <definedName name="Gen68CoalCo">#REF!</definedName>
    <definedName name="Gen68CurrPrior" localSheetId="6">#REF!</definedName>
    <definedName name="Gen68CurrPrior" localSheetId="2">#REF!</definedName>
    <definedName name="Gen68CurrPrior">#REF!</definedName>
    <definedName name="Gen68Fuel" localSheetId="6">#REF!</definedName>
    <definedName name="Gen68Fuel" localSheetId="2">#REF!</definedName>
    <definedName name="Gen68Fuel">#REF!</definedName>
    <definedName name="Gen68FuelwTax" localSheetId="6">#REF!</definedName>
    <definedName name="Gen68FuelwTax" localSheetId="2">#REF!</definedName>
    <definedName name="Gen68FuelwTax">#REF!</definedName>
    <definedName name="Gen68InvoiceType" localSheetId="6">#REF!</definedName>
    <definedName name="Gen68InvoiceType" localSheetId="2">#REF!</definedName>
    <definedName name="Gen68InvoiceType">#REF!</definedName>
    <definedName name="Gen68SourceData" localSheetId="6">#REF!</definedName>
    <definedName name="Gen68SourceData" localSheetId="2">#REF!</definedName>
    <definedName name="Gen68SourceData">#REF!</definedName>
    <definedName name="Gen68Stats" localSheetId="6">#REF!</definedName>
    <definedName name="Gen68Stats" localSheetId="2">#REF!</definedName>
    <definedName name="Gen68Stats">#REF!</definedName>
    <definedName name="Gen68Transp" localSheetId="6">#REF!</definedName>
    <definedName name="Gen68Transp" localSheetId="2">#REF!</definedName>
    <definedName name="Gen68Transp">#REF!</definedName>
    <definedName name="Gen68Units" localSheetId="6">#REF!</definedName>
    <definedName name="Gen68Units" localSheetId="2">#REF!</definedName>
    <definedName name="Gen68Units">#REF!</definedName>
    <definedName name="Gen68UnitType" localSheetId="6">#REF!</definedName>
    <definedName name="Gen68UnitType" localSheetId="2">#REF!</definedName>
    <definedName name="Gen68UnitType">#REF!</definedName>
    <definedName name="Gen69CoalCo" localSheetId="6">#REF!</definedName>
    <definedName name="Gen69CoalCo" localSheetId="2">#REF!</definedName>
    <definedName name="Gen69CoalCo">#REF!</definedName>
    <definedName name="Gen69CurrPrior" localSheetId="6">#REF!</definedName>
    <definedName name="Gen69CurrPrior" localSheetId="2">#REF!</definedName>
    <definedName name="Gen69CurrPrior">#REF!</definedName>
    <definedName name="Gen69Fuel" localSheetId="6">#REF!</definedName>
    <definedName name="Gen69Fuel" localSheetId="2">#REF!</definedName>
    <definedName name="Gen69Fuel">#REF!</definedName>
    <definedName name="Gen69FuelwTax" localSheetId="6">#REF!</definedName>
    <definedName name="Gen69FuelwTax" localSheetId="2">#REF!</definedName>
    <definedName name="Gen69FuelwTax">#REF!</definedName>
    <definedName name="Gen69InvoiceType" localSheetId="6">#REF!</definedName>
    <definedName name="Gen69InvoiceType" localSheetId="2">#REF!</definedName>
    <definedName name="Gen69InvoiceType">#REF!</definedName>
    <definedName name="Gen69SourceData" localSheetId="6">#REF!</definedName>
    <definedName name="Gen69SourceData" localSheetId="2">#REF!</definedName>
    <definedName name="Gen69SourceData">#REF!</definedName>
    <definedName name="Gen69Stats" localSheetId="6">#REF!</definedName>
    <definedName name="Gen69Stats" localSheetId="2">#REF!</definedName>
    <definedName name="Gen69Stats">#REF!</definedName>
    <definedName name="Gen69Transp" localSheetId="6">#REF!</definedName>
    <definedName name="Gen69Transp" localSheetId="2">#REF!</definedName>
    <definedName name="Gen69Transp">#REF!</definedName>
    <definedName name="Gen69Units" localSheetId="6">#REF!</definedName>
    <definedName name="Gen69Units" localSheetId="2">#REF!</definedName>
    <definedName name="Gen69Units">#REF!</definedName>
    <definedName name="Gen69UnitType" localSheetId="6">#REF!</definedName>
    <definedName name="Gen69UnitType" localSheetId="2">#REF!</definedName>
    <definedName name="Gen69UnitType">#REF!</definedName>
    <definedName name="Gen79CoalCo" localSheetId="6">#REF!</definedName>
    <definedName name="Gen79CoalCo" localSheetId="2">#REF!</definedName>
    <definedName name="Gen79CoalCo">#REF!</definedName>
    <definedName name="Gen79CurrPrior" localSheetId="6">#REF!</definedName>
    <definedName name="Gen79CurrPrior" localSheetId="2">#REF!</definedName>
    <definedName name="Gen79CurrPrior">#REF!</definedName>
    <definedName name="Gen79Fuel" localSheetId="6">#REF!</definedName>
    <definedName name="Gen79Fuel" localSheetId="2">#REF!</definedName>
    <definedName name="Gen79Fuel">#REF!</definedName>
    <definedName name="Gen79FuelwTax" localSheetId="6">#REF!</definedName>
    <definedName name="Gen79FuelwTax" localSheetId="2">#REF!</definedName>
    <definedName name="Gen79FuelwTax">#REF!</definedName>
    <definedName name="Gen79InvoiceType" localSheetId="6">#REF!</definedName>
    <definedName name="Gen79InvoiceType" localSheetId="2">#REF!</definedName>
    <definedName name="Gen79InvoiceType">#REF!</definedName>
    <definedName name="Gen79SourceData" localSheetId="6">#REF!</definedName>
    <definedName name="Gen79SourceData" localSheetId="2">#REF!</definedName>
    <definedName name="Gen79SourceData">#REF!</definedName>
    <definedName name="Gen79Stats" localSheetId="6">#REF!</definedName>
    <definedName name="Gen79Stats" localSheetId="2">#REF!</definedName>
    <definedName name="Gen79Stats">#REF!</definedName>
    <definedName name="Gen79Transp" localSheetId="6">#REF!</definedName>
    <definedName name="Gen79Transp" localSheetId="2">#REF!</definedName>
    <definedName name="Gen79Transp">#REF!</definedName>
    <definedName name="Gen79Units" localSheetId="6">#REF!</definedName>
    <definedName name="Gen79Units" localSheetId="2">#REF!</definedName>
    <definedName name="Gen79Units">#REF!</definedName>
    <definedName name="Gen79UnitType" localSheetId="6">#REF!</definedName>
    <definedName name="Gen79UnitType" localSheetId="2">#REF!</definedName>
    <definedName name="Gen79UnitType">#REF!</definedName>
    <definedName name="Gen91CoalCo" localSheetId="6">#REF!</definedName>
    <definedName name="Gen91CoalCo" localSheetId="2">#REF!</definedName>
    <definedName name="Gen91CoalCo">#REF!</definedName>
    <definedName name="Gen91CurrPrior" localSheetId="6">#REF!</definedName>
    <definedName name="Gen91CurrPrior" localSheetId="2">#REF!</definedName>
    <definedName name="Gen91CurrPrior">#REF!</definedName>
    <definedName name="Gen91Fuel" localSheetId="6">#REF!</definedName>
    <definedName name="Gen91Fuel" localSheetId="2">#REF!</definedName>
    <definedName name="Gen91Fuel">#REF!</definedName>
    <definedName name="Gen91FuelwTax" localSheetId="6">#REF!</definedName>
    <definedName name="Gen91FuelwTax" localSheetId="2">#REF!</definedName>
    <definedName name="Gen91FuelwTax">#REF!</definedName>
    <definedName name="Gen91InvoiceType" localSheetId="6">#REF!</definedName>
    <definedName name="Gen91InvoiceType" localSheetId="2">#REF!</definedName>
    <definedName name="Gen91InvoiceType">#REF!</definedName>
    <definedName name="Gen91SourceData" localSheetId="6">#REF!</definedName>
    <definedName name="Gen91SourceData" localSheetId="2">#REF!</definedName>
    <definedName name="Gen91SourceData">#REF!</definedName>
    <definedName name="Gen91Stats" localSheetId="6">#REF!</definedName>
    <definedName name="Gen91Stats" localSheetId="2">#REF!</definedName>
    <definedName name="Gen91Stats">#REF!</definedName>
    <definedName name="Gen91Transp" localSheetId="6">#REF!</definedName>
    <definedName name="Gen91Transp" localSheetId="2">#REF!</definedName>
    <definedName name="Gen91Transp">#REF!</definedName>
    <definedName name="Gen91Units" localSheetId="6">#REF!</definedName>
    <definedName name="Gen91Units" localSheetId="2">#REF!</definedName>
    <definedName name="Gen91Units">#REF!</definedName>
    <definedName name="Gen91UnitType" localSheetId="6">#REF!</definedName>
    <definedName name="Gen91UnitType" localSheetId="2">#REF!</definedName>
    <definedName name="Gen91UnitType">#REF!</definedName>
    <definedName name="Gen92CoalCo" localSheetId="6">#REF!</definedName>
    <definedName name="Gen92CoalCo" localSheetId="2">#REF!</definedName>
    <definedName name="Gen92CoalCo">#REF!</definedName>
    <definedName name="Gen92CurrPrior" localSheetId="6">#REF!</definedName>
    <definedName name="Gen92CurrPrior" localSheetId="2">#REF!</definedName>
    <definedName name="Gen92CurrPrior">#REF!</definedName>
    <definedName name="Gen92Fuel" localSheetId="6">#REF!</definedName>
    <definedName name="Gen92Fuel" localSheetId="2">#REF!</definedName>
    <definedName name="Gen92Fuel">#REF!</definedName>
    <definedName name="Gen92FuelwTax" localSheetId="6">#REF!</definedName>
    <definedName name="Gen92FuelwTax" localSheetId="2">#REF!</definedName>
    <definedName name="Gen92FuelwTax">#REF!</definedName>
    <definedName name="Gen92InvoiceType" localSheetId="6">#REF!</definedName>
    <definedName name="Gen92InvoiceType" localSheetId="2">#REF!</definedName>
    <definedName name="Gen92InvoiceType">#REF!</definedName>
    <definedName name="Gen92SourceData" localSheetId="6">#REF!</definedName>
    <definedName name="Gen92SourceData" localSheetId="2">#REF!</definedName>
    <definedName name="Gen92SourceData">#REF!</definedName>
    <definedName name="Gen92Stats" localSheetId="6">#REF!</definedName>
    <definedName name="Gen92Stats" localSheetId="2">#REF!</definedName>
    <definedName name="Gen92Stats">#REF!</definedName>
    <definedName name="Gen92Transp" localSheetId="6">#REF!</definedName>
    <definedName name="Gen92Transp" localSheetId="2">#REF!</definedName>
    <definedName name="Gen92Transp">#REF!</definedName>
    <definedName name="Gen92Units" localSheetId="6">#REF!</definedName>
    <definedName name="Gen92Units" localSheetId="2">#REF!</definedName>
    <definedName name="Gen92Units">#REF!</definedName>
    <definedName name="Gen92UnitType" localSheetId="6">#REF!</definedName>
    <definedName name="Gen92UnitType" localSheetId="2">#REF!</definedName>
    <definedName name="Gen92UnitType">#REF!</definedName>
    <definedName name="Gen93CoalCo" localSheetId="6">#REF!</definedName>
    <definedName name="Gen93CoalCo" localSheetId="2">#REF!</definedName>
    <definedName name="Gen93CoalCo">#REF!</definedName>
    <definedName name="Gen93CurrPrior" localSheetId="6">#REF!</definedName>
    <definedName name="Gen93CurrPrior" localSheetId="2">#REF!</definedName>
    <definedName name="Gen93CurrPrior">#REF!</definedName>
    <definedName name="Gen93Fuel" localSheetId="6">#REF!</definedName>
    <definedName name="Gen93Fuel" localSheetId="2">#REF!</definedName>
    <definedName name="Gen93Fuel">#REF!</definedName>
    <definedName name="Gen93FuelwTax" localSheetId="6">#REF!</definedName>
    <definedName name="Gen93FuelwTax" localSheetId="2">#REF!</definedName>
    <definedName name="Gen93FuelwTax">#REF!</definedName>
    <definedName name="Gen93InvoiceType" localSheetId="6">#REF!</definedName>
    <definedName name="Gen93InvoiceType" localSheetId="2">#REF!</definedName>
    <definedName name="Gen93InvoiceType">#REF!</definedName>
    <definedName name="Gen93SourceData" localSheetId="6">#REF!</definedName>
    <definedName name="Gen93SourceData" localSheetId="2">#REF!</definedName>
    <definedName name="Gen93SourceData">#REF!</definedName>
    <definedName name="Gen93Stats" localSheetId="6">#REF!</definedName>
    <definedName name="Gen93Stats" localSheetId="2">#REF!</definedName>
    <definedName name="Gen93Stats">#REF!</definedName>
    <definedName name="Gen93Transp" localSheetId="6">#REF!</definedName>
    <definedName name="Gen93Transp" localSheetId="2">#REF!</definedName>
    <definedName name="Gen93Transp">#REF!</definedName>
    <definedName name="Gen93Units" localSheetId="6">#REF!</definedName>
    <definedName name="Gen93Units" localSheetId="2">#REF!</definedName>
    <definedName name="Gen93Units">#REF!</definedName>
    <definedName name="Gen93UnitType" localSheetId="6">#REF!</definedName>
    <definedName name="Gen93UnitType" localSheetId="2">#REF!</definedName>
    <definedName name="Gen93UnitType">#REF!</definedName>
    <definedName name="Gen94CoalCo" localSheetId="6">#REF!</definedName>
    <definedName name="Gen94CoalCo" localSheetId="2">#REF!</definedName>
    <definedName name="Gen94CoalCo">#REF!</definedName>
    <definedName name="Gen94CurrPrior" localSheetId="6">#REF!</definedName>
    <definedName name="Gen94CurrPrior" localSheetId="2">#REF!</definedName>
    <definedName name="Gen94CurrPrior">#REF!</definedName>
    <definedName name="Gen94Fuel" localSheetId="6">#REF!</definedName>
    <definedName name="Gen94Fuel" localSheetId="2">#REF!</definedName>
    <definedName name="Gen94Fuel">#REF!</definedName>
    <definedName name="Gen94FuelwTax" localSheetId="6">#REF!</definedName>
    <definedName name="Gen94FuelwTax" localSheetId="2">#REF!</definedName>
    <definedName name="Gen94FuelwTax">#REF!</definedName>
    <definedName name="Gen94InvoiceType" localSheetId="6">#REF!</definedName>
    <definedName name="Gen94InvoiceType" localSheetId="2">#REF!</definedName>
    <definedName name="Gen94InvoiceType">#REF!</definedName>
    <definedName name="Gen94SourceData" localSheetId="6">#REF!</definedName>
    <definedName name="Gen94SourceData" localSheetId="2">#REF!</definedName>
    <definedName name="Gen94SourceData">#REF!</definedName>
    <definedName name="Gen94Stats" localSheetId="6">#REF!</definedName>
    <definedName name="Gen94Stats" localSheetId="2">#REF!</definedName>
    <definedName name="Gen94Stats">#REF!</definedName>
    <definedName name="Gen94Transp" localSheetId="6">#REF!</definedName>
    <definedName name="Gen94Transp" localSheetId="2">#REF!</definedName>
    <definedName name="Gen94Transp">#REF!</definedName>
    <definedName name="Gen94Units" localSheetId="6">#REF!</definedName>
    <definedName name="Gen94Units" localSheetId="2">#REF!</definedName>
    <definedName name="Gen94Units">#REF!</definedName>
    <definedName name="Gen94UnitType" localSheetId="6">#REF!</definedName>
    <definedName name="Gen94UnitType" localSheetId="2">#REF!</definedName>
    <definedName name="Gen94UnitType">#REF!</definedName>
    <definedName name="Gen95CoalCo" localSheetId="6">#REF!</definedName>
    <definedName name="Gen95CoalCo" localSheetId="2">#REF!</definedName>
    <definedName name="Gen95CoalCo">#REF!</definedName>
    <definedName name="Gen95CurrPrior" localSheetId="6">#REF!</definedName>
    <definedName name="Gen95CurrPrior" localSheetId="2">#REF!</definedName>
    <definedName name="Gen95CurrPrior">#REF!</definedName>
    <definedName name="Gen95Fuel" localSheetId="6">#REF!</definedName>
    <definedName name="Gen95Fuel" localSheetId="2">#REF!</definedName>
    <definedName name="Gen95Fuel">#REF!</definedName>
    <definedName name="Gen95FuelwTax" localSheetId="6">#REF!</definedName>
    <definedName name="Gen95FuelwTax" localSheetId="2">#REF!</definedName>
    <definedName name="Gen95FuelwTax">#REF!</definedName>
    <definedName name="Gen95InvoiceType" localSheetId="6">#REF!</definedName>
    <definedName name="Gen95InvoiceType" localSheetId="2">#REF!</definedName>
    <definedName name="Gen95InvoiceType">#REF!</definedName>
    <definedName name="Gen95SourceData" localSheetId="6">#REF!</definedName>
    <definedName name="Gen95SourceData" localSheetId="2">#REF!</definedName>
    <definedName name="Gen95SourceData">#REF!</definedName>
    <definedName name="Gen95Stats" localSheetId="6">#REF!</definedName>
    <definedName name="Gen95Stats" localSheetId="2">#REF!</definedName>
    <definedName name="Gen95Stats">#REF!</definedName>
    <definedName name="Gen95Transp" localSheetId="6">#REF!</definedName>
    <definedName name="Gen95Transp" localSheetId="2">#REF!</definedName>
    <definedName name="Gen95Transp">#REF!</definedName>
    <definedName name="Gen95Units" localSheetId="6">#REF!</definedName>
    <definedName name="Gen95Units" localSheetId="2">#REF!</definedName>
    <definedName name="Gen95Units">#REF!</definedName>
    <definedName name="Gen95UnitType" localSheetId="6">#REF!</definedName>
    <definedName name="Gen95UnitType" localSheetId="2">#REF!</definedName>
    <definedName name="Gen95UnitType">#REF!</definedName>
    <definedName name="Gen97CoalCo" localSheetId="6">#REF!</definedName>
    <definedName name="Gen97CoalCo" localSheetId="2">#REF!</definedName>
    <definedName name="Gen97CoalCo">#REF!</definedName>
    <definedName name="Gen97CurrPrior" localSheetId="6">#REF!</definedName>
    <definedName name="Gen97CurrPrior" localSheetId="2">#REF!</definedName>
    <definedName name="Gen97CurrPrior">#REF!</definedName>
    <definedName name="Gen97Fuel" localSheetId="6">#REF!</definedName>
    <definedName name="Gen97Fuel" localSheetId="2">#REF!</definedName>
    <definedName name="Gen97Fuel">#REF!</definedName>
    <definedName name="Gen97FuelwTax" localSheetId="6">#REF!</definedName>
    <definedName name="Gen97FuelwTax" localSheetId="2">#REF!</definedName>
    <definedName name="Gen97FuelwTax">#REF!</definedName>
    <definedName name="Gen97InvoiceType" localSheetId="6">#REF!</definedName>
    <definedName name="Gen97InvoiceType" localSheetId="2">#REF!</definedName>
    <definedName name="Gen97InvoiceType">#REF!</definedName>
    <definedName name="Gen97SourceData" localSheetId="6">#REF!</definedName>
    <definedName name="Gen97SourceData" localSheetId="2">#REF!</definedName>
    <definedName name="Gen97SourceData">#REF!</definedName>
    <definedName name="Gen97Stats" localSheetId="6">#REF!</definedName>
    <definedName name="Gen97Stats" localSheetId="2">#REF!</definedName>
    <definedName name="Gen97Stats">#REF!</definedName>
    <definedName name="Gen97transp" localSheetId="6">#REF!</definedName>
    <definedName name="Gen97transp" localSheetId="2">#REF!</definedName>
    <definedName name="Gen97transp">#REF!</definedName>
    <definedName name="Gen97Units" localSheetId="6">#REF!</definedName>
    <definedName name="Gen97Units" localSheetId="2">#REF!</definedName>
    <definedName name="Gen97Units">#REF!</definedName>
    <definedName name="Gen97UnitType" localSheetId="6">#REF!</definedName>
    <definedName name="Gen97UnitType" localSheetId="2">#REF!</definedName>
    <definedName name="Gen97UnitType">#REF!</definedName>
    <definedName name="GenDol" localSheetId="8">OFFSET(#REF!,0,0,COUNTA(#REF!),1)</definedName>
    <definedName name="GenDol">OFFSET(#REF!,0,0,COUNTA(#REF!),1)</definedName>
    <definedName name="GenDol_Amt" localSheetId="8">OFFSET(#REF!,0,0,COUNTA(#REF!),1)</definedName>
    <definedName name="GenDol_Amt">OFFSET(#REF!,0,0,COUNTA(#REF!),1)</definedName>
    <definedName name="GenDol_Amt2" localSheetId="8">OFFSET(#REF!,0,0,COUNTA(#REF!),1)</definedName>
    <definedName name="GenDol_Amt2">OFFSET(#REF!,0,0,COUNTA(#REF!),1)</definedName>
    <definedName name="GenDol_BD" localSheetId="8">OFFSET(#REF!,0,0,COUNTA(#REF!),1)</definedName>
    <definedName name="GenDol_BD">OFFSET(#REF!,0,0,COUNTA(#REF!),1)</definedName>
    <definedName name="GenDol_Corp" localSheetId="8">OFFSET(#REF!,0,0,COUNTA(#REF!),1)</definedName>
    <definedName name="GenDol_Corp">OFFSET(#REF!,0,0,COUNTA(#REF!),1)</definedName>
    <definedName name="GenDol_FuelType" localSheetId="8">OFFSET(#REF!,0,0,COUNTA(#REF!),1)</definedName>
    <definedName name="GenDol_FuelType">OFFSET(#REF!,0,0,COUNTA(#REF!),1)</definedName>
    <definedName name="GenDol_Majmin" localSheetId="8">OFFSET(#REF!,0,0,COUNTA(#REF!),1)</definedName>
    <definedName name="GenDol_Majmin">OFFSET(#REF!,0,0,COUNTA(#REF!),1)</definedName>
    <definedName name="GenDol_RMC" localSheetId="8">OFFSET(#REF!,0,0,COUNTA(#REF!),1)</definedName>
    <definedName name="GenDol_RMC">OFFSET(#REF!,0,0,COUNTA(#REF!),1)</definedName>
    <definedName name="GenDol_RT" localSheetId="8">OFFSET(#REF!,0,0,COUNTA(#REF!),1)</definedName>
    <definedName name="GenDol_RT">OFFSET(#REF!,0,0,COUNTA(#REF!),1)</definedName>
    <definedName name="GenDolAmt" localSheetId="8">OFFSET(#REF!,0,0,COUNTA(#REF!),1)</definedName>
    <definedName name="GenDolAmt">OFFSET(#REF!,0,0,COUNTA(#REF!),1)</definedName>
    <definedName name="GenDolYTD" localSheetId="8">OFFSET(#REF!,0,0,COUNTA(#REF!),1)</definedName>
    <definedName name="GenDolYTD">OFFSET(#REF!,0,0,COUNTA(#REF!),1)</definedName>
    <definedName name="GenTons" localSheetId="8">OFFSET(#REF!,0,0,COUNTA(#REF!),1)</definedName>
    <definedName name="GenTons">OFFSET(#REF!,0,0,COUNTA(#REF!),1)</definedName>
    <definedName name="home" localSheetId="6">#REF!</definedName>
    <definedName name="home" localSheetId="2">#REF!</definedName>
    <definedName name="home">#REF!</definedName>
    <definedName name="intedp2data" localSheetId="6">#REF!</definedName>
    <definedName name="intedp2data" localSheetId="2">#REF!</definedName>
    <definedName name="intedp2data">#REF!</definedName>
    <definedName name="Inv_JE" localSheetId="6">#REF!</definedName>
    <definedName name="Inv_JE" localSheetId="2">#REF!</definedName>
    <definedName name="Inv_JE">#REF!</definedName>
    <definedName name="Inv_wp" localSheetId="6">#REF!</definedName>
    <definedName name="Inv_wp" localSheetId="2">#REF!</definedName>
    <definedName name="Inv_wp">#REF!</definedName>
    <definedName name="InvDol_Amt" localSheetId="8">OFFSET(#REF!,0,0,COUNTA(#REF!),1)</definedName>
    <definedName name="InvDol_Amt">OFFSET(#REF!,0,0,COUNTA(#REF!),1)</definedName>
    <definedName name="InvDol_AmtPrior" localSheetId="8">OFFSET(#REF!,0,0,COUNTA(#REF!),1)</definedName>
    <definedName name="InvDol_AmtPrior">OFFSET(#REF!,0,0,COUNTA(#REF!),1)</definedName>
    <definedName name="InvDol_BD" localSheetId="8">OFFSET(#REF!,0,0,COUNTA(#REF!),1)</definedName>
    <definedName name="InvDol_BD">OFFSET(#REF!,0,0,COUNTA(#REF!),1)</definedName>
    <definedName name="InvDol_FuelType" localSheetId="8">OFFSET(#REF!,0,0,COUNTA(#REF!),1)</definedName>
    <definedName name="InvDol_FuelType">OFFSET(#REF!,0,0,COUNTA(#REF!),1)</definedName>
    <definedName name="InvDol_Majmin" localSheetId="8">OFFSET(#REF!,0,0,COUNTA(#REF!),1)</definedName>
    <definedName name="InvDol_Majmin">OFFSET(#REF!,0,0,COUNTA(#REF!),1)</definedName>
    <definedName name="InvDolAmt" localSheetId="8">OFFSET(#REF!,0,0,COUNTA(#REF!),1)</definedName>
    <definedName name="InvDolAmt">OFFSET(#REF!,0,0,COUNTA(#REF!),1)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anGenDol" localSheetId="8">OFFSET(#REF!,0,0,COUNTA(#REF!),1)</definedName>
    <definedName name="JanGenDol">OFFSET(#REF!,0,0,COUNTA(#REF!),1)</definedName>
    <definedName name="JanInvDol" localSheetId="8">OFFSET(#REF!,0,0,COUNTA(#REF!),1)</definedName>
    <definedName name="JanInvDol">OFFSET(#REF!,0,0,COUNTA(#REF!),1)</definedName>
    <definedName name="JanTonInv" localSheetId="8">OFFSET(#REF!,0,0,COUNTA(#REF!),1)</definedName>
    <definedName name="JanTonInv">OFFSET(#REF!,0,0,COUNTA(#REF!),1)</definedName>
    <definedName name="JanUnits" localSheetId="8">OFFSET(#REF!,0,0,COUNTA(#REF!),1)</definedName>
    <definedName name="JanUnits">OFFSET(#REF!,0,0,COUNTA(#REF!),1)</definedName>
    <definedName name="JE33WP" localSheetId="6">#REF!</definedName>
    <definedName name="JE33WP" localSheetId="2">#REF!</definedName>
    <definedName name="JE33WP">#REF!</definedName>
    <definedName name="JOURNAL_VOUCHER" localSheetId="6">#REF!</definedName>
    <definedName name="JOURNAL_VOUCHER" localSheetId="0">#REF!</definedName>
    <definedName name="JOURNAL_VOUCHER" localSheetId="1">#REF!</definedName>
    <definedName name="JOURNAL_VOUCHER" localSheetId="2">#REF!</definedName>
    <definedName name="JOURNAL_VOUCHER" localSheetId="9">#REF!</definedName>
    <definedName name="JOURNAL_VOUCHER">#REF!</definedName>
    <definedName name="JulGenDol" localSheetId="8">OFFSET(#REF!,0,0,COUNTA(#REF!),1)</definedName>
    <definedName name="JulGenDol">OFFSET(#REF!,0,0,COUNTA(#REF!),1)</definedName>
    <definedName name="JulInvDol" localSheetId="8">OFFSET(#REF!,0,0,COUNTA(#REF!),1)</definedName>
    <definedName name="JulInvDol">OFFSET(#REF!,0,0,COUNTA(#REF!),1)</definedName>
    <definedName name="JulTonInv" localSheetId="8">OFFSET(#REF!,0,0,COUNTA(#REF!),1)</definedName>
    <definedName name="JulTonInv">OFFSET(#REF!,0,0,COUNTA(#REF!),1)</definedName>
    <definedName name="JulUnits" localSheetId="8">OFFSET(#REF!,0,0,COUNTA(#REF!),1)</definedName>
    <definedName name="JulUnits">OFFSET(#REF!,0,0,COUNTA(#REF!),1)</definedName>
    <definedName name="JunGenDol" localSheetId="8">OFFSET(#REF!,0,0,COUNTA(#REF!),1)</definedName>
    <definedName name="JunGenDol">OFFSET(#REF!,0,0,COUNTA(#REF!),1)</definedName>
    <definedName name="JunInvDol" localSheetId="8">OFFSET(#REF!,0,0,COUNTA(#REF!),1)</definedName>
    <definedName name="JunInvDol">OFFSET(#REF!,0,0,COUNTA(#REF!),1)</definedName>
    <definedName name="JunTonInv" localSheetId="8">OFFSET(#REF!,0,0,COUNTA(#REF!),1)</definedName>
    <definedName name="JunTonInv">OFFSET(#REF!,0,0,COUNTA(#REF!),1)</definedName>
    <definedName name="JunUnits" localSheetId="8">OFFSET(#REF!,0,0,COUNTA(#REF!),1)</definedName>
    <definedName name="JunUnits">OFFSET(#REF!,0,0,COUNTA(#REF!),1)</definedName>
    <definedName name="KVAR" localSheetId="6">#REF!</definedName>
    <definedName name="KVAR" localSheetId="2">#REF!</definedName>
    <definedName name="KVAR">#REF!</definedName>
    <definedName name="Kwh_Amt" localSheetId="8">OFFSET(#REF!,0,0,COUNTA(#REF!),1)</definedName>
    <definedName name="Kwh_Amt">OFFSET(#REF!,0,0,COUNTA(#REF!),1)</definedName>
    <definedName name="Kwh_Amt2" localSheetId="8">OFFSET(#REF!,0,0,COUNTA(#REF!),1)</definedName>
    <definedName name="Kwh_Amt2">OFFSET(#REF!,0,0,COUNTA(#REF!),1)</definedName>
    <definedName name="Kwh_Amt3" localSheetId="8">OFFSET(#REF!,0,0,COUNTA(#REF!),1)</definedName>
    <definedName name="Kwh_Amt3">OFFSET(#REF!,0,0,COUNTA(#REF!),1)</definedName>
    <definedName name="Kwh_Amt4" localSheetId="8">OFFSET(#REF!,0,0,COUNTA(#REF!),1)</definedName>
    <definedName name="Kwh_Amt4">OFFSET(#REF!,0,0,COUNTA(#REF!),1)</definedName>
    <definedName name="Kwh_BD" localSheetId="8">OFFSET(#REF!,0,0,COUNTA(#REF!),1)</definedName>
    <definedName name="Kwh_BD">OFFSET(#REF!,0,0,COUNTA(#REF!),1)</definedName>
    <definedName name="Kwh_Corp" localSheetId="8">OFFSET(#REF!,0,0,COUNTA(#REF!),1)</definedName>
    <definedName name="Kwh_Corp">OFFSET(#REF!,0,0,COUNTA(#REF!),1)</definedName>
    <definedName name="Kwh_majmin" localSheetId="8">OFFSET(#REF!,0,0,COUNTA(#REF!),1)</definedName>
    <definedName name="Kwh_majmin">OFFSET(#REF!,0,0,COUNTA(#REF!),1)</definedName>
    <definedName name="LABOR_RATIO" localSheetId="6">#REF!</definedName>
    <definedName name="LABOR_RATIO" localSheetId="0">#REF!</definedName>
    <definedName name="LABOR_RATIO" localSheetId="1">#REF!</definedName>
    <definedName name="LABOR_RATIO" localSheetId="2">#REF!</definedName>
    <definedName name="LABOR_RATIO" localSheetId="9">#REF!</definedName>
    <definedName name="LABOR_RATIO">#REF!</definedName>
    <definedName name="LOV_FinGlDesktopEntryPageDef_HeaderAccountingPeriodList" hidden="1">#REF!</definedName>
    <definedName name="LOV_FinGlDesktopEntryPageDef_HeaderLedgerIdList" hidden="1">#REF!</definedName>
    <definedName name="LOV_FinGlDesktopEntryPageDef_HeaderReversalPeriodList" hidden="1">#REF!</definedName>
    <definedName name="LOV_FinGlDesktopEntryPageDef_HeaderSourceList" hidden="1">#REF!</definedName>
    <definedName name="LOV_oracle_apps_financials_generalLedger_journals_desktopEntry_di_FinGlDesktopMultibatchEntryPageDef_CurrencyCode" hidden="1">#REF!</definedName>
    <definedName name="LOV_oracle_apps_financials_generalLedger_journals_desktopEntry_di_FinGlDesktopMultibatchEntryPageDef_LedgerId" hidden="1">#REF!</definedName>
    <definedName name="LOV_oracle_apps_financials_generalLedger_journals_desktopEntry_di_FinGlDesktopMultibatchEntryPageDef_PeriodName" hidden="1">#REF!</definedName>
    <definedName name="LOV_oracle_apps_financials_generalLedger_journals_desktopEntry_di_FinGlDesktopMultibatchEntryPageDef_ReversalPeriodName" hidden="1">#REF!</definedName>
    <definedName name="LOV_oracle_apps_financials_generalLedger_journals_desktopEntry_di_FinGlDesktopMultibatchEntryPageDef_UserCurrencyConversionType" hidden="1">#REF!</definedName>
    <definedName name="LOV_oracle_apps_financials_generalLedger_journals_desktopEntry_di_FinGlDesktopMultibatchEntryPageDef_UserJeSourceName" hidden="1">#REF!</definedName>
    <definedName name="MailBCC" localSheetId="8">OFFSET(#REF!,0,0,COUNTA(#REF!),1)</definedName>
    <definedName name="MailBCC">OFFSET(#REF!,0,0,COUNTA(#REF!),1)</definedName>
    <definedName name="MailCC" localSheetId="8">OFFSET(#REF!,0,0,COUNTA(#REF!),1)</definedName>
    <definedName name="MailCC">OFFSET(#REF!,0,0,COUNTA(#REF!),1)</definedName>
    <definedName name="MailTo" localSheetId="8">OFFSET(#REF!,0,0,COUNTA(#REF!),1)</definedName>
    <definedName name="MailTo">OFFSET(#REF!,0,0,COUNTA(#REF!),1)</definedName>
    <definedName name="MajminDol" localSheetId="8">OFFSET(#REF!,0,0,COUNTA(#REF!),1)</definedName>
    <definedName name="MajminDol">OFFSET(#REF!,0,0,COUNTA(#REF!),1)</definedName>
    <definedName name="MAJMINGenDol" localSheetId="8">OFFSET(#REF!,0,0,COUNTA(#REF!),1)</definedName>
    <definedName name="MAJMINGenDol">OFFSET(#REF!,0,0,COUNTA(#REF!),1)</definedName>
    <definedName name="MajminInvDol" localSheetId="8">OFFSET(#REF!,0,0,COUNTA(#REF!),1)</definedName>
    <definedName name="MajminInvDol">OFFSET(#REF!,0,0,COUNTA(#REF!),1)</definedName>
    <definedName name="MajminTonInv" localSheetId="8">OFFSET(#REF!,0,0,COUNTA(#REF!),1)</definedName>
    <definedName name="MajminTonInv">OFFSET(#REF!,0,0,COUNTA(#REF!),1)</definedName>
    <definedName name="MAJMINUnits" localSheetId="8">OFFSET(#REF!,0,0,COUNTA(#REF!),1)</definedName>
    <definedName name="MAJMINUnits">OFFSET(#REF!,0,0,COUNTA(#REF!),1)</definedName>
    <definedName name="MarGenDol" localSheetId="8">OFFSET(#REF!,0,0,COUNTA(#REF!),1)</definedName>
    <definedName name="MarGenDol">OFFSET(#REF!,0,0,COUNTA(#REF!),1)</definedName>
    <definedName name="MarInvDol" localSheetId="8">OFFSET(#REF!,0,0,COUNTA(#REF!),1)</definedName>
    <definedName name="MarInvDol">OFFSET(#REF!,0,0,COUNTA(#REF!),1)</definedName>
    <definedName name="MarTonInv" localSheetId="8">OFFSET(#REF!,0,0,COUNTA(#REF!),1)</definedName>
    <definedName name="MarTonInv">OFFSET(#REF!,0,0,COUNTA(#REF!),1)</definedName>
    <definedName name="MarUnits" localSheetId="8">OFFSET(#REF!,0,0,COUNTA(#REF!),1)</definedName>
    <definedName name="MarUnits">OFFSET(#REF!,0,0,COUNTA(#REF!),1)</definedName>
    <definedName name="MatTonInv" localSheetId="8">OFFSET(#REF!,0,0,COUNTA(#REF!),1)</definedName>
    <definedName name="MatTonInv">OFFSET(#REF!,0,0,COUNTA(#REF!),1)</definedName>
    <definedName name="MayGenDol" localSheetId="8">OFFSET(#REF!,0,0,COUNTA(#REF!),1)</definedName>
    <definedName name="MayGenDol">OFFSET(#REF!,0,0,COUNTA(#REF!),1)</definedName>
    <definedName name="MayInvDol" localSheetId="8">OFFSET(#REF!,0,0,COUNTA(#REF!),1)</definedName>
    <definedName name="MayInvDol">OFFSET(#REF!,0,0,COUNTA(#REF!),1)</definedName>
    <definedName name="MayTonInv" localSheetId="8">OFFSET(#REF!,0,0,COUNTA(#REF!),1)</definedName>
    <definedName name="MayTonInv">OFFSET(#REF!,0,0,COUNTA(#REF!),1)</definedName>
    <definedName name="MayUnits" localSheetId="8">OFFSET(#REF!,0,0,COUNTA(#REF!),1)</definedName>
    <definedName name="MayUnits">OFFSET(#REF!,0,0,COUNTA(#REF!),1)</definedName>
    <definedName name="Mid_Peak_KWH" localSheetId="6">#REF!</definedName>
    <definedName name="Mid_Peak_KWH" localSheetId="2">#REF!</definedName>
    <definedName name="Mid_Peak_KWH">#REF!</definedName>
    <definedName name="MMbtu_amt" localSheetId="8">OFFSET(#REF!,0,0,COUNTA(#REF!),1)</definedName>
    <definedName name="MMbtu_amt">OFFSET(#REF!,0,0,COUNTA(#REF!),1)</definedName>
    <definedName name="MMbtu_amt01" localSheetId="8">OFFSET(#REF!,0,0,COUNTA(#REF!),1)</definedName>
    <definedName name="MMbtu_amt01">OFFSET(#REF!,0,0,COUNTA(#REF!),1)</definedName>
    <definedName name="MMbtu_amt01p" localSheetId="8">OFFSET(#REF!,0,0,COUNTA(#REF!),1)</definedName>
    <definedName name="MMbtu_amt01p">OFFSET(#REF!,0,0,COUNTA(#REF!),1)</definedName>
    <definedName name="MMbtu_amt02" localSheetId="8">OFFSET(#REF!,0,0,COUNTA(#REF!),1)</definedName>
    <definedName name="MMbtu_amt02">OFFSET(#REF!,0,0,COUNTA(#REF!),1)</definedName>
    <definedName name="MMbtu_amt02p" localSheetId="8">OFFSET(#REF!,0,0,COUNTA(#REF!),1)</definedName>
    <definedName name="MMbtu_amt02p">OFFSET(#REF!,0,0,COUNTA(#REF!),1)</definedName>
    <definedName name="MMbtu_amt03" localSheetId="8">OFFSET(#REF!,0,0,COUNTA(#REF!),1)</definedName>
    <definedName name="MMbtu_amt03">OFFSET(#REF!,0,0,COUNTA(#REF!),1)</definedName>
    <definedName name="MMbtu_amt03p" localSheetId="8">OFFSET(#REF!,0,0,COUNTA(#REF!),1)</definedName>
    <definedName name="MMbtu_amt03p">OFFSET(#REF!,0,0,COUNTA(#REF!),1)</definedName>
    <definedName name="MMbtu_amt04" localSheetId="8">OFFSET(#REF!,0,0,COUNTA(#REF!),1)</definedName>
    <definedName name="MMbtu_amt04">OFFSET(#REF!,0,0,COUNTA(#REF!),1)</definedName>
    <definedName name="MMbtu_amt04p" localSheetId="8">OFFSET(#REF!,0,0,COUNTA(#REF!),1)</definedName>
    <definedName name="MMbtu_amt04p">OFFSET(#REF!,0,0,COUNTA(#REF!),1)</definedName>
    <definedName name="MMbtu_amt05" localSheetId="8">OFFSET(#REF!,0,0,COUNTA(#REF!),1)</definedName>
    <definedName name="MMbtu_amt05">OFFSET(#REF!,0,0,COUNTA(#REF!),1)</definedName>
    <definedName name="MMbtu_amt05p" localSheetId="8">OFFSET(#REF!,0,0,COUNTA(#REF!),1)</definedName>
    <definedName name="MMbtu_amt05p">OFFSET(#REF!,0,0,COUNTA(#REF!),1)</definedName>
    <definedName name="MMbtu_amt06" localSheetId="8">OFFSET(#REF!,0,0,COUNTA(#REF!),1)</definedName>
    <definedName name="MMbtu_amt06">OFFSET(#REF!,0,0,COUNTA(#REF!),1)</definedName>
    <definedName name="MMbtu_amt06p" localSheetId="8">OFFSET(#REF!,0,0,COUNTA(#REF!),1)</definedName>
    <definedName name="MMbtu_amt06p">OFFSET(#REF!,0,0,COUNTA(#REF!),1)</definedName>
    <definedName name="MMbtu_amt07" localSheetId="8">OFFSET(#REF!,0,0,COUNTA(#REF!),1)</definedName>
    <definedName name="MMbtu_amt07">OFFSET(#REF!,0,0,COUNTA(#REF!),1)</definedName>
    <definedName name="MMbtu_amt07p" localSheetId="8">OFFSET(#REF!,0,0,COUNTA(#REF!),1)</definedName>
    <definedName name="MMbtu_amt07p">OFFSET(#REF!,0,0,COUNTA(#REF!),1)</definedName>
    <definedName name="MMbtu_amt08" localSheetId="8">OFFSET(#REF!,0,0,COUNTA(#REF!),1)</definedName>
    <definedName name="MMbtu_amt08">OFFSET(#REF!,0,0,COUNTA(#REF!),1)</definedName>
    <definedName name="MMbtu_amt08p" localSheetId="8">OFFSET(#REF!,0,0,COUNTA(#REF!),1)</definedName>
    <definedName name="MMbtu_amt08p">OFFSET(#REF!,0,0,COUNTA(#REF!),1)</definedName>
    <definedName name="MMbtu_amt09" localSheetId="8">OFFSET(#REF!,0,0,COUNTA(#REF!),1)</definedName>
    <definedName name="MMbtu_amt09">OFFSET(#REF!,0,0,COUNTA(#REF!),1)</definedName>
    <definedName name="MMbtu_amt09p" localSheetId="8">OFFSET(#REF!,0,0,COUNTA(#REF!),1)</definedName>
    <definedName name="MMbtu_amt09p">OFFSET(#REF!,0,0,COUNTA(#REF!),1)</definedName>
    <definedName name="MMbtu_amt10" localSheetId="8">OFFSET(#REF!,0,0,COUNTA(#REF!),1)</definedName>
    <definedName name="MMbtu_amt10">OFFSET(#REF!,0,0,COUNTA(#REF!),1)</definedName>
    <definedName name="MMbtu_amt10p" localSheetId="8">OFFSET(#REF!,0,0,COUNTA(#REF!),1)</definedName>
    <definedName name="MMbtu_amt10p">OFFSET(#REF!,0,0,COUNTA(#REF!),1)</definedName>
    <definedName name="MMbtu_amt11" localSheetId="8">OFFSET(#REF!,0,0,COUNTA(#REF!),1)</definedName>
    <definedName name="MMbtu_amt11">OFFSET(#REF!,0,0,COUNTA(#REF!),1)</definedName>
    <definedName name="MMbtu_amt11p" localSheetId="8">OFFSET(#REF!,0,0,COUNTA(#REF!),1)</definedName>
    <definedName name="MMbtu_amt11p">OFFSET(#REF!,0,0,COUNTA(#REF!),1)</definedName>
    <definedName name="MMbtu_amt12" localSheetId="8">OFFSET(#REF!,0,0,COUNTA(#REF!),1)</definedName>
    <definedName name="MMbtu_amt12">OFFSET(#REF!,0,0,COUNTA(#REF!),1)</definedName>
    <definedName name="MMbtu_amt12p" localSheetId="8">OFFSET(#REF!,0,0,COUNTA(#REF!),1)</definedName>
    <definedName name="MMbtu_amt12p">OFFSET(#REF!,0,0,COUNTA(#REF!),1)</definedName>
    <definedName name="MMbtu_amt2" localSheetId="8">OFFSET(#REF!,0,0,COUNTA(#REF!),1)</definedName>
    <definedName name="MMbtu_amt2">OFFSET(#REF!,0,0,COUNTA(#REF!),1)</definedName>
    <definedName name="MMbtu_amt3" localSheetId="8">OFFSET(#REF!,0,0,COUNTA(#REF!),1)</definedName>
    <definedName name="MMbtu_amt3">OFFSET(#REF!,0,0,COUNTA(#REF!),1)</definedName>
    <definedName name="MMbtu_amt4" localSheetId="8">OFFSET(#REF!,0,0,COUNTA(#REF!),1)</definedName>
    <definedName name="MMbtu_amt4">OFFSET(#REF!,0,0,COUNTA(#REF!),1)</definedName>
    <definedName name="MMbtu_BD" localSheetId="8">OFFSET(#REF!,0,0,COUNTA(#REF!),1)</definedName>
    <definedName name="MMbtu_BD">OFFSET(#REF!,0,0,COUNTA(#REF!),1)</definedName>
    <definedName name="MMbtu_Corp" localSheetId="8">OFFSET(#REF!,0,0,COUNTA(#REF!),1)</definedName>
    <definedName name="MMbtu_Corp">OFFSET(#REF!,0,0,COUNTA(#REF!),1)</definedName>
    <definedName name="MMbtu_FuelType" localSheetId="8">OFFSET(#REF!,0,0,COUNTA(#REF!),1)</definedName>
    <definedName name="MMbtu_FuelType">OFFSET(#REF!,0,0,COUNTA(#REF!),1)</definedName>
    <definedName name="MMbtu_Majmin" localSheetId="8">OFFSET(#REF!,0,0,COUNTA(#REF!),1)</definedName>
    <definedName name="MMbtu_Majmin">OFFSET(#REF!,0,0,COUNTA(#REF!),1)</definedName>
    <definedName name="MMbtu_RMC" localSheetId="8">OFFSET(#REF!,0,0,COUNTA(#REF!),1)</definedName>
    <definedName name="MMbtu_RMC">OFFSET(#REF!,0,0,COUNTA(#REF!),1)</definedName>
    <definedName name="MMbtu_RT" localSheetId="8">OFFSET(#REF!,0,0,COUNTA(#REF!),1)</definedName>
    <definedName name="MMbtu_RT">OFFSET(#REF!,0,0,COUNTA(#REF!),1)</definedName>
    <definedName name="mmbtu_YTD" localSheetId="8">OFFSET(#REF!,0,0,COUNTA(#REF!),1)</definedName>
    <definedName name="mmbtu_YTD">OFFSET(#REF!,0,0,COUNTA(#REF!),1)</definedName>
    <definedName name="Month" localSheetId="6">#REF!</definedName>
    <definedName name="Month" localSheetId="2">#REF!</definedName>
    <definedName name="Month">#REF!</definedName>
    <definedName name="MonthNum" localSheetId="6">#REF!</definedName>
    <definedName name="MonthNum" localSheetId="2">#REF!</definedName>
    <definedName name="MonthNum">#REF!</definedName>
    <definedName name="Muni_Billable_KWH" localSheetId="6">#REF!</definedName>
    <definedName name="Muni_Billable_KWH" localSheetId="2">#REF!</definedName>
    <definedName name="Muni_Billable_KWH">#REF!</definedName>
    <definedName name="NET_Book_Ratio" localSheetId="8">#REF!</definedName>
    <definedName name="NET_Book_Ratio">#REF!</definedName>
    <definedName name="new" localSheetId="6">#REF!</definedName>
    <definedName name="new" localSheetId="2">#REF!</definedName>
    <definedName name="new">#REF!</definedName>
    <definedName name="newa" localSheetId="6">#REF!</definedName>
    <definedName name="newa" localSheetId="2">#REF!</definedName>
    <definedName name="newa">#REF!</definedName>
    <definedName name="NonGenDol" localSheetId="8">OFFSET(#REF!,0,0,COUNTA(#REF!),1)</definedName>
    <definedName name="NonGenDol">OFFSET(#REF!,0,0,COUNTA(#REF!),1)</definedName>
    <definedName name="NonGenTons" localSheetId="8">OFFSET(#REF!,0,0,COUNTA(#REF!),1)</definedName>
    <definedName name="NonGenTons">OFFSET(#REF!,0,0,COUNTA(#REF!),1)</definedName>
    <definedName name="NovgenDol" localSheetId="8">OFFSET(#REF!,0,0,COUNTA(#REF!),1)</definedName>
    <definedName name="NovgenDol">OFFSET(#REF!,0,0,COUNTA(#REF!),1)</definedName>
    <definedName name="NovInvDol" localSheetId="8">OFFSET(#REF!,0,0,COUNTA(#REF!),1)</definedName>
    <definedName name="NovInvDol">OFFSET(#REF!,0,0,COUNTA(#REF!),1)</definedName>
    <definedName name="NovTonInv" localSheetId="8">OFFSET(#REF!,0,0,COUNTA(#REF!),1)</definedName>
    <definedName name="NovTonInv">OFFSET(#REF!,0,0,COUNTA(#REF!),1)</definedName>
    <definedName name="NovUnits" localSheetId="8">OFFSET(#REF!,0,0,COUNTA(#REF!),1)</definedName>
    <definedName name="NovUnits">OFFSET(#REF!,0,0,COUNTA(#REF!),1)</definedName>
    <definedName name="now" localSheetId="6">#REF!</definedName>
    <definedName name="now" localSheetId="2">#REF!</definedName>
    <definedName name="now">#REF!</definedName>
    <definedName name="NOx" localSheetId="6">#REF!</definedName>
    <definedName name="NOx" localSheetId="2">#REF!</definedName>
    <definedName name="NOx">#REF!</definedName>
    <definedName name="NUC_ratio" localSheetId="8">#REF!</definedName>
    <definedName name="NUC_ratio">#REF!</definedName>
    <definedName name="NvsASD">"V2002-12-31"</definedName>
    <definedName name="NvsAutoDrillOk">"VN"</definedName>
    <definedName name="NvsElapsedTime">0.00648252314567799</definedName>
    <definedName name="NvsEndTime">37718.2618033565</definedName>
    <definedName name="NvsInstSpec">"%,FBUSINESS_UNIT,TCONSOLIDATION,NCILCO"</definedName>
    <definedName name="NvsLayoutType">"M3"</definedName>
    <definedName name="NvsPanelEffdt">"V1900-01-01"</definedName>
    <definedName name="NvsPanelSetid">"VCORP1"</definedName>
    <definedName name="NvsReqBU">"V01100"</definedName>
    <definedName name="NvsReqBUOnly">"VN"</definedName>
    <definedName name="NvsTransLed">"VN"</definedName>
    <definedName name="NvsTreeASD">"V2002-12-31"</definedName>
    <definedName name="OctGenDol" localSheetId="8">OFFSET(#REF!,0,0,COUNTA(#REF!),1)</definedName>
    <definedName name="OctGenDol">OFFSET(#REF!,0,0,COUNTA(#REF!),1)</definedName>
    <definedName name="OctInvDol" localSheetId="8">OFFSET(#REF!,0,0,COUNTA(#REF!),1)</definedName>
    <definedName name="OctInvDol">OFFSET(#REF!,0,0,COUNTA(#REF!),1)</definedName>
    <definedName name="OctTonInv" localSheetId="8">OFFSET(#REF!,0,0,COUNTA(#REF!),1)</definedName>
    <definedName name="OctTonInv">OFFSET(#REF!,0,0,COUNTA(#REF!),1)</definedName>
    <definedName name="OctUnits" localSheetId="8">OFFSET(#REF!,0,0,COUNTA(#REF!),1)</definedName>
    <definedName name="OctUnits">OFFSET(#REF!,0,0,COUNTA(#REF!),1)</definedName>
    <definedName name="Off_Peak_KWH" localSheetId="6">#REF!</definedName>
    <definedName name="Off_Peak_KWH" localSheetId="2">#REF!</definedName>
    <definedName name="Off_Peak_KWH">#REF!</definedName>
    <definedName name="Office" localSheetId="6">#REF!</definedName>
    <definedName name="Office" localSheetId="2">#REF!</definedName>
    <definedName name="Office">#REF!</definedName>
    <definedName name="On_Peak_KWH" localSheetId="6">#REF!</definedName>
    <definedName name="On_Peak_KWH" localSheetId="2">#REF!</definedName>
    <definedName name="On_Peak_KWH">#REF!</definedName>
    <definedName name="OTHER_TAXES" localSheetId="6">#REF!</definedName>
    <definedName name="OTHER_TAXES" localSheetId="0">#REF!</definedName>
    <definedName name="OTHER_TAXES" localSheetId="1">#REF!</definedName>
    <definedName name="OTHER_TAXES" localSheetId="2">#REF!</definedName>
    <definedName name="OTHER_TAXES" localSheetId="9">#REF!</definedName>
    <definedName name="OTHER_TAXES">#REF!</definedName>
    <definedName name="OTHER_TAXES_2" localSheetId="6">#REF!</definedName>
    <definedName name="OTHER_TAXES_2" localSheetId="0">#REF!</definedName>
    <definedName name="OTHER_TAXES_2" localSheetId="1">#REF!</definedName>
    <definedName name="OTHER_TAXES_2" localSheetId="2">#REF!</definedName>
    <definedName name="OTHER_TAXES_2" localSheetId="9">#REF!</definedName>
    <definedName name="OTHER_TAXES_2">#REF!</definedName>
    <definedName name="Other_Usage" localSheetId="6">#REF!</definedName>
    <definedName name="Other_Usage" localSheetId="2">#REF!</definedName>
    <definedName name="Other_Usage">#REF!</definedName>
    <definedName name="p" localSheetId="6">#REF!</definedName>
    <definedName name="p" localSheetId="0">#REF!</definedName>
    <definedName name="p" localSheetId="1">#REF!</definedName>
    <definedName name="p" localSheetId="2">#REF!</definedName>
    <definedName name="p" localSheetId="3">#REF!</definedName>
    <definedName name="p" localSheetId="8">#REF!</definedName>
    <definedName name="p">#REF!</definedName>
    <definedName name="Peak_Load_Ratio" localSheetId="8">#REF!</definedName>
    <definedName name="Peak_Load_Ratio">#REF!</definedName>
    <definedName name="PeriodDol" localSheetId="8">OFFSET(#REF!,0,0,COUNTA(#REF!),1)</definedName>
    <definedName name="PeriodDol">OFFSET(#REF!,0,0,COUNTA(#REF!),1)</definedName>
    <definedName name="PeriodDolPrior" localSheetId="8">OFFSET(#REF!,0,0,COUNTA(#REF!),1)</definedName>
    <definedName name="PeriodDolPrior">OFFSET(#REF!,0,0,COUNTA(#REF!),1)</definedName>
    <definedName name="PeriodTonInv" localSheetId="8">OFFSET(#REF!,0,0,COUNTA(#REF!),1)</definedName>
    <definedName name="PeriodTonInv">OFFSET(#REF!,0,0,COUNTA(#REF!),1)</definedName>
    <definedName name="PlanDol" localSheetId="8">OFFSET(#REF!,0,0,COUNTA(#REF!),1)</definedName>
    <definedName name="PlanDol">OFFSET(#REF!,0,0,COUNTA(#REF!),1)</definedName>
    <definedName name="PlantTons" localSheetId="8">OFFSET(#REF!,0,0,COUNTA(#REF!),1)</definedName>
    <definedName name="PlantTons">OFFSET(#REF!,0,0,COUNTA(#REF!),1)</definedName>
    <definedName name="POOL" localSheetId="6">#REF!</definedName>
    <definedName name="POOL" localSheetId="0">#REF!</definedName>
    <definedName name="POOL" localSheetId="1">#REF!</definedName>
    <definedName name="POOL" localSheetId="2">#REF!</definedName>
    <definedName name="POOL" localSheetId="3">#REF!</definedName>
    <definedName name="POOL">#REF!</definedName>
    <definedName name="Primary_Month" localSheetId="6">#REF!</definedName>
    <definedName name="Primary_Month" localSheetId="2">#REF!</definedName>
    <definedName name="Primary_Month">#REF!</definedName>
    <definedName name="_xlnm.Print_Area" localSheetId="18">'Apr 26 Int'!$A$1:$ER$41</definedName>
    <definedName name="_xlnm.Print_Area" localSheetId="10">'Aug 25 Int'!$A$1:$ER$42</definedName>
    <definedName name="_xlnm.Print_Area" localSheetId="14">'Dec 25 Int'!$A$1:$ER$42</definedName>
    <definedName name="_xlnm.Print_Area" localSheetId="6">'ER-2024-0319'!$A$1:$I$57</definedName>
    <definedName name="_xlnm.Print_Area" localSheetId="16">'Feb 26 Int'!$A$1:$EQ$39</definedName>
    <definedName name="_xlnm.Print_Area" localSheetId="15">'Jan 26 Int'!$A$1:$ER$42</definedName>
    <definedName name="_xlnm.Print_Area" localSheetId="21">'Jul 26 Int'!$A$1:$ER$42</definedName>
    <definedName name="_xlnm.Print_Area" localSheetId="20">'Jun 26 Int'!$A$1:$ER$41</definedName>
    <definedName name="_xlnm.Print_Area" localSheetId="17">'Mar 26 Int'!$A$1:$ER$42</definedName>
    <definedName name="_xlnm.Print_Area" localSheetId="19">'May 26 Int'!$A$1:$ER$42</definedName>
    <definedName name="_xlnm.Print_Area" localSheetId="2">'Monthly Cost Tracker 8'!$A$1:$M$32</definedName>
    <definedName name="_xlnm.Print_Area" localSheetId="13">'Nov 25 Int'!$A$1:$ER$41</definedName>
    <definedName name="_xlnm.Print_Area" localSheetId="12">'Oct 25 Int'!$A$1:$ER$42</definedName>
    <definedName name="_xlnm.Print_Area" localSheetId="4">'Rate Schedule'!$A$1:$D$22</definedName>
    <definedName name="_xlnm.Print_Area" localSheetId="11">'Sept 25 Int'!$A$1:$ER$44</definedName>
    <definedName name="Print_Area_MI" localSheetId="6">#REF!</definedName>
    <definedName name="Print_Area_MI" localSheetId="2">#REF!</definedName>
    <definedName name="Print_Area_MI">#REF!</definedName>
    <definedName name="PRINT_MACRO" localSheetId="6">#REF!</definedName>
    <definedName name="PRINT_MACRO" localSheetId="0">#REF!</definedName>
    <definedName name="PRINT_MACRO" localSheetId="1">#REF!</definedName>
    <definedName name="PRINT_MACRO" localSheetId="2">#REF!</definedName>
    <definedName name="PRINT_MACRO" localSheetId="9">#REF!</definedName>
    <definedName name="PRINT_MACRO">#REF!</definedName>
    <definedName name="PriorPeriodTonInv" localSheetId="8">OFFSET(#REF!,0,0,COUNTA(#REF!),1)</definedName>
    <definedName name="PriorPeriodTonInv">OFFSET(#REF!,0,0,COUNTA(#REF!),1)</definedName>
    <definedName name="proforma2" localSheetId="6">#REF!</definedName>
    <definedName name="proforma2" localSheetId="2">#REF!</definedName>
    <definedName name="proforma2">#REF!</definedName>
    <definedName name="PUR" localSheetId="6">#REF!</definedName>
    <definedName name="PUR" localSheetId="0">#REF!</definedName>
    <definedName name="PUR" localSheetId="1">#REF!</definedName>
    <definedName name="PUR" localSheetId="2">#REF!</definedName>
    <definedName name="PUR" localSheetId="3">#REF!</definedName>
    <definedName name="PUR">#REF!</definedName>
    <definedName name="q" localSheetId="6">#REF!</definedName>
    <definedName name="q" localSheetId="0">#REF!</definedName>
    <definedName name="q" localSheetId="1">#REF!</definedName>
    <definedName name="q" localSheetId="2">#REF!</definedName>
    <definedName name="q" localSheetId="3">#REF!</definedName>
    <definedName name="q" localSheetId="8">#REF!</definedName>
    <definedName name="q">#REF!</definedName>
    <definedName name="RANGE_NAMES" localSheetId="6">#REF!</definedName>
    <definedName name="RANGE_NAMES" localSheetId="0">#REF!</definedName>
    <definedName name="RANGE_NAMES" localSheetId="1">#REF!</definedName>
    <definedName name="RANGE_NAMES" localSheetId="2">#REF!</definedName>
    <definedName name="RANGE_NAMES" localSheetId="9">#REF!</definedName>
    <definedName name="RANGE_NAMES">#REF!</definedName>
    <definedName name="Rate" localSheetId="6">#REF!</definedName>
    <definedName name="Rate" localSheetId="2">#REF!</definedName>
    <definedName name="Rate">#REF!</definedName>
    <definedName name="Rate_Month" localSheetId="6">#REF!</definedName>
    <definedName name="Rate_Month" localSheetId="2">#REF!</definedName>
    <definedName name="Rate_Month">#REF!</definedName>
    <definedName name="rates" localSheetId="8">#REF!</definedName>
    <definedName name="rates">#REF!</definedName>
    <definedName name="rd_d" localSheetId="6">#REF!</definedName>
    <definedName name="rd_d" localSheetId="2">#REF!</definedName>
    <definedName name="rd_d">#REF!</definedName>
    <definedName name="RdrB138" localSheetId="6">#REF!</definedName>
    <definedName name="RdrB138" localSheetId="2">#REF!</definedName>
    <definedName name="RdrB138">#REF!</definedName>
    <definedName name="RdrB34" localSheetId="6">#REF!</definedName>
    <definedName name="RdrB34" localSheetId="2">#REF!</definedName>
    <definedName name="RdrB34">#REF!</definedName>
    <definedName name="Reactive_KVAR" localSheetId="6">#REF!</definedName>
    <definedName name="Reactive_KVAR" localSheetId="2">#REF!</definedName>
    <definedName name="Reactive_KVAR">#REF!</definedName>
    <definedName name="Rec_Rate" localSheetId="6">#REF!</definedName>
    <definedName name="Rec_Rate" localSheetId="0">#REF!</definedName>
    <definedName name="Rec_Rate" localSheetId="1">#REF!</definedName>
    <definedName name="Rec_Rate" localSheetId="2">#REF!</definedName>
    <definedName name="Rec_Rate" localSheetId="9">'Rate Base'!#REF!</definedName>
    <definedName name="Rec_Rate">#REF!</definedName>
    <definedName name="rename1">#N/A</definedName>
    <definedName name="rename2" localSheetId="6">PAGE5</definedName>
    <definedName name="rename2" localSheetId="2">PAGE5</definedName>
    <definedName name="rename2" localSheetId="8">PAGE5</definedName>
    <definedName name="rename2">PAGE5</definedName>
    <definedName name="Revenue_Month" localSheetId="6">#REF!</definedName>
    <definedName name="Revenue_Month" localSheetId="2">#REF!</definedName>
    <definedName name="Revenue_Month">#REF!</definedName>
    <definedName name="RGRG">#REF!</definedName>
    <definedName name="Rider_1" localSheetId="6">#REF!</definedName>
    <definedName name="Rider_1" localSheetId="2">#REF!</definedName>
    <definedName name="Rider_1">#REF!</definedName>
    <definedName name="Rider_2" localSheetId="6">#REF!</definedName>
    <definedName name="Rider_2" localSheetId="2">#REF!</definedName>
    <definedName name="Rider_2">#REF!</definedName>
    <definedName name="Rider_3" localSheetId="6">#REF!</definedName>
    <definedName name="Rider_3" localSheetId="2">#REF!</definedName>
    <definedName name="Rider_3">#REF!</definedName>
    <definedName name="Rider_4" localSheetId="6">#REF!</definedName>
    <definedName name="Rider_4" localSheetId="2">#REF!</definedName>
    <definedName name="Rider_4">#REF!</definedName>
    <definedName name="Rider_5" localSheetId="6">#REF!</definedName>
    <definedName name="Rider_5" localSheetId="2">#REF!</definedName>
    <definedName name="Rider_5">#REF!</definedName>
    <definedName name="RMCGenDol" localSheetId="8">OFFSET(#REF!,0,0,COUNTA(#REF!),1)</definedName>
    <definedName name="RMCGenDol">OFFSET(#REF!,0,0,COUNTA(#REF!),1)</definedName>
    <definedName name="RMCUnits" localSheetId="8">OFFSET(#REF!,0,0,COUNTA(#REF!),1)</definedName>
    <definedName name="RMCUnits">OFFSET(#REF!,0,0,COUNTA(#REF!),1)</definedName>
    <definedName name="ROR" localSheetId="6">#REF!</definedName>
    <definedName name="ROR" localSheetId="0">#REF!</definedName>
    <definedName name="ROR" localSheetId="1">#REF!</definedName>
    <definedName name="ROR" localSheetId="2">#REF!</definedName>
    <definedName name="ROR" localSheetId="9">'Rate Base'!#REF!</definedName>
    <definedName name="ROR">#REF!</definedName>
    <definedName name="ROR_2">#REF!</definedName>
    <definedName name="ROR_3">#REF!</definedName>
    <definedName name="ROR_Debt" localSheetId="6">#REF!</definedName>
    <definedName name="ROR_Debt" localSheetId="0">#REF!</definedName>
    <definedName name="ROR_Debt" localSheetId="1">#REF!</definedName>
    <definedName name="ROR_Debt" localSheetId="2">#REF!</definedName>
    <definedName name="ROR_Debt" localSheetId="9">'Rate Base'!#REF!</definedName>
    <definedName name="ROR_Debt">#REF!</definedName>
    <definedName name="ROR_Debt_2">#REF!</definedName>
    <definedName name="ROR_Debt_3">#REF!</definedName>
    <definedName name="ROR_Debt_new" localSheetId="8">#REF!</definedName>
    <definedName name="ROR_Debt_new">#REF!</definedName>
    <definedName name="ROR_new" localSheetId="8">#REF!</definedName>
    <definedName name="ROR_new">#REF!</definedName>
    <definedName name="rr" localSheetId="6">#REF!</definedName>
    <definedName name="rr" localSheetId="0">#REF!</definedName>
    <definedName name="rr" localSheetId="1">#REF!</definedName>
    <definedName name="rr" localSheetId="2">#REF!</definedName>
    <definedName name="rr" localSheetId="3">#REF!</definedName>
    <definedName name="rr" localSheetId="8">#REF!</definedName>
    <definedName name="rr">#REF!</definedName>
    <definedName name="rrr" localSheetId="8">#REF!</definedName>
    <definedName name="rrr">#REF!</definedName>
    <definedName name="RTGenDol" localSheetId="8">OFFSET(#REF!,0,0,COUNTA(#REF!),1)</definedName>
    <definedName name="RTGenDol">OFFSET(#REF!,0,0,COUNTA(#REF!),1)</definedName>
    <definedName name="RTRTRTRT" localSheetId="8">#REF!</definedName>
    <definedName name="RTRTRTRT">#REF!</definedName>
    <definedName name="RTUnits" localSheetId="8">OFFSET(#REF!,0,0,COUNTA(#REF!),1)</definedName>
    <definedName name="RTUnits">OFFSET(#REF!,0,0,COUNTA(#REF!),1)</definedName>
    <definedName name="SALES" localSheetId="6">#REF!</definedName>
    <definedName name="SALES" localSheetId="0">#REF!</definedName>
    <definedName name="SALES" localSheetId="1">#REF!</definedName>
    <definedName name="SALES" localSheetId="2">#REF!</definedName>
    <definedName name="SALES" localSheetId="3">#REF!</definedName>
    <definedName name="SALES">#REF!</definedName>
    <definedName name="SAPBEXrevision" hidden="1">18</definedName>
    <definedName name="SAPBEXsysID" hidden="1">"BWP"</definedName>
    <definedName name="SAPBEXwbID" hidden="1">"3PHPFV8FO7PRQRDHFGKHVVOKV"</definedName>
    <definedName name="SCH01_MISO_Revenue" localSheetId="6">#REF!</definedName>
    <definedName name="SCH01_MISO_Revenue" localSheetId="2">#REF!</definedName>
    <definedName name="SCH01_MISO_Revenue">#REF!</definedName>
    <definedName name="SCH01_Shadow_Revenue" localSheetId="6">#REF!</definedName>
    <definedName name="SCH01_Shadow_Revenue" localSheetId="2">#REF!</definedName>
    <definedName name="SCH01_Shadow_Revenue">#REF!</definedName>
    <definedName name="SCH1_NBV" localSheetId="8">#REF!</definedName>
    <definedName name="SCH1_NBV">#REF!</definedName>
    <definedName name="Seasonal_KWH" localSheetId="6">#REF!</definedName>
    <definedName name="Seasonal_KWH" localSheetId="2">#REF!</definedName>
    <definedName name="Seasonal_KWH">#REF!</definedName>
    <definedName name="SepGenDol" localSheetId="8">OFFSET(#REF!,0,0,COUNTA(#REF!),1)</definedName>
    <definedName name="SepGenDol">OFFSET(#REF!,0,0,COUNTA(#REF!),1)</definedName>
    <definedName name="SepInvDol" localSheetId="8">OFFSET(#REF!,0,0,COUNTA(#REF!),1)</definedName>
    <definedName name="SepInvDol">OFFSET(#REF!,0,0,COUNTA(#REF!),1)</definedName>
    <definedName name="SepTonInv" localSheetId="8">OFFSET(#REF!,0,0,COUNTA(#REF!),1)</definedName>
    <definedName name="SepTonInv">OFFSET(#REF!,0,0,COUNTA(#REF!),1)</definedName>
    <definedName name="SepUnits" localSheetId="8">OFFSET(#REF!,0,0,COUNTA(#REF!),1)</definedName>
    <definedName name="SepUnits">OFFSET(#REF!,0,0,COUNTA(#REF!),1)</definedName>
    <definedName name="SKW" localSheetId="6">#REF!</definedName>
    <definedName name="SKW" localSheetId="2">#REF!</definedName>
    <definedName name="SKW">#REF!</definedName>
    <definedName name="SKWH" localSheetId="6">#REF!</definedName>
    <definedName name="SKWH" localSheetId="2">#REF!</definedName>
    <definedName name="SKWH">#REF!</definedName>
    <definedName name="SOffpkkwh" localSheetId="6">#REF!</definedName>
    <definedName name="SOffpkkwh" localSheetId="2">#REF!</definedName>
    <definedName name="SOffpkkwh">#REF!</definedName>
    <definedName name="SOnpkkwh" localSheetId="6">#REF!</definedName>
    <definedName name="SOnpkkwh" localSheetId="2">#REF!</definedName>
    <definedName name="SOnpkkwh">#REF!</definedName>
    <definedName name="SPA" localSheetId="6">#REF!</definedName>
    <definedName name="SPA" localSheetId="0">#REF!</definedName>
    <definedName name="SPA" localSheetId="1">#REF!</definedName>
    <definedName name="SPA" localSheetId="2">#REF!</definedName>
    <definedName name="SPA" localSheetId="3">#REF!</definedName>
    <definedName name="SPA">#REF!</definedName>
    <definedName name="TAB1136877249">#REF!</definedName>
    <definedName name="table" localSheetId="6">#REF!</definedName>
    <definedName name="table" localSheetId="2">#REF!</definedName>
    <definedName name="table">#REF!</definedName>
    <definedName name="Tariff" localSheetId="6">#REF!</definedName>
    <definedName name="Tariff" localSheetId="2">#REF!</definedName>
    <definedName name="Tariff">#REF!</definedName>
    <definedName name="TAX_RATES_1" localSheetId="6">#REF!</definedName>
    <definedName name="TAX_RATES_1" localSheetId="0">#REF!</definedName>
    <definedName name="TAX_RATES_1" localSheetId="1">#REF!</definedName>
    <definedName name="TAX_RATES_1" localSheetId="2">#REF!</definedName>
    <definedName name="TAX_RATES_1" localSheetId="9">#REF!</definedName>
    <definedName name="TAX_RATES_1">#REF!</definedName>
    <definedName name="TAX_RATES_2" localSheetId="6">#REF!</definedName>
    <definedName name="TAX_RATES_2" localSheetId="0">#REF!</definedName>
    <definedName name="TAX_RATES_2" localSheetId="1">#REF!</definedName>
    <definedName name="TAX_RATES_2" localSheetId="2">#REF!</definedName>
    <definedName name="TAX_RATES_2" localSheetId="9">#REF!</definedName>
    <definedName name="TAX_RATES_2">#REF!</definedName>
    <definedName name="TAX_RATES_3" localSheetId="6">#REF!</definedName>
    <definedName name="TAX_RATES_3" localSheetId="0">#REF!</definedName>
    <definedName name="TAX_RATES_3" localSheetId="1">#REF!</definedName>
    <definedName name="TAX_RATES_3" localSheetId="2">#REF!</definedName>
    <definedName name="TAX_RATES_3" localSheetId="9">#REF!</definedName>
    <definedName name="TAX_RATES_3">#REF!</definedName>
    <definedName name="tblActivity_Key" localSheetId="6">#REF!</definedName>
    <definedName name="tblActivity_Key" localSheetId="2">#REF!</definedName>
    <definedName name="tblActivity_Key">#REF!</definedName>
    <definedName name="Test" localSheetId="6">#REF!</definedName>
    <definedName name="Test" localSheetId="2">#REF!</definedName>
    <definedName name="Test">#REF!</definedName>
    <definedName name="Test_2" localSheetId="6">#REF!</definedName>
    <definedName name="Test_2" localSheetId="2">#REF!</definedName>
    <definedName name="Test_2">#REF!</definedName>
    <definedName name="TextRefCopyRangeCount">1</definedName>
    <definedName name="Today" localSheetId="6">#REF!</definedName>
    <definedName name="Today" localSheetId="2">#REF!</definedName>
    <definedName name="Today">#REF!</definedName>
    <definedName name="TonInv_Amt" localSheetId="8">OFFSET(#REF!,0,0,COUNTA(#REF!),1)</definedName>
    <definedName name="TonInv_Amt">OFFSET(#REF!,0,0,COUNTA(#REF!),1)</definedName>
    <definedName name="TonInv_AmtPrior" localSheetId="8">OFFSET(#REF!,0,0,COUNTA(#REF!),1)</definedName>
    <definedName name="TonInv_AmtPrior">OFFSET(#REF!,0,0,COUNTA(#REF!),1)</definedName>
    <definedName name="TonInv_BD" localSheetId="8">OFFSET(#REF!,0,0,COUNTA(#REF!),1)</definedName>
    <definedName name="TonInv_BD">OFFSET(#REF!,0,0,COUNTA(#REF!),1)</definedName>
    <definedName name="TonInv_FuelType" localSheetId="8">OFFSET(#REF!,0,0,COUNTA(#REF!),1)</definedName>
    <definedName name="TonInv_FuelType">OFFSET(#REF!,0,0,COUNTA(#REF!),1)</definedName>
    <definedName name="TonInv_Majmin" localSheetId="8">OFFSET(#REF!,0,0,COUNTA(#REF!),1)</definedName>
    <definedName name="TonInv_Majmin">OFFSET(#REF!,0,0,COUNTA(#REF!),1)</definedName>
    <definedName name="TonInv_YTD" localSheetId="8">OFFSET(#REF!,0,0,COUNTA(#REF!),1)</definedName>
    <definedName name="TonInv_YTD">OFFSET(#REF!,0,0,COUNTA(#REF!),1)</definedName>
    <definedName name="Tot_Base_Recalc_Rev" localSheetId="6">#REF!</definedName>
    <definedName name="Tot_Base_Recalc_Rev" localSheetId="2">#REF!</definedName>
    <definedName name="Tot_Base_Recalc_Rev">#REF!</definedName>
    <definedName name="Total_Base_Rev" localSheetId="6">#REF!</definedName>
    <definedName name="Total_Base_Rev" localSheetId="2">#REF!</definedName>
    <definedName name="Total_Base_Rev">#REF!</definedName>
    <definedName name="Total_Crit_Peak_Rev" localSheetId="6">#REF!</definedName>
    <definedName name="Total_Crit_Peak_Rev" localSheetId="2">#REF!</definedName>
    <definedName name="Total_Crit_Peak_Rev">#REF!</definedName>
    <definedName name="Total_Cust_Charge" localSheetId="6">#REF!</definedName>
    <definedName name="Total_Cust_Charge" localSheetId="2">#REF!</definedName>
    <definedName name="Total_Cust_Charge">#REF!</definedName>
    <definedName name="Total_Demand_Rev" localSheetId="6">#REF!</definedName>
    <definedName name="Total_Demand_Rev" localSheetId="2">#REF!</definedName>
    <definedName name="Total_Demand_Rev">#REF!</definedName>
    <definedName name="Total_KWH" localSheetId="6">#REF!</definedName>
    <definedName name="Total_KWH" localSheetId="2">#REF!</definedName>
    <definedName name="Total_KWH">#REF!</definedName>
    <definedName name="Total_KWH_Step_1" localSheetId="6">#REF!</definedName>
    <definedName name="Total_KWH_Step_1" localSheetId="2">#REF!</definedName>
    <definedName name="Total_KWH_Step_1">#REF!</definedName>
    <definedName name="Total_KWH_Step_2" localSheetId="6">#REF!</definedName>
    <definedName name="Total_KWH_Step_2" localSheetId="2">#REF!</definedName>
    <definedName name="Total_KWH_Step_2">#REF!</definedName>
    <definedName name="Total_KWH_Step_3" localSheetId="6">#REF!</definedName>
    <definedName name="Total_KWH_Step_3" localSheetId="2">#REF!</definedName>
    <definedName name="Total_KWH_Step_3">#REF!</definedName>
    <definedName name="Total_Off_Peak_Rev" localSheetId="6">#REF!</definedName>
    <definedName name="Total_Off_Peak_Rev" localSheetId="2">#REF!</definedName>
    <definedName name="Total_Off_Peak_Rev">#REF!</definedName>
    <definedName name="Total_On_Peak_Rev" localSheetId="6">#REF!</definedName>
    <definedName name="Total_On_Peak_Rev" localSheetId="2">#REF!</definedName>
    <definedName name="Total_On_Peak_Rev">#REF!</definedName>
    <definedName name="Total_Other_Rev" localSheetId="6">#REF!</definedName>
    <definedName name="Total_Other_Rev" localSheetId="2">#REF!</definedName>
    <definedName name="Total_Other_Rev">#REF!</definedName>
    <definedName name="Total_Reactive_Rev" localSheetId="6">#REF!</definedName>
    <definedName name="Total_Reactive_Rev" localSheetId="2">#REF!</definedName>
    <definedName name="Total_Reactive_Rev">#REF!</definedName>
    <definedName name="Total_Revenue" localSheetId="6">#REF!</definedName>
    <definedName name="Total_Revenue" localSheetId="2">#REF!</definedName>
    <definedName name="Total_Revenue">#REF!</definedName>
    <definedName name="Total_Seasonal_Rev" localSheetId="6">#REF!</definedName>
    <definedName name="Total_Seasonal_Rev" localSheetId="2">#REF!</definedName>
    <definedName name="Total_Seasonal_Rev">#REF!</definedName>
    <definedName name="Total_Suppl_Adj_Rev" localSheetId="6">#REF!</definedName>
    <definedName name="Total_Suppl_Adj_Rev" localSheetId="2">#REF!</definedName>
    <definedName name="Total_Suppl_Adj_Rev">#REF!</definedName>
    <definedName name="Transaction" localSheetId="6">#REF!</definedName>
    <definedName name="Transaction" localSheetId="2">#REF!</definedName>
    <definedName name="Transaction">#REF!</definedName>
    <definedName name="Transmission_by_Others" localSheetId="6">#REF!</definedName>
    <definedName name="Transmission_by_Others" localSheetId="2">#REF!</definedName>
    <definedName name="Transmission_by_Others">#REF!</definedName>
    <definedName name="u" localSheetId="6">PAGE5</definedName>
    <definedName name="u" localSheetId="2">PAGE5</definedName>
    <definedName name="u" localSheetId="8">PAGE5</definedName>
    <definedName name="u">PAGE5</definedName>
    <definedName name="UE_IL_EZ_parcels" localSheetId="6">#REF!</definedName>
    <definedName name="UE_IL_EZ_parcels" localSheetId="2">#REF!</definedName>
    <definedName name="UE_IL_EZ_parcels">#REF!</definedName>
    <definedName name="UE50Current" localSheetId="6">#REF!</definedName>
    <definedName name="UE50Current" localSheetId="2">#REF!</definedName>
    <definedName name="UE50Current">#REF!</definedName>
    <definedName name="UE50Unique" localSheetId="6">#REF!</definedName>
    <definedName name="UE50Unique" localSheetId="2">#REF!</definedName>
    <definedName name="UE50Unique">#REF!</definedName>
    <definedName name="UEC50CoalCo" localSheetId="6">#REF!</definedName>
    <definedName name="UEC50CoalCo" localSheetId="2">#REF!</definedName>
    <definedName name="UEC50CoalCo">#REF!</definedName>
    <definedName name="UEC50CurrPrior" localSheetId="6">#REF!</definedName>
    <definedName name="UEC50CurrPrior" localSheetId="2">#REF!</definedName>
    <definedName name="UEC50CurrPrior">#REF!</definedName>
    <definedName name="UEC50Fuel" localSheetId="6">#REF!</definedName>
    <definedName name="UEC50Fuel" localSheetId="2">#REF!</definedName>
    <definedName name="UEC50Fuel">#REF!</definedName>
    <definedName name="UEC50FuelwTax" localSheetId="6">#REF!</definedName>
    <definedName name="UEC50FuelwTax" localSheetId="2">#REF!</definedName>
    <definedName name="UEC50FuelwTax">#REF!</definedName>
    <definedName name="UEC50InvoiceType" localSheetId="6">#REF!</definedName>
    <definedName name="UEC50InvoiceType" localSheetId="2">#REF!</definedName>
    <definedName name="UEC50InvoiceType">#REF!</definedName>
    <definedName name="UEC50SourceData" localSheetId="6">#REF!</definedName>
    <definedName name="UEC50SourceData" localSheetId="2">#REF!</definedName>
    <definedName name="UEC50SourceData">#REF!</definedName>
    <definedName name="UEC50Stats" localSheetId="6">#REF!</definedName>
    <definedName name="UEC50Stats" localSheetId="2">#REF!</definedName>
    <definedName name="UEC50Stats">#REF!</definedName>
    <definedName name="UEC50Transp" localSheetId="6">#REF!</definedName>
    <definedName name="UEC50Transp" localSheetId="2">#REF!</definedName>
    <definedName name="UEC50Transp">#REF!</definedName>
    <definedName name="Uec50Units" localSheetId="6">#REF!</definedName>
    <definedName name="Uec50Units" localSheetId="2">#REF!</definedName>
    <definedName name="Uec50Units">#REF!</definedName>
    <definedName name="UEC50UnitType" localSheetId="6">#REF!</definedName>
    <definedName name="UEC50UnitType" localSheetId="2">#REF!</definedName>
    <definedName name="UEC50UnitType">#REF!</definedName>
    <definedName name="Uec53CoalCo" localSheetId="6">#REF!</definedName>
    <definedName name="Uec53CoalCo" localSheetId="2">#REF!</definedName>
    <definedName name="Uec53CoalCo">#REF!</definedName>
    <definedName name="Uec53CurrPrior" localSheetId="6">#REF!</definedName>
    <definedName name="Uec53CurrPrior" localSheetId="2">#REF!</definedName>
    <definedName name="Uec53CurrPrior">#REF!</definedName>
    <definedName name="Uec53Fuel" localSheetId="6">#REF!</definedName>
    <definedName name="Uec53Fuel" localSheetId="2">#REF!</definedName>
    <definedName name="Uec53Fuel">#REF!</definedName>
    <definedName name="Uec53FuelwTax" localSheetId="6">#REF!</definedName>
    <definedName name="Uec53FuelwTax" localSheetId="2">#REF!</definedName>
    <definedName name="Uec53FuelwTax">#REF!</definedName>
    <definedName name="Uec53InvoiceType" localSheetId="6">#REF!</definedName>
    <definedName name="Uec53InvoiceType" localSheetId="2">#REF!</definedName>
    <definedName name="Uec53InvoiceType">#REF!</definedName>
    <definedName name="Uec53SourceData" localSheetId="6">#REF!</definedName>
    <definedName name="Uec53SourceData" localSheetId="2">#REF!</definedName>
    <definedName name="Uec53SourceData">#REF!</definedName>
    <definedName name="Uec53Stats" localSheetId="6">#REF!</definedName>
    <definedName name="Uec53Stats" localSheetId="2">#REF!</definedName>
    <definedName name="Uec53Stats">#REF!</definedName>
    <definedName name="Uec53Transp" localSheetId="6">#REF!</definedName>
    <definedName name="Uec53Transp" localSheetId="2">#REF!</definedName>
    <definedName name="Uec53Transp">#REF!</definedName>
    <definedName name="Uec53Units" localSheetId="6">#REF!</definedName>
    <definedName name="Uec53Units" localSheetId="2">#REF!</definedName>
    <definedName name="Uec53Units">#REF!</definedName>
    <definedName name="Uec53UnitType" localSheetId="6">#REF!</definedName>
    <definedName name="Uec53UnitType" localSheetId="2">#REF!</definedName>
    <definedName name="Uec53UnitType">#REF!</definedName>
    <definedName name="Uec58CoalCo" localSheetId="6">#REF!</definedName>
    <definedName name="Uec58CoalCo" localSheetId="2">#REF!</definedName>
    <definedName name="Uec58CoalCo">#REF!</definedName>
    <definedName name="Uec58CurrPrior" localSheetId="6">#REF!</definedName>
    <definedName name="Uec58CurrPrior" localSheetId="2">#REF!</definedName>
    <definedName name="Uec58CurrPrior">#REF!</definedName>
    <definedName name="Uec58Fuel" localSheetId="6">#REF!</definedName>
    <definedName name="Uec58Fuel" localSheetId="2">#REF!</definedName>
    <definedName name="Uec58Fuel">#REF!</definedName>
    <definedName name="Uec58FuelwTax" localSheetId="6">#REF!</definedName>
    <definedName name="Uec58FuelwTax" localSheetId="2">#REF!</definedName>
    <definedName name="Uec58FuelwTax">#REF!</definedName>
    <definedName name="Uec58InvoiceType" localSheetId="6">#REF!</definedName>
    <definedName name="Uec58InvoiceType" localSheetId="2">#REF!</definedName>
    <definedName name="Uec58InvoiceType">#REF!</definedName>
    <definedName name="Uec58SourceData" localSheetId="6">#REF!</definedName>
    <definedName name="Uec58SourceData" localSheetId="2">#REF!</definedName>
    <definedName name="Uec58SourceData">#REF!</definedName>
    <definedName name="Uec58Stats" localSheetId="6">#REF!</definedName>
    <definedName name="Uec58Stats" localSheetId="2">#REF!</definedName>
    <definedName name="Uec58Stats">#REF!</definedName>
    <definedName name="Uec58Transp" localSheetId="6">#REF!</definedName>
    <definedName name="Uec58Transp" localSheetId="2">#REF!</definedName>
    <definedName name="Uec58Transp">#REF!</definedName>
    <definedName name="Uec58Units" localSheetId="6">#REF!</definedName>
    <definedName name="Uec58Units" localSheetId="2">#REF!</definedName>
    <definedName name="Uec58Units">#REF!</definedName>
    <definedName name="Uec58UnitType" localSheetId="6">#REF!</definedName>
    <definedName name="Uec58UnitType" localSheetId="2">#REF!</definedName>
    <definedName name="Uec58UnitType">#REF!</definedName>
    <definedName name="Uec63CoalCo" localSheetId="6">#REF!</definedName>
    <definedName name="Uec63CoalCo" localSheetId="2">#REF!</definedName>
    <definedName name="Uec63CoalCo">#REF!</definedName>
    <definedName name="Uec63CurrPrior" localSheetId="6">#REF!</definedName>
    <definedName name="Uec63CurrPrior" localSheetId="2">#REF!</definedName>
    <definedName name="Uec63CurrPrior">#REF!</definedName>
    <definedName name="Uec63Fuel" localSheetId="6">#REF!</definedName>
    <definedName name="Uec63Fuel" localSheetId="2">#REF!</definedName>
    <definedName name="Uec63Fuel">#REF!</definedName>
    <definedName name="Uec63FuelwTax" localSheetId="6">#REF!</definedName>
    <definedName name="Uec63FuelwTax" localSheetId="2">#REF!</definedName>
    <definedName name="Uec63FuelwTax">#REF!</definedName>
    <definedName name="Uec63InvoiceType" localSheetId="6">#REF!</definedName>
    <definedName name="Uec63InvoiceType" localSheetId="2">#REF!</definedName>
    <definedName name="Uec63InvoiceType">#REF!</definedName>
    <definedName name="Uec63SourceData" localSheetId="6">#REF!</definedName>
    <definedName name="Uec63SourceData" localSheetId="2">#REF!</definedName>
    <definedName name="Uec63SourceData">#REF!</definedName>
    <definedName name="Uec63Stats" localSheetId="6">#REF!</definedName>
    <definedName name="Uec63Stats" localSheetId="2">#REF!</definedName>
    <definedName name="Uec63Stats">#REF!</definedName>
    <definedName name="Uec63Transp" localSheetId="6">#REF!</definedName>
    <definedName name="Uec63Transp" localSheetId="2">#REF!</definedName>
    <definedName name="Uec63Transp">#REF!</definedName>
    <definedName name="Uec63Units" localSheetId="6">#REF!</definedName>
    <definedName name="Uec63Units" localSheetId="2">#REF!</definedName>
    <definedName name="Uec63Units">#REF!</definedName>
    <definedName name="Uec63UnitType" localSheetId="6">#REF!</definedName>
    <definedName name="Uec63UnitType" localSheetId="2">#REF!</definedName>
    <definedName name="Uec63UnitType">#REF!</definedName>
    <definedName name="UL" localSheetId="6">#REF!</definedName>
    <definedName name="UL" localSheetId="0">#REF!</definedName>
    <definedName name="UL" localSheetId="1">#REF!</definedName>
    <definedName name="UL" localSheetId="2">#REF!</definedName>
    <definedName name="UL" localSheetId="3">#REF!</definedName>
    <definedName name="UL">#REF!</definedName>
    <definedName name="ULOAD">#N/A</definedName>
    <definedName name="Units_amt" localSheetId="8">OFFSET(#REF!,0,0,COUNTA(#REF!),1)</definedName>
    <definedName name="Units_amt">OFFSET(#REF!,0,0,COUNTA(#REF!),1)</definedName>
    <definedName name="Units_amt01" localSheetId="8">OFFSET(#REF!,0,0,COUNTA(#REF!),1)</definedName>
    <definedName name="Units_amt01">OFFSET(#REF!,0,0,COUNTA(#REF!),1)</definedName>
    <definedName name="Units_amt01p" localSheetId="8">OFFSET(#REF!,0,0,COUNTA(#REF!),1)</definedName>
    <definedName name="Units_amt01p">OFFSET(#REF!,0,0,COUNTA(#REF!),1)</definedName>
    <definedName name="Units_amt02" localSheetId="8">OFFSET(#REF!,0,0,COUNTA(#REF!),1)</definedName>
    <definedName name="Units_amt02">OFFSET(#REF!,0,0,COUNTA(#REF!),1)</definedName>
    <definedName name="Units_amt02p" localSheetId="8">OFFSET(#REF!,0,0,COUNTA(#REF!),1)</definedName>
    <definedName name="Units_amt02p">OFFSET(#REF!,0,0,COUNTA(#REF!),1)</definedName>
    <definedName name="Units_amt03" localSheetId="8">OFFSET(#REF!,0,0,COUNTA(#REF!),1)</definedName>
    <definedName name="Units_amt03">OFFSET(#REF!,0,0,COUNTA(#REF!),1)</definedName>
    <definedName name="Units_amt03p" localSheetId="8">OFFSET(#REF!,0,0,COUNTA(#REF!),1)</definedName>
    <definedName name="Units_amt03p">OFFSET(#REF!,0,0,COUNTA(#REF!),1)</definedName>
    <definedName name="Units_amt04" localSheetId="8">OFFSET(#REF!,0,0,COUNTA(#REF!),1)</definedName>
    <definedName name="Units_amt04">OFFSET(#REF!,0,0,COUNTA(#REF!),1)</definedName>
    <definedName name="Units_amt04p" localSheetId="8">OFFSET(#REF!,0,0,COUNTA(#REF!),1)</definedName>
    <definedName name="Units_amt04p">OFFSET(#REF!,0,0,COUNTA(#REF!),1)</definedName>
    <definedName name="Units_amt05" localSheetId="8">OFFSET(#REF!,0,0,COUNTA(#REF!),1)</definedName>
    <definedName name="Units_amt05">OFFSET(#REF!,0,0,COUNTA(#REF!),1)</definedName>
    <definedName name="Units_amt05p" localSheetId="8">OFFSET(#REF!,0,0,COUNTA(#REF!),1)</definedName>
    <definedName name="Units_amt05p">OFFSET(#REF!,0,0,COUNTA(#REF!),1)</definedName>
    <definedName name="Units_amt06" localSheetId="8">OFFSET(#REF!,0,0,COUNTA(#REF!),1)</definedName>
    <definedName name="Units_amt06">OFFSET(#REF!,0,0,COUNTA(#REF!),1)</definedName>
    <definedName name="Units_amt06p" localSheetId="8">OFFSET(#REF!,0,0,COUNTA(#REF!),1)</definedName>
    <definedName name="Units_amt06p">OFFSET(#REF!,0,0,COUNTA(#REF!),1)</definedName>
    <definedName name="Units_amt07" localSheetId="8">OFFSET(#REF!,0,0,COUNTA(#REF!),1)</definedName>
    <definedName name="Units_amt07">OFFSET(#REF!,0,0,COUNTA(#REF!),1)</definedName>
    <definedName name="Units_amt07p" localSheetId="8">OFFSET(#REF!,0,0,COUNTA(#REF!),1)</definedName>
    <definedName name="Units_amt07p">OFFSET(#REF!,0,0,COUNTA(#REF!),1)</definedName>
    <definedName name="Units_amt08" localSheetId="8">OFFSET(#REF!,0,0,COUNTA(#REF!),1)</definedName>
    <definedName name="Units_amt08">OFFSET(#REF!,0,0,COUNTA(#REF!),1)</definedName>
    <definedName name="Units_amt08p" localSheetId="8">OFFSET(#REF!,0,0,COUNTA(#REF!),1)</definedName>
    <definedName name="Units_amt08p">OFFSET(#REF!,0,0,COUNTA(#REF!),1)</definedName>
    <definedName name="Units_amt09" localSheetId="8">OFFSET(#REF!,0,0,COUNTA(#REF!),1)</definedName>
    <definedName name="Units_amt09">OFFSET(#REF!,0,0,COUNTA(#REF!),1)</definedName>
    <definedName name="Units_amt09p" localSheetId="8">OFFSET(#REF!,0,0,COUNTA(#REF!),1)</definedName>
    <definedName name="Units_amt09p">OFFSET(#REF!,0,0,COUNTA(#REF!),1)</definedName>
    <definedName name="Units_amt10" localSheetId="8">OFFSET(#REF!,0,0,COUNTA(#REF!),1)</definedName>
    <definedName name="Units_amt10">OFFSET(#REF!,0,0,COUNTA(#REF!),1)</definedName>
    <definedName name="Units_amt10p" localSheetId="8">OFFSET(#REF!,0,0,COUNTA(#REF!),1)</definedName>
    <definedName name="Units_amt10p">OFFSET(#REF!,0,0,COUNTA(#REF!),1)</definedName>
    <definedName name="Units_amt11" localSheetId="8">OFFSET(#REF!,0,0,COUNTA(#REF!),1)</definedName>
    <definedName name="Units_amt11">OFFSET(#REF!,0,0,COUNTA(#REF!),1)</definedName>
    <definedName name="Units_amt11p" localSheetId="8">OFFSET(#REF!,0,0,COUNTA(#REF!),1)</definedName>
    <definedName name="Units_amt11p">OFFSET(#REF!,0,0,COUNTA(#REF!),1)</definedName>
    <definedName name="Units_amt12" localSheetId="8">OFFSET(#REF!,0,0,COUNTA(#REF!),1)</definedName>
    <definedName name="Units_amt12">OFFSET(#REF!,0,0,COUNTA(#REF!),1)</definedName>
    <definedName name="Units_amt12p" localSheetId="8">OFFSET(#REF!,0,0,COUNTA(#REF!),1)</definedName>
    <definedName name="Units_amt12p">OFFSET(#REF!,0,0,COUNTA(#REF!),1)</definedName>
    <definedName name="Units_amt2" localSheetId="8">OFFSET(#REF!,0,0,COUNTA(#REF!),1)</definedName>
    <definedName name="Units_amt2">OFFSET(#REF!,0,0,COUNTA(#REF!),1)</definedName>
    <definedName name="Units_amt3" localSheetId="8">OFFSET(#REF!,0,0,COUNTA(#REF!),1)</definedName>
    <definedName name="Units_amt3">OFFSET(#REF!,0,0,COUNTA(#REF!),1)</definedName>
    <definedName name="Units_amt4" localSheetId="8">OFFSET(#REF!,0,0,COUNTA(#REF!),1)</definedName>
    <definedName name="Units_amt4">OFFSET(#REF!,0,0,COUNTA(#REF!),1)</definedName>
    <definedName name="Units_BD" localSheetId="8">OFFSET(#REF!,0,0,COUNTA(#REF!),1)</definedName>
    <definedName name="Units_BD">OFFSET(#REF!,0,0,COUNTA(#REF!),1)</definedName>
    <definedName name="Units_Corp" localSheetId="8">OFFSET(#REF!,0,0,COUNTA(#REF!),1)</definedName>
    <definedName name="Units_Corp">OFFSET(#REF!,0,0,COUNTA(#REF!),1)</definedName>
    <definedName name="Units_Fueltype" localSheetId="8">OFFSET(#REF!,0,0,COUNTA(#REF!),1)</definedName>
    <definedName name="Units_Fueltype">OFFSET(#REF!,0,0,COUNTA(#REF!),1)</definedName>
    <definedName name="Units_Majmin" localSheetId="8">OFFSET(#REF!,0,0,COUNTA(#REF!),1)</definedName>
    <definedName name="Units_Majmin">OFFSET(#REF!,0,0,COUNTA(#REF!),1)</definedName>
    <definedName name="Units_RMC" localSheetId="8">OFFSET(#REF!,0,0,COUNTA(#REF!),1)</definedName>
    <definedName name="Units_RMC">OFFSET(#REF!,0,0,COUNTA(#REF!),1)</definedName>
    <definedName name="Units_RT" localSheetId="8">OFFSET(#REF!,0,0,COUNTA(#REF!),1)</definedName>
    <definedName name="Units_RT">OFFSET(#REF!,0,0,COUNTA(#REF!),1)</definedName>
    <definedName name="UnitsAmt" localSheetId="8">OFFSET(#REF!,0,0,COUNTA(#REF!),1)</definedName>
    <definedName name="UnitsAmt">OFFSET(#REF!,0,0,COUNTA(#REF!),1)</definedName>
    <definedName name="UnitsYTD" localSheetId="8">OFFSET(#REF!,0,0,COUNTA(#REF!),1)</definedName>
    <definedName name="UnitsYTD">OFFSET(#REF!,0,0,COUNTA(#REF!),1)</definedName>
    <definedName name="upload" localSheetId="6">#REF!</definedName>
    <definedName name="upload" localSheetId="0">#REF!</definedName>
    <definedName name="upload" localSheetId="1">#REF!</definedName>
    <definedName name="upload" localSheetId="2">#REF!</definedName>
    <definedName name="upload" localSheetId="3">#REF!</definedName>
    <definedName name="upload">#REF!</definedName>
    <definedName name="WKW" localSheetId="6">#REF!</definedName>
    <definedName name="WKW" localSheetId="2">#REF!</definedName>
    <definedName name="WKW">#REF!</definedName>
    <definedName name="WKWH" localSheetId="6">#REF!</definedName>
    <definedName name="WKWH" localSheetId="2">#REF!</definedName>
    <definedName name="WKWH">#REF!</definedName>
    <definedName name="WOffpkkwh" localSheetId="6">#REF!</definedName>
    <definedName name="WOffpkkwh" localSheetId="2">#REF!</definedName>
    <definedName name="WOffpkkwh">#REF!</definedName>
    <definedName name="WOnpkkwh" localSheetId="6">#REF!</definedName>
    <definedName name="WOnpkkwh" localSheetId="2">#REF!</definedName>
    <definedName name="WOnpkkwh">#REF!</definedName>
    <definedName name="wrn.page1." localSheetId="6" hidden="1">{"page1",#N/A,FALSE,"260"}</definedName>
    <definedName name="wrn.page1." localSheetId="8" hidden="1">{"page1",#N/A,FALSE,"260"}</definedName>
    <definedName name="wrn.page1." hidden="1">{"page1",#N/A,FALSE,"260"}</definedName>
    <definedName name="wrn.page1._1" localSheetId="6" hidden="1">{"page1",#N/A,FALSE,"260"}</definedName>
    <definedName name="wrn.page1._1" localSheetId="8" hidden="1">{"page1",#N/A,FALSE,"260"}</definedName>
    <definedName name="wrn.page1._1" hidden="1">{"page1",#N/A,FALSE,"260"}</definedName>
    <definedName name="wrn.page1._1_1" localSheetId="6" hidden="1">{"page1",#N/A,FALSE,"260"}</definedName>
    <definedName name="wrn.page1._1_1" localSheetId="8" hidden="1">{"page1",#N/A,FALSE,"260"}</definedName>
    <definedName name="wrn.page1._1_1" hidden="1">{"page1",#N/A,FALSE,"260"}</definedName>
    <definedName name="wrn.page1._1_2" localSheetId="6" hidden="1">{"page1",#N/A,FALSE,"260"}</definedName>
    <definedName name="wrn.page1._1_2" localSheetId="8" hidden="1">{"page1",#N/A,FALSE,"260"}</definedName>
    <definedName name="wrn.page1._1_2" hidden="1">{"page1",#N/A,FALSE,"260"}</definedName>
    <definedName name="wrn.page1._1_3" localSheetId="6" hidden="1">{"page1",#N/A,FALSE,"260"}</definedName>
    <definedName name="wrn.page1._1_3" localSheetId="8" hidden="1">{"page1",#N/A,FALSE,"260"}</definedName>
    <definedName name="wrn.page1._1_3" hidden="1">{"page1",#N/A,FALSE,"260"}</definedName>
    <definedName name="wrn.page1._1_4" localSheetId="6" hidden="1">{"page1",#N/A,FALSE,"260"}</definedName>
    <definedName name="wrn.page1._1_4" localSheetId="8" hidden="1">{"page1",#N/A,FALSE,"260"}</definedName>
    <definedName name="wrn.page1._1_4" hidden="1">{"page1",#N/A,FALSE,"260"}</definedName>
    <definedName name="wrn.page1._1_5" localSheetId="6" hidden="1">{"page1",#N/A,FALSE,"260"}</definedName>
    <definedName name="wrn.page1._1_5" localSheetId="8" hidden="1">{"page1",#N/A,FALSE,"260"}</definedName>
    <definedName name="wrn.page1._1_5" hidden="1">{"page1",#N/A,FALSE,"260"}</definedName>
    <definedName name="wrn.page1._2" localSheetId="6" hidden="1">{"page1",#N/A,FALSE,"260"}</definedName>
    <definedName name="wrn.page1._2" localSheetId="8" hidden="1">{"page1",#N/A,FALSE,"260"}</definedName>
    <definedName name="wrn.page1._2" hidden="1">{"page1",#N/A,FALSE,"260"}</definedName>
    <definedName name="wrn.page1._2_1" localSheetId="6" hidden="1">{"page1",#N/A,FALSE,"260"}</definedName>
    <definedName name="wrn.page1._2_1" localSheetId="8" hidden="1">{"page1",#N/A,FALSE,"260"}</definedName>
    <definedName name="wrn.page1._2_1" hidden="1">{"page1",#N/A,FALSE,"260"}</definedName>
    <definedName name="wrn.page1._2_2" localSheetId="6" hidden="1">{"page1",#N/A,FALSE,"260"}</definedName>
    <definedName name="wrn.page1._2_2" localSheetId="8" hidden="1">{"page1",#N/A,FALSE,"260"}</definedName>
    <definedName name="wrn.page1._2_2" hidden="1">{"page1",#N/A,FALSE,"260"}</definedName>
    <definedName name="wrn.page1._2_3" localSheetId="6" hidden="1">{"page1",#N/A,FALSE,"260"}</definedName>
    <definedName name="wrn.page1._2_3" localSheetId="8" hidden="1">{"page1",#N/A,FALSE,"260"}</definedName>
    <definedName name="wrn.page1._2_3" hidden="1">{"page1",#N/A,FALSE,"260"}</definedName>
    <definedName name="wrn.page1._2_4" localSheetId="6" hidden="1">{"page1",#N/A,FALSE,"260"}</definedName>
    <definedName name="wrn.page1._2_4" localSheetId="8" hidden="1">{"page1",#N/A,FALSE,"260"}</definedName>
    <definedName name="wrn.page1._2_4" hidden="1">{"page1",#N/A,FALSE,"260"}</definedName>
    <definedName name="wrn.page1._2_5" localSheetId="6" hidden="1">{"page1",#N/A,FALSE,"260"}</definedName>
    <definedName name="wrn.page1._2_5" localSheetId="8" hidden="1">{"page1",#N/A,FALSE,"260"}</definedName>
    <definedName name="wrn.page1._2_5" hidden="1">{"page1",#N/A,FALSE,"260"}</definedName>
    <definedName name="wrn.page1._3" localSheetId="6" hidden="1">{"page1",#N/A,FALSE,"260"}</definedName>
    <definedName name="wrn.page1._3" localSheetId="8" hidden="1">{"page1",#N/A,FALSE,"260"}</definedName>
    <definedName name="wrn.page1._3" hidden="1">{"page1",#N/A,FALSE,"260"}</definedName>
    <definedName name="wrn.page1._4" localSheetId="6" hidden="1">{"page1",#N/A,FALSE,"260"}</definedName>
    <definedName name="wrn.page1._4" localSheetId="8" hidden="1">{"page1",#N/A,FALSE,"260"}</definedName>
    <definedName name="wrn.page1._4" hidden="1">{"page1",#N/A,FALSE,"260"}</definedName>
    <definedName name="wrn.page1._5" localSheetId="6" hidden="1">{"page1",#N/A,FALSE,"260"}</definedName>
    <definedName name="wrn.page1._5" localSheetId="8" hidden="1">{"page1",#N/A,FALSE,"260"}</definedName>
    <definedName name="wrn.page1._5" hidden="1">{"page1",#N/A,FALSE,"260"}</definedName>
    <definedName name="wrn2.page1" localSheetId="6" hidden="1">{"page1",#N/A,FALSE,"260"}</definedName>
    <definedName name="wrn2.page1" localSheetId="8" hidden="1">{"page1",#N/A,FALSE,"260"}</definedName>
    <definedName name="wrn2.page1" hidden="1">{"page1",#N/A,FALSE,"260"}</definedName>
    <definedName name="wrn2.page1_1" localSheetId="6" hidden="1">{"page1",#N/A,FALSE,"260"}</definedName>
    <definedName name="wrn2.page1_1" localSheetId="8" hidden="1">{"page1",#N/A,FALSE,"260"}</definedName>
    <definedName name="wrn2.page1_1" hidden="1">{"page1",#N/A,FALSE,"260"}</definedName>
    <definedName name="wrn2.page1_1_1" localSheetId="6" hidden="1">{"page1",#N/A,FALSE,"260"}</definedName>
    <definedName name="wrn2.page1_1_1" localSheetId="8" hidden="1">{"page1",#N/A,FALSE,"260"}</definedName>
    <definedName name="wrn2.page1_1_1" hidden="1">{"page1",#N/A,FALSE,"260"}</definedName>
    <definedName name="wrn2.page1_1_2" localSheetId="6" hidden="1">{"page1",#N/A,FALSE,"260"}</definedName>
    <definedName name="wrn2.page1_1_2" localSheetId="8" hidden="1">{"page1",#N/A,FALSE,"260"}</definedName>
    <definedName name="wrn2.page1_1_2" hidden="1">{"page1",#N/A,FALSE,"260"}</definedName>
    <definedName name="wrn2.page1_1_3" localSheetId="6" hidden="1">{"page1",#N/A,FALSE,"260"}</definedName>
    <definedName name="wrn2.page1_1_3" localSheetId="8" hidden="1">{"page1",#N/A,FALSE,"260"}</definedName>
    <definedName name="wrn2.page1_1_3" hidden="1">{"page1",#N/A,FALSE,"260"}</definedName>
    <definedName name="wrn2.page1_1_4" localSheetId="6" hidden="1">{"page1",#N/A,FALSE,"260"}</definedName>
    <definedName name="wrn2.page1_1_4" localSheetId="8" hidden="1">{"page1",#N/A,FALSE,"260"}</definedName>
    <definedName name="wrn2.page1_1_4" hidden="1">{"page1",#N/A,FALSE,"260"}</definedName>
    <definedName name="wrn2.page1_1_5" localSheetId="6" hidden="1">{"page1",#N/A,FALSE,"260"}</definedName>
    <definedName name="wrn2.page1_1_5" localSheetId="8" hidden="1">{"page1",#N/A,FALSE,"260"}</definedName>
    <definedName name="wrn2.page1_1_5" hidden="1">{"page1",#N/A,FALSE,"260"}</definedName>
    <definedName name="wrn2.page1_2" localSheetId="6" hidden="1">{"page1",#N/A,FALSE,"260"}</definedName>
    <definedName name="wrn2.page1_2" localSheetId="8" hidden="1">{"page1",#N/A,FALSE,"260"}</definedName>
    <definedName name="wrn2.page1_2" hidden="1">{"page1",#N/A,FALSE,"260"}</definedName>
    <definedName name="wrn2.page1_2_1" localSheetId="6" hidden="1">{"page1",#N/A,FALSE,"260"}</definedName>
    <definedName name="wrn2.page1_2_1" localSheetId="8" hidden="1">{"page1",#N/A,FALSE,"260"}</definedName>
    <definedName name="wrn2.page1_2_1" hidden="1">{"page1",#N/A,FALSE,"260"}</definedName>
    <definedName name="wrn2.page1_2_2" localSheetId="6" hidden="1">{"page1",#N/A,FALSE,"260"}</definedName>
    <definedName name="wrn2.page1_2_2" localSheetId="8" hidden="1">{"page1",#N/A,FALSE,"260"}</definedName>
    <definedName name="wrn2.page1_2_2" hidden="1">{"page1",#N/A,FALSE,"260"}</definedName>
    <definedName name="wrn2.page1_2_3" localSheetId="6" hidden="1">{"page1",#N/A,FALSE,"260"}</definedName>
    <definedName name="wrn2.page1_2_3" localSheetId="8" hidden="1">{"page1",#N/A,FALSE,"260"}</definedName>
    <definedName name="wrn2.page1_2_3" hidden="1">{"page1",#N/A,FALSE,"260"}</definedName>
    <definedName name="wrn2.page1_2_4" localSheetId="6" hidden="1">{"page1",#N/A,FALSE,"260"}</definedName>
    <definedName name="wrn2.page1_2_4" localSheetId="8" hidden="1">{"page1",#N/A,FALSE,"260"}</definedName>
    <definedName name="wrn2.page1_2_4" hidden="1">{"page1",#N/A,FALSE,"260"}</definedName>
    <definedName name="wrn2.page1_2_5" localSheetId="6" hidden="1">{"page1",#N/A,FALSE,"260"}</definedName>
    <definedName name="wrn2.page1_2_5" localSheetId="8" hidden="1">{"page1",#N/A,FALSE,"260"}</definedName>
    <definedName name="wrn2.page1_2_5" hidden="1">{"page1",#N/A,FALSE,"260"}</definedName>
    <definedName name="wrn2.page1_3" localSheetId="6" hidden="1">{"page1",#N/A,FALSE,"260"}</definedName>
    <definedName name="wrn2.page1_3" localSheetId="8" hidden="1">{"page1",#N/A,FALSE,"260"}</definedName>
    <definedName name="wrn2.page1_3" hidden="1">{"page1",#N/A,FALSE,"260"}</definedName>
    <definedName name="wrn2.page1_4" localSheetId="6" hidden="1">{"page1",#N/A,FALSE,"260"}</definedName>
    <definedName name="wrn2.page1_4" localSheetId="8" hidden="1">{"page1",#N/A,FALSE,"260"}</definedName>
    <definedName name="wrn2.page1_4" hidden="1">{"page1",#N/A,FALSE,"260"}</definedName>
    <definedName name="wrn2.page1_5" localSheetId="6" hidden="1">{"page1",#N/A,FALSE,"260"}</definedName>
    <definedName name="wrn2.page1_5" localSheetId="8" hidden="1">{"page1",#N/A,FALSE,"260"}</definedName>
    <definedName name="wrn2.page1_5" hidden="1">{"page1",#N/A,FALSE,"260"}</definedName>
    <definedName name="X" localSheetId="6">PAGE5</definedName>
    <definedName name="X" localSheetId="2">PAGE5</definedName>
    <definedName name="X" localSheetId="8">PAGE5</definedName>
    <definedName name="X">PAGE5</definedName>
    <definedName name="Year" localSheetId="6">#REF!</definedName>
    <definedName name="Year" localSheetId="2">#REF!</definedName>
    <definedName name="Year">#REF!</definedName>
    <definedName name="z" localSheetId="6" hidden="1">#REF!</definedName>
    <definedName name="z" localSheetId="0" hidden="1">#REF!</definedName>
    <definedName name="z" localSheetId="1" hidden="1">#REF!</definedName>
    <definedName name="z" localSheetId="2" hidden="1">#REF!</definedName>
    <definedName name="z" localSheetId="3" hidden="1">#REF!</definedName>
    <definedName name="z" localSheetId="8" hidden="1">#REF!</definedName>
    <definedName name="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1" i="68" l="1"/>
  <c r="A41" i="70"/>
  <c r="A41" i="72"/>
  <c r="A41" i="73"/>
  <c r="A41" i="75"/>
  <c r="A41" i="79"/>
  <c r="B11" i="9" l="1"/>
  <c r="M4" i="67" l="1"/>
  <c r="D4" i="67"/>
  <c r="E4" i="67"/>
  <c r="F4" i="67"/>
  <c r="G4" i="67"/>
  <c r="H4" i="67"/>
  <c r="I4" i="67"/>
  <c r="J4" i="67"/>
  <c r="K4" i="67"/>
  <c r="L4" i="67"/>
  <c r="C4" i="67"/>
  <c r="B4" i="67"/>
  <c r="N4" i="62"/>
  <c r="E4" i="62"/>
  <c r="F4" i="62"/>
  <c r="G4" i="62"/>
  <c r="H4" i="62"/>
  <c r="I4" i="62"/>
  <c r="J4" i="62"/>
  <c r="K4" i="62"/>
  <c r="L4" i="62"/>
  <c r="M4" i="62"/>
  <c r="D4" i="62"/>
  <c r="C4" i="62"/>
  <c r="B4" i="62"/>
  <c r="G7" i="48" l="1"/>
  <c r="L7" i="48"/>
  <c r="L10" i="48" s="1"/>
  <c r="M7" i="48"/>
  <c r="M10" i="48" s="1"/>
  <c r="F17" i="48"/>
  <c r="L17" i="48"/>
  <c r="H7" i="48" l="1"/>
  <c r="H10" i="48" s="1"/>
  <c r="D17" i="48"/>
  <c r="K7" i="48"/>
  <c r="K10" i="48" s="1"/>
  <c r="J7" i="48"/>
  <c r="G10" i="48"/>
  <c r="C17" i="48"/>
  <c r="I7" i="48"/>
  <c r="I10" i="48" s="1"/>
  <c r="F7" i="48"/>
  <c r="F10" i="48" s="1"/>
  <c r="E17" i="48"/>
  <c r="J10" i="48"/>
  <c r="H17" i="48"/>
  <c r="D7" i="48"/>
  <c r="D10" i="48" s="1"/>
  <c r="G17" i="48"/>
  <c r="C7" i="48"/>
  <c r="C10" i="48" s="1"/>
  <c r="K17" i="48"/>
  <c r="J17" i="48"/>
  <c r="M17" i="48"/>
  <c r="I17" i="48"/>
  <c r="E7" i="48"/>
  <c r="E10" i="48" s="1"/>
  <c r="AH42" i="68"/>
  <c r="AE42" i="68"/>
  <c r="EL41" i="68"/>
  <c r="EG41" i="68"/>
  <c r="EI41" i="68" s="1"/>
  <c r="EB41" i="68"/>
  <c r="DW41" i="68"/>
  <c r="DT41" i="68"/>
  <c r="DQ41" i="68"/>
  <c r="DN41" i="68"/>
  <c r="DK41" i="68"/>
  <c r="DH41" i="68"/>
  <c r="DE41" i="68"/>
  <c r="DB41" i="68"/>
  <c r="CY41" i="68"/>
  <c r="CV41" i="68"/>
  <c r="CS41" i="68"/>
  <c r="CP41" i="68"/>
  <c r="CM41" i="68"/>
  <c r="CJ41" i="68"/>
  <c r="CG41" i="68"/>
  <c r="CD41" i="68"/>
  <c r="CA41" i="68"/>
  <c r="BX41" i="68"/>
  <c r="BU41" i="68"/>
  <c r="BR41" i="68"/>
  <c r="BO41" i="68"/>
  <c r="BL41" i="68"/>
  <c r="BI41" i="68"/>
  <c r="BF41" i="68"/>
  <c r="BC41" i="68"/>
  <c r="AZ41" i="68"/>
  <c r="AW41" i="68"/>
  <c r="AT41" i="68"/>
  <c r="AQ41" i="68"/>
  <c r="AO41" i="68"/>
  <c r="AL41" i="68"/>
  <c r="AN41" i="68" s="1"/>
  <c r="AI41" i="68"/>
  <c r="AB41" i="68"/>
  <c r="Y41" i="68"/>
  <c r="V41" i="68"/>
  <c r="S41" i="68"/>
  <c r="EH41" i="68" s="1"/>
  <c r="P41" i="68"/>
  <c r="M41" i="68"/>
  <c r="J41" i="68"/>
  <c r="G41" i="68"/>
  <c r="D41" i="68"/>
  <c r="EL40" i="68"/>
  <c r="EI40" i="68"/>
  <c r="EG40" i="68"/>
  <c r="EI2" i="68" s="1"/>
  <c r="DW40" i="68"/>
  <c r="DT40" i="68"/>
  <c r="DQ40" i="68"/>
  <c r="DN40" i="68"/>
  <c r="DK40" i="68"/>
  <c r="DH40" i="68"/>
  <c r="DE40" i="68"/>
  <c r="DB40" i="68"/>
  <c r="CY40" i="68"/>
  <c r="CV40" i="68"/>
  <c r="CS40" i="68"/>
  <c r="CP40" i="68"/>
  <c r="CM40" i="68"/>
  <c r="CJ40" i="68"/>
  <c r="CG40" i="68"/>
  <c r="CD40" i="68"/>
  <c r="CA40" i="68"/>
  <c r="BX40" i="68"/>
  <c r="BU40" i="68"/>
  <c r="BR40" i="68"/>
  <c r="BO40" i="68"/>
  <c r="BL40" i="68"/>
  <c r="BI40" i="68"/>
  <c r="BF40" i="68"/>
  <c r="BC40" i="68"/>
  <c r="AZ40" i="68"/>
  <c r="AW40" i="68"/>
  <c r="AT40" i="68"/>
  <c r="AQ40" i="68"/>
  <c r="AO40" i="68"/>
  <c r="AL40" i="68"/>
  <c r="EB40" i="68" s="1"/>
  <c r="AK40" i="68"/>
  <c r="AI40" i="68"/>
  <c r="AB40" i="68"/>
  <c r="Y40" i="68"/>
  <c r="V40" i="68"/>
  <c r="S40" i="68"/>
  <c r="EH40" i="68" s="1"/>
  <c r="P40" i="68"/>
  <c r="M40" i="68"/>
  <c r="J40" i="68"/>
  <c r="G40" i="68"/>
  <c r="D40" i="68"/>
  <c r="EL39" i="68"/>
  <c r="EG39" i="68"/>
  <c r="EI39" i="68" s="1"/>
  <c r="EB39" i="68"/>
  <c r="DW39" i="68"/>
  <c r="DT39" i="68"/>
  <c r="DQ39" i="68"/>
  <c r="DN39" i="68"/>
  <c r="DK39" i="68"/>
  <c r="DH39" i="68"/>
  <c r="DE39" i="68"/>
  <c r="DB39" i="68"/>
  <c r="CY39" i="68"/>
  <c r="CV39" i="68"/>
  <c r="CS39" i="68"/>
  <c r="CP39" i="68"/>
  <c r="CM39" i="68"/>
  <c r="CJ39" i="68"/>
  <c r="CG39" i="68"/>
  <c r="CD39" i="68"/>
  <c r="CA39" i="68"/>
  <c r="BX39" i="68"/>
  <c r="BU39" i="68"/>
  <c r="BR39" i="68"/>
  <c r="BO39" i="68"/>
  <c r="BL39" i="68"/>
  <c r="BI39" i="68"/>
  <c r="BF39" i="68"/>
  <c r="BC39" i="68"/>
  <c r="AZ39" i="68"/>
  <c r="AW39" i="68"/>
  <c r="AT39" i="68"/>
  <c r="AO39" i="68"/>
  <c r="AL39" i="68"/>
  <c r="AN39" i="68" s="1"/>
  <c r="AI39" i="68"/>
  <c r="AK39" i="68" s="1"/>
  <c r="AB39" i="68"/>
  <c r="Y39" i="68"/>
  <c r="V39" i="68"/>
  <c r="S39" i="68"/>
  <c r="EH39" i="68" s="1"/>
  <c r="P39" i="68"/>
  <c r="M39" i="68"/>
  <c r="J39" i="68"/>
  <c r="G39" i="68"/>
  <c r="D39" i="68"/>
  <c r="EL38" i="68"/>
  <c r="EK38" i="68"/>
  <c r="EG38" i="68"/>
  <c r="EI38" i="68" s="1"/>
  <c r="DW38" i="68"/>
  <c r="DT38" i="68"/>
  <c r="DQ38" i="68"/>
  <c r="DN38" i="68"/>
  <c r="DK38" i="68"/>
  <c r="DH38" i="68"/>
  <c r="DE38" i="68"/>
  <c r="DB38" i="68"/>
  <c r="CY38" i="68"/>
  <c r="CV38" i="68"/>
  <c r="CS38" i="68"/>
  <c r="CP38" i="68"/>
  <c r="CM38" i="68"/>
  <c r="CJ38" i="68"/>
  <c r="CG38" i="68"/>
  <c r="CD38" i="68"/>
  <c r="CA38" i="68"/>
  <c r="BX38" i="68"/>
  <c r="BU38" i="68"/>
  <c r="BR38" i="68"/>
  <c r="BO38" i="68"/>
  <c r="BL38" i="68"/>
  <c r="BI38" i="68"/>
  <c r="BF38" i="68"/>
  <c r="BC38" i="68"/>
  <c r="AZ38" i="68"/>
  <c r="AW38" i="68"/>
  <c r="AT38" i="68"/>
  <c r="AO38" i="68"/>
  <c r="EB38" i="68" s="1"/>
  <c r="AN38" i="68"/>
  <c r="AL38" i="68"/>
  <c r="AK38" i="68"/>
  <c r="AB38" i="68"/>
  <c r="Y38" i="68"/>
  <c r="V38" i="68"/>
  <c r="S38" i="68"/>
  <c r="EH38" i="68" s="1"/>
  <c r="P38" i="68"/>
  <c r="M38" i="68"/>
  <c r="J38" i="68"/>
  <c r="G38" i="68"/>
  <c r="D38" i="68"/>
  <c r="EL37" i="68"/>
  <c r="EG37" i="68"/>
  <c r="EI37" i="68" s="1"/>
  <c r="DW37" i="68"/>
  <c r="DT37" i="68"/>
  <c r="DQ37" i="68"/>
  <c r="DN37" i="68"/>
  <c r="DK37" i="68"/>
  <c r="DH37" i="68"/>
  <c r="DE37" i="68"/>
  <c r="DB37" i="68"/>
  <c r="CY37" i="68"/>
  <c r="CV37" i="68"/>
  <c r="CS37" i="68"/>
  <c r="CP37" i="68"/>
  <c r="CM37" i="68"/>
  <c r="CJ37" i="68"/>
  <c r="CG37" i="68"/>
  <c r="CD37" i="68"/>
  <c r="CA37" i="68"/>
  <c r="BX37" i="68"/>
  <c r="BU37" i="68"/>
  <c r="BR37" i="68"/>
  <c r="BO37" i="68"/>
  <c r="BL37" i="68"/>
  <c r="BI37" i="68"/>
  <c r="BF37" i="68"/>
  <c r="BC37" i="68"/>
  <c r="AZ37" i="68"/>
  <c r="AW37" i="68"/>
  <c r="AT37" i="68"/>
  <c r="AO37" i="68"/>
  <c r="AL37" i="68"/>
  <c r="EB37" i="68" s="1"/>
  <c r="AK37" i="68"/>
  <c r="AB37" i="68"/>
  <c r="Y37" i="68"/>
  <c r="V37" i="68"/>
  <c r="S37" i="68"/>
  <c r="EH37" i="68" s="1"/>
  <c r="P37" i="68"/>
  <c r="M37" i="68"/>
  <c r="J37" i="68"/>
  <c r="G37" i="68"/>
  <c r="D37" i="68"/>
  <c r="EL36" i="68"/>
  <c r="EI36" i="68"/>
  <c r="EG36" i="68"/>
  <c r="EB36" i="68"/>
  <c r="DW36" i="68"/>
  <c r="DT36" i="68"/>
  <c r="DQ36" i="68"/>
  <c r="DN36" i="68"/>
  <c r="DK36" i="68"/>
  <c r="DH36" i="68"/>
  <c r="DE36" i="68"/>
  <c r="DB36" i="68"/>
  <c r="CY36" i="68"/>
  <c r="CV36" i="68"/>
  <c r="CS36" i="68"/>
  <c r="CP36" i="68"/>
  <c r="CM36" i="68"/>
  <c r="CJ36" i="68"/>
  <c r="CG36" i="68"/>
  <c r="CD36" i="68"/>
  <c r="CA36" i="68"/>
  <c r="BX36" i="68"/>
  <c r="BU36" i="68"/>
  <c r="BR36" i="68"/>
  <c r="BO36" i="68"/>
  <c r="BL36" i="68"/>
  <c r="BI36" i="68"/>
  <c r="BF36" i="68"/>
  <c r="BC36" i="68"/>
  <c r="AZ36" i="68"/>
  <c r="AW36" i="68"/>
  <c r="AT36" i="68"/>
  <c r="AQ36" i="68"/>
  <c r="AO36" i="68"/>
  <c r="EK36" i="68" s="1"/>
  <c r="AN36" i="68"/>
  <c r="AL36" i="68"/>
  <c r="AK36" i="68"/>
  <c r="AB36" i="68"/>
  <c r="Y36" i="68"/>
  <c r="V36" i="68"/>
  <c r="S36" i="68"/>
  <c r="P36" i="68"/>
  <c r="M36" i="68"/>
  <c r="J36" i="68"/>
  <c r="G36" i="68"/>
  <c r="D36" i="68"/>
  <c r="EL35" i="68"/>
  <c r="EG35" i="68"/>
  <c r="EI35" i="68" s="1"/>
  <c r="EB35" i="68"/>
  <c r="DW35" i="68"/>
  <c r="DT35" i="68"/>
  <c r="DQ35" i="68"/>
  <c r="DN35" i="68"/>
  <c r="DK35" i="68"/>
  <c r="DH35" i="68"/>
  <c r="DE35" i="68"/>
  <c r="DB35" i="68"/>
  <c r="CY35" i="68"/>
  <c r="CV35" i="68"/>
  <c r="CS35" i="68"/>
  <c r="CP35" i="68"/>
  <c r="CM35" i="68"/>
  <c r="CJ35" i="68"/>
  <c r="CG35" i="68"/>
  <c r="CD35" i="68"/>
  <c r="CA35" i="68"/>
  <c r="BX35" i="68"/>
  <c r="BU35" i="68"/>
  <c r="BR35" i="68"/>
  <c r="BO35" i="68"/>
  <c r="BL35" i="68"/>
  <c r="BI35" i="68"/>
  <c r="BF35" i="68"/>
  <c r="BC35" i="68"/>
  <c r="AZ35" i="68"/>
  <c r="AW35" i="68"/>
  <c r="AT35" i="68"/>
  <c r="AO35" i="68"/>
  <c r="AL35" i="68"/>
  <c r="AN35" i="68" s="1"/>
  <c r="AK35" i="68"/>
  <c r="AI35" i="68"/>
  <c r="AB35" i="68"/>
  <c r="Y35" i="68"/>
  <c r="V35" i="68"/>
  <c r="S35" i="68"/>
  <c r="P35" i="68"/>
  <c r="M35" i="68"/>
  <c r="J35" i="68"/>
  <c r="G35" i="68"/>
  <c r="D35" i="68"/>
  <c r="EL34" i="68"/>
  <c r="EK34" i="68"/>
  <c r="EG34" i="68"/>
  <c r="EI34" i="68" s="1"/>
  <c r="EC34" i="68"/>
  <c r="DW34" i="68"/>
  <c r="DT34" i="68"/>
  <c r="DQ34" i="68"/>
  <c r="DN34" i="68"/>
  <c r="DK34" i="68"/>
  <c r="DH34" i="68"/>
  <c r="DE34" i="68"/>
  <c r="DB34" i="68"/>
  <c r="CY34" i="68"/>
  <c r="CV34" i="68"/>
  <c r="CS34" i="68"/>
  <c r="CP34" i="68"/>
  <c r="CM34" i="68"/>
  <c r="CJ34" i="68"/>
  <c r="CG34" i="68"/>
  <c r="CD34" i="68"/>
  <c r="CA34" i="68"/>
  <c r="BX34" i="68"/>
  <c r="BU34" i="68"/>
  <c r="BR34" i="68"/>
  <c r="BO34" i="68"/>
  <c r="BL34" i="68"/>
  <c r="BI34" i="68"/>
  <c r="BF34" i="68"/>
  <c r="BC34" i="68"/>
  <c r="AZ34" i="68"/>
  <c r="AW34" i="68"/>
  <c r="AT34" i="68"/>
  <c r="AQ34" i="68"/>
  <c r="AO34" i="68"/>
  <c r="EB34" i="68" s="1"/>
  <c r="AN34" i="68"/>
  <c r="AL34" i="68"/>
  <c r="AK34" i="68"/>
  <c r="AB34" i="68"/>
  <c r="Y34" i="68"/>
  <c r="V34" i="68"/>
  <c r="S34" i="68"/>
  <c r="P34" i="68"/>
  <c r="M34" i="68"/>
  <c r="J34" i="68"/>
  <c r="G34" i="68"/>
  <c r="D34" i="68"/>
  <c r="EL33" i="68"/>
  <c r="EG33" i="68"/>
  <c r="EI33" i="68" s="1"/>
  <c r="DW33" i="68"/>
  <c r="DT33" i="68"/>
  <c r="DQ33" i="68"/>
  <c r="DN33" i="68"/>
  <c r="DK33" i="68"/>
  <c r="DH33" i="68"/>
  <c r="DE33" i="68"/>
  <c r="DB33" i="68"/>
  <c r="CY33" i="68"/>
  <c r="CV33" i="68"/>
  <c r="CS33" i="68"/>
  <c r="CP33" i="68"/>
  <c r="CM33" i="68"/>
  <c r="CJ33" i="68"/>
  <c r="CG33" i="68"/>
  <c r="CD33" i="68"/>
  <c r="CA33" i="68"/>
  <c r="BX33" i="68"/>
  <c r="BU33" i="68"/>
  <c r="BR33" i="68"/>
  <c r="BO33" i="68"/>
  <c r="BL33" i="68"/>
  <c r="BI33" i="68"/>
  <c r="BF33" i="68"/>
  <c r="BC33" i="68"/>
  <c r="AZ33" i="68"/>
  <c r="AW33" i="68"/>
  <c r="AT33" i="68"/>
  <c r="AO33" i="68"/>
  <c r="AL33" i="68"/>
  <c r="AK33" i="68"/>
  <c r="AB33" i="68"/>
  <c r="Y33" i="68"/>
  <c r="V33" i="68"/>
  <c r="S33" i="68"/>
  <c r="EH33" i="68" s="1"/>
  <c r="P33" i="68"/>
  <c r="M33" i="68"/>
  <c r="J33" i="68"/>
  <c r="G33" i="68"/>
  <c r="D33" i="68"/>
  <c r="EL32" i="68"/>
  <c r="EI32" i="68"/>
  <c r="EG32" i="68"/>
  <c r="EB32" i="68"/>
  <c r="DW32" i="68"/>
  <c r="DT32" i="68"/>
  <c r="DQ32" i="68"/>
  <c r="DN32" i="68"/>
  <c r="DK32" i="68"/>
  <c r="DH32" i="68"/>
  <c r="DE32" i="68"/>
  <c r="DB32" i="68"/>
  <c r="CY32" i="68"/>
  <c r="CV32" i="68"/>
  <c r="CS32" i="68"/>
  <c r="CP32" i="68"/>
  <c r="CM32" i="68"/>
  <c r="CJ32" i="68"/>
  <c r="CG32" i="68"/>
  <c r="CD32" i="68"/>
  <c r="CA32" i="68"/>
  <c r="BX32" i="68"/>
  <c r="BU32" i="68"/>
  <c r="BR32" i="68"/>
  <c r="BO32" i="68"/>
  <c r="BL32" i="68"/>
  <c r="BI32" i="68"/>
  <c r="BF32" i="68"/>
  <c r="BC32" i="68"/>
  <c r="AZ32" i="68"/>
  <c r="AW32" i="68"/>
  <c r="AT32" i="68"/>
  <c r="AQ32" i="68"/>
  <c r="AO32" i="68"/>
  <c r="EK32" i="68" s="1"/>
  <c r="AN32" i="68"/>
  <c r="AL32" i="68"/>
  <c r="AK32" i="68"/>
  <c r="AB32" i="68"/>
  <c r="Y32" i="68"/>
  <c r="V32" i="68"/>
  <c r="S32" i="68"/>
  <c r="P32" i="68"/>
  <c r="M32" i="68"/>
  <c r="J32" i="68"/>
  <c r="G32" i="68"/>
  <c r="D32" i="68"/>
  <c r="EL31" i="68"/>
  <c r="EG31" i="68"/>
  <c r="EI31" i="68" s="1"/>
  <c r="EB31" i="68"/>
  <c r="DW31" i="68"/>
  <c r="DT31" i="68"/>
  <c r="DQ31" i="68"/>
  <c r="DN31" i="68"/>
  <c r="DK31" i="68"/>
  <c r="DH31" i="68"/>
  <c r="DE31" i="68"/>
  <c r="DB31" i="68"/>
  <c r="CY31" i="68"/>
  <c r="CV31" i="68"/>
  <c r="CS31" i="68"/>
  <c r="CP31" i="68"/>
  <c r="CM31" i="68"/>
  <c r="CJ31" i="68"/>
  <c r="CG31" i="68"/>
  <c r="CD31" i="68"/>
  <c r="CA31" i="68"/>
  <c r="BX31" i="68"/>
  <c r="BU31" i="68"/>
  <c r="BR31" i="68"/>
  <c r="BO31" i="68"/>
  <c r="BL31" i="68"/>
  <c r="BI31" i="68"/>
  <c r="BF31" i="68"/>
  <c r="BC31" i="68"/>
  <c r="AZ31" i="68"/>
  <c r="AW31" i="68"/>
  <c r="AT31" i="68"/>
  <c r="AO31" i="68"/>
  <c r="EK31" i="68" s="1"/>
  <c r="AL31" i="68"/>
  <c r="AN31" i="68" s="1"/>
  <c r="AI31" i="68"/>
  <c r="AK31" i="68" s="1"/>
  <c r="AB31" i="68"/>
  <c r="Y31" i="68"/>
  <c r="V31" i="68"/>
  <c r="S31" i="68"/>
  <c r="P31" i="68"/>
  <c r="M31" i="68"/>
  <c r="J31" i="68"/>
  <c r="G31" i="68"/>
  <c r="D31" i="68"/>
  <c r="EL30" i="68"/>
  <c r="EG30" i="68"/>
  <c r="EI30" i="68" s="1"/>
  <c r="DW30" i="68"/>
  <c r="DT30" i="68"/>
  <c r="DQ30" i="68"/>
  <c r="DN30" i="68"/>
  <c r="DK30" i="68"/>
  <c r="DH30" i="68"/>
  <c r="DE30" i="68"/>
  <c r="DB30" i="68"/>
  <c r="CY30" i="68"/>
  <c r="CV30" i="68"/>
  <c r="CS30" i="68"/>
  <c r="CP30" i="68"/>
  <c r="CM30" i="68"/>
  <c r="CJ30" i="68"/>
  <c r="CG30" i="68"/>
  <c r="CD30" i="68"/>
  <c r="CA30" i="68"/>
  <c r="BX30" i="68"/>
  <c r="BU30" i="68"/>
  <c r="BR30" i="68"/>
  <c r="BO30" i="68"/>
  <c r="BL30" i="68"/>
  <c r="BI30" i="68"/>
  <c r="BF30" i="68"/>
  <c r="BC30" i="68"/>
  <c r="AZ30" i="68"/>
  <c r="AW30" i="68"/>
  <c r="AT30" i="68"/>
  <c r="AQ30" i="68"/>
  <c r="AO30" i="68"/>
  <c r="AN30" i="68"/>
  <c r="AL30" i="68"/>
  <c r="AI30" i="68"/>
  <c r="AB30" i="68"/>
  <c r="Y30" i="68"/>
  <c r="V30" i="68"/>
  <c r="S30" i="68"/>
  <c r="EH30" i="68" s="1"/>
  <c r="P30" i="68"/>
  <c r="M30" i="68"/>
  <c r="J30" i="68"/>
  <c r="G30" i="68"/>
  <c r="D30" i="68"/>
  <c r="EL29" i="68"/>
  <c r="EK29" i="68"/>
  <c r="EG29" i="68"/>
  <c r="EI29" i="68" s="1"/>
  <c r="DW29" i="68"/>
  <c r="DT29" i="68"/>
  <c r="DQ29" i="68"/>
  <c r="DN29" i="68"/>
  <c r="DK29" i="68"/>
  <c r="DH29" i="68"/>
  <c r="DE29" i="68"/>
  <c r="DB29" i="68"/>
  <c r="CY29" i="68"/>
  <c r="CV29" i="68"/>
  <c r="CS29" i="68"/>
  <c r="CP29" i="68"/>
  <c r="CM29" i="68"/>
  <c r="CJ29" i="68"/>
  <c r="CG29" i="68"/>
  <c r="CD29" i="68"/>
  <c r="CA29" i="68"/>
  <c r="BX29" i="68"/>
  <c r="BU29" i="68"/>
  <c r="BR29" i="68"/>
  <c r="BO29" i="68"/>
  <c r="BL29" i="68"/>
  <c r="BI29" i="68"/>
  <c r="BF29" i="68"/>
  <c r="BC29" i="68"/>
  <c r="AZ29" i="68"/>
  <c r="AW29" i="68"/>
  <c r="AT29" i="68"/>
  <c r="AO29" i="68"/>
  <c r="AQ29" i="68" s="1"/>
  <c r="AN29" i="68"/>
  <c r="AL29" i="68"/>
  <c r="AK29" i="68"/>
  <c r="AI29" i="68"/>
  <c r="AB29" i="68"/>
  <c r="Y29" i="68"/>
  <c r="V29" i="68"/>
  <c r="S29" i="68"/>
  <c r="EH29" i="68" s="1"/>
  <c r="P29" i="68"/>
  <c r="M29" i="68"/>
  <c r="J29" i="68"/>
  <c r="G29" i="68"/>
  <c r="D29" i="68"/>
  <c r="EL28" i="68"/>
  <c r="EG28" i="68"/>
  <c r="EI28" i="68" s="1"/>
  <c r="EB28" i="68"/>
  <c r="DW28" i="68"/>
  <c r="DT28" i="68"/>
  <c r="DQ28" i="68"/>
  <c r="DN28" i="68"/>
  <c r="DK28" i="68"/>
  <c r="DH28" i="68"/>
  <c r="DE28" i="68"/>
  <c r="DB28" i="68"/>
  <c r="CY28" i="68"/>
  <c r="CV28" i="68"/>
  <c r="CS28" i="68"/>
  <c r="CP28" i="68"/>
  <c r="CM28" i="68"/>
  <c r="CJ28" i="68"/>
  <c r="CG28" i="68"/>
  <c r="CD28" i="68"/>
  <c r="CA28" i="68"/>
  <c r="BX28" i="68"/>
  <c r="BU28" i="68"/>
  <c r="BR28" i="68"/>
  <c r="BO28" i="68"/>
  <c r="BL28" i="68"/>
  <c r="BI28" i="68"/>
  <c r="BF28" i="68"/>
  <c r="BC28" i="68"/>
  <c r="AZ28" i="68"/>
  <c r="AW28" i="68"/>
  <c r="AT28" i="68"/>
  <c r="AQ28" i="68"/>
  <c r="AO28" i="68"/>
  <c r="AL28" i="68"/>
  <c r="AI28" i="68"/>
  <c r="AK28" i="68" s="1"/>
  <c r="AB28" i="68"/>
  <c r="Y28" i="68"/>
  <c r="V28" i="68"/>
  <c r="S28" i="68"/>
  <c r="P28" i="68"/>
  <c r="M28" i="68"/>
  <c r="J28" i="68"/>
  <c r="G28" i="68"/>
  <c r="D28" i="68"/>
  <c r="EL27" i="68"/>
  <c r="EK27" i="68"/>
  <c r="EG27" i="68"/>
  <c r="EI27" i="68" s="1"/>
  <c r="DW27" i="68"/>
  <c r="DT27" i="68"/>
  <c r="DQ27" i="68"/>
  <c r="DN27" i="68"/>
  <c r="DK27" i="68"/>
  <c r="DH27" i="68"/>
  <c r="DE27" i="68"/>
  <c r="DB27" i="68"/>
  <c r="CY27" i="68"/>
  <c r="CV27" i="68"/>
  <c r="CS27" i="68"/>
  <c r="CP27" i="68"/>
  <c r="CM27" i="68"/>
  <c r="CJ27" i="68"/>
  <c r="CG27" i="68"/>
  <c r="CD27" i="68"/>
  <c r="CA27" i="68"/>
  <c r="BX27" i="68"/>
  <c r="BU27" i="68"/>
  <c r="BR27" i="68"/>
  <c r="BO27" i="68"/>
  <c r="BL27" i="68"/>
  <c r="BI27" i="68"/>
  <c r="BF27" i="68"/>
  <c r="BC27" i="68"/>
  <c r="AZ27" i="68"/>
  <c r="AW27" i="68"/>
  <c r="AT27" i="68"/>
  <c r="AO27" i="68"/>
  <c r="AQ27" i="68" s="1"/>
  <c r="AN27" i="68"/>
  <c r="AL27" i="68"/>
  <c r="AK27" i="68"/>
  <c r="AI27" i="68"/>
  <c r="AB27" i="68"/>
  <c r="Y27" i="68"/>
  <c r="V27" i="68"/>
  <c r="S27" i="68"/>
  <c r="P27" i="68"/>
  <c r="M27" i="68"/>
  <c r="J27" i="68"/>
  <c r="G27" i="68"/>
  <c r="D27" i="68"/>
  <c r="EL26" i="68"/>
  <c r="EG26" i="68"/>
  <c r="EI26" i="68" s="1"/>
  <c r="DW26" i="68"/>
  <c r="DT26" i="68"/>
  <c r="DQ26" i="68"/>
  <c r="DN26" i="68"/>
  <c r="DK26" i="68"/>
  <c r="DH26" i="68"/>
  <c r="DE26" i="68"/>
  <c r="DB26" i="68"/>
  <c r="CY26" i="68"/>
  <c r="CV26" i="68"/>
  <c r="CS26" i="68"/>
  <c r="CP26" i="68"/>
  <c r="CM26" i="68"/>
  <c r="CJ26" i="68"/>
  <c r="CG26" i="68"/>
  <c r="CD26" i="68"/>
  <c r="CA26" i="68"/>
  <c r="BX26" i="68"/>
  <c r="BU26" i="68"/>
  <c r="BR26" i="68"/>
  <c r="BO26" i="68"/>
  <c r="BL26" i="68"/>
  <c r="BI26" i="68"/>
  <c r="BF26" i="68"/>
  <c r="BC26" i="68"/>
  <c r="AZ26" i="68"/>
  <c r="AW26" i="68"/>
  <c r="AT26" i="68"/>
  <c r="AO26" i="68"/>
  <c r="AL26" i="68"/>
  <c r="AN26" i="68" s="1"/>
  <c r="AI26" i="68"/>
  <c r="AK26" i="68" s="1"/>
  <c r="AB26" i="68"/>
  <c r="Y26" i="68"/>
  <c r="V26" i="68"/>
  <c r="S26" i="68"/>
  <c r="EH26" i="68" s="1"/>
  <c r="P26" i="68"/>
  <c r="M26" i="68"/>
  <c r="J26" i="68"/>
  <c r="G26" i="68"/>
  <c r="D26" i="68"/>
  <c r="EL25" i="68"/>
  <c r="EG25" i="68"/>
  <c r="EI25" i="68" s="1"/>
  <c r="DW25" i="68"/>
  <c r="DT25" i="68"/>
  <c r="DQ25" i="68"/>
  <c r="DN25" i="68"/>
  <c r="DK25" i="68"/>
  <c r="DH25" i="68"/>
  <c r="DE25" i="68"/>
  <c r="DB25" i="68"/>
  <c r="CY25" i="68"/>
  <c r="CV25" i="68"/>
  <c r="CS25" i="68"/>
  <c r="CP25" i="68"/>
  <c r="CM25" i="68"/>
  <c r="CJ25" i="68"/>
  <c r="CG25" i="68"/>
  <c r="CD25" i="68"/>
  <c r="CA25" i="68"/>
  <c r="BX25" i="68"/>
  <c r="BU25" i="68"/>
  <c r="BR25" i="68"/>
  <c r="BO25" i="68"/>
  <c r="BL25" i="68"/>
  <c r="BI25" i="68"/>
  <c r="BF25" i="68"/>
  <c r="BC25" i="68"/>
  <c r="AZ25" i="68"/>
  <c r="AW25" i="68"/>
  <c r="AT25" i="68"/>
  <c r="AO25" i="68"/>
  <c r="AN25" i="68"/>
  <c r="AL25" i="68"/>
  <c r="AI25" i="68"/>
  <c r="AK25" i="68" s="1"/>
  <c r="AB25" i="68"/>
  <c r="Y25" i="68"/>
  <c r="V25" i="68"/>
  <c r="S25" i="68"/>
  <c r="P25" i="68"/>
  <c r="M25" i="68"/>
  <c r="J25" i="68"/>
  <c r="G25" i="68"/>
  <c r="D25" i="68"/>
  <c r="EL24" i="68"/>
  <c r="EG24" i="68"/>
  <c r="EI24" i="68" s="1"/>
  <c r="DW24" i="68"/>
  <c r="DT24" i="68"/>
  <c r="DQ24" i="68"/>
  <c r="DN24" i="68"/>
  <c r="DK24" i="68"/>
  <c r="DH24" i="68"/>
  <c r="DE24" i="68"/>
  <c r="DB24" i="68"/>
  <c r="CY24" i="68"/>
  <c r="CV24" i="68"/>
  <c r="CS24" i="68"/>
  <c r="CP24" i="68"/>
  <c r="CM24" i="68"/>
  <c r="CJ24" i="68"/>
  <c r="CG24" i="68"/>
  <c r="CD24" i="68"/>
  <c r="CA24" i="68"/>
  <c r="BX24" i="68"/>
  <c r="BU24" i="68"/>
  <c r="BR24" i="68"/>
  <c r="BO24" i="68"/>
  <c r="BL24" i="68"/>
  <c r="BI24" i="68"/>
  <c r="BF24" i="68"/>
  <c r="BC24" i="68"/>
  <c r="AZ24" i="68"/>
  <c r="AW24" i="68"/>
  <c r="AT24" i="68"/>
  <c r="AO24" i="68"/>
  <c r="AQ24" i="68" s="1"/>
  <c r="AL24" i="68"/>
  <c r="AI24" i="68"/>
  <c r="AK24" i="68" s="1"/>
  <c r="AB24" i="68"/>
  <c r="Y24" i="68"/>
  <c r="V24" i="68"/>
  <c r="S24" i="68"/>
  <c r="EH24" i="68" s="1"/>
  <c r="P24" i="68"/>
  <c r="M24" i="68"/>
  <c r="J24" i="68"/>
  <c r="G24" i="68"/>
  <c r="D24" i="68"/>
  <c r="EL23" i="68"/>
  <c r="EG23" i="68"/>
  <c r="EI23" i="68" s="1"/>
  <c r="EB23" i="68"/>
  <c r="DW23" i="68"/>
  <c r="DT23" i="68"/>
  <c r="DQ23" i="68"/>
  <c r="DN23" i="68"/>
  <c r="DK23" i="68"/>
  <c r="DH23" i="68"/>
  <c r="DE23" i="68"/>
  <c r="DB23" i="68"/>
  <c r="CY23" i="68"/>
  <c r="CV23" i="68"/>
  <c r="CS23" i="68"/>
  <c r="CP23" i="68"/>
  <c r="CM23" i="68"/>
  <c r="CJ23" i="68"/>
  <c r="CG23" i="68"/>
  <c r="CD23" i="68"/>
  <c r="CA23" i="68"/>
  <c r="BX23" i="68"/>
  <c r="BU23" i="68"/>
  <c r="BR23" i="68"/>
  <c r="BO23" i="68"/>
  <c r="BL23" i="68"/>
  <c r="BI23" i="68"/>
  <c r="BF23" i="68"/>
  <c r="BC23" i="68"/>
  <c r="AZ23" i="68"/>
  <c r="AW23" i="68"/>
  <c r="AT23" i="68"/>
  <c r="AQ23" i="68"/>
  <c r="AO23" i="68"/>
  <c r="AL23" i="68"/>
  <c r="AN23" i="68" s="1"/>
  <c r="AI23" i="68"/>
  <c r="EK23" i="68" s="1"/>
  <c r="AB23" i="68"/>
  <c r="Y23" i="68"/>
  <c r="V23" i="68"/>
  <c r="S23" i="68"/>
  <c r="P23" i="68"/>
  <c r="M23" i="68"/>
  <c r="J23" i="68"/>
  <c r="G23" i="68"/>
  <c r="D23" i="68"/>
  <c r="EL22" i="68"/>
  <c r="EI22" i="68"/>
  <c r="EG22" i="68"/>
  <c r="DW22" i="68"/>
  <c r="DT22" i="68"/>
  <c r="DQ22" i="68"/>
  <c r="DN22" i="68"/>
  <c r="DK22" i="68"/>
  <c r="DH22" i="68"/>
  <c r="DE22" i="68"/>
  <c r="DB22" i="68"/>
  <c r="CY22" i="68"/>
  <c r="CV22" i="68"/>
  <c r="CS22" i="68"/>
  <c r="CP22" i="68"/>
  <c r="CM22" i="68"/>
  <c r="CJ22" i="68"/>
  <c r="CG22" i="68"/>
  <c r="CD22" i="68"/>
  <c r="CA22" i="68"/>
  <c r="BX22" i="68"/>
  <c r="BU22" i="68"/>
  <c r="BR22" i="68"/>
  <c r="BO22" i="68"/>
  <c r="BL22" i="68"/>
  <c r="BI22" i="68"/>
  <c r="BF22" i="68"/>
  <c r="BC22" i="68"/>
  <c r="AZ22" i="68"/>
  <c r="AW22" i="68"/>
  <c r="AT22" i="68"/>
  <c r="AQ22" i="68"/>
  <c r="AL22" i="68"/>
  <c r="AI22" i="68"/>
  <c r="AK22" i="68" s="1"/>
  <c r="AB22" i="68"/>
  <c r="Y22" i="68"/>
  <c r="V22" i="68"/>
  <c r="S22" i="68"/>
  <c r="EH22" i="68" s="1"/>
  <c r="P22" i="68"/>
  <c r="M22" i="68"/>
  <c r="J22" i="68"/>
  <c r="G22" i="68"/>
  <c r="D22" i="68"/>
  <c r="EL21" i="68"/>
  <c r="EG21" i="68"/>
  <c r="EI21" i="68" s="1"/>
  <c r="EB21" i="68"/>
  <c r="DW21" i="68"/>
  <c r="DT21" i="68"/>
  <c r="DQ21" i="68"/>
  <c r="DN21" i="68"/>
  <c r="DK21" i="68"/>
  <c r="DH21" i="68"/>
  <c r="DE21" i="68"/>
  <c r="DB21" i="68"/>
  <c r="CY21" i="68"/>
  <c r="CV21" i="68"/>
  <c r="CS21" i="68"/>
  <c r="CP21" i="68"/>
  <c r="CM21" i="68"/>
  <c r="CJ21" i="68"/>
  <c r="CG21" i="68"/>
  <c r="CD21" i="68"/>
  <c r="CA21" i="68"/>
  <c r="BX21" i="68"/>
  <c r="BU21" i="68"/>
  <c r="BR21" i="68"/>
  <c r="BO21" i="68"/>
  <c r="BL21" i="68"/>
  <c r="BI21" i="68"/>
  <c r="BF21" i="68"/>
  <c r="BC21" i="68"/>
  <c r="AZ21" i="68"/>
  <c r="AW21" i="68"/>
  <c r="AT21" i="68"/>
  <c r="AQ21" i="68"/>
  <c r="AL21" i="68"/>
  <c r="EK21" i="68" s="1"/>
  <c r="AK21" i="68"/>
  <c r="AI21" i="68"/>
  <c r="AB21" i="68"/>
  <c r="Y21" i="68"/>
  <c r="V21" i="68"/>
  <c r="S21" i="68"/>
  <c r="EH21" i="68" s="1"/>
  <c r="P21" i="68"/>
  <c r="M21" i="68"/>
  <c r="J21" i="68"/>
  <c r="G21" i="68"/>
  <c r="D21" i="68"/>
  <c r="EL20" i="68"/>
  <c r="EG20" i="68"/>
  <c r="EI20" i="68" s="1"/>
  <c r="DW20" i="68"/>
  <c r="DT20" i="68"/>
  <c r="EM20" i="68" s="1"/>
  <c r="DQ20" i="68"/>
  <c r="DN20" i="68"/>
  <c r="DK20" i="68"/>
  <c r="DH20" i="68"/>
  <c r="DE20" i="68"/>
  <c r="DB20" i="68"/>
  <c r="CY20" i="68"/>
  <c r="CV20" i="68"/>
  <c r="CS20" i="68"/>
  <c r="CP20" i="68"/>
  <c r="CM20" i="68"/>
  <c r="CJ20" i="68"/>
  <c r="CG20" i="68"/>
  <c r="CD20" i="68"/>
  <c r="CA20" i="68"/>
  <c r="BX20" i="68"/>
  <c r="BU20" i="68"/>
  <c r="BR20" i="68"/>
  <c r="BO20" i="68"/>
  <c r="BL20" i="68"/>
  <c r="BI20" i="68"/>
  <c r="BF20" i="68"/>
  <c r="BC20" i="68"/>
  <c r="AZ20" i="68"/>
  <c r="AW20" i="68"/>
  <c r="AT20" i="68"/>
  <c r="AQ20" i="68"/>
  <c r="AN20" i="68"/>
  <c r="AL20" i="68"/>
  <c r="EB20" i="68" s="1"/>
  <c r="AK20" i="68"/>
  <c r="AI20" i="68"/>
  <c r="AB20" i="68"/>
  <c r="Y20" i="68"/>
  <c r="V20" i="68"/>
  <c r="S20" i="68"/>
  <c r="EH20" i="68" s="1"/>
  <c r="P20" i="68"/>
  <c r="M20" i="68"/>
  <c r="J20" i="68"/>
  <c r="G20" i="68"/>
  <c r="D20" i="68"/>
  <c r="ED20" i="68" s="1"/>
  <c r="EE20" i="68" s="1"/>
  <c r="EL19" i="68"/>
  <c r="EG19" i="68"/>
  <c r="EI19" i="68" s="1"/>
  <c r="EB19" i="68"/>
  <c r="DW19" i="68"/>
  <c r="DT19" i="68"/>
  <c r="DQ19" i="68"/>
  <c r="DN19" i="68"/>
  <c r="DK19" i="68"/>
  <c r="DH19" i="68"/>
  <c r="DE19" i="68"/>
  <c r="DB19" i="68"/>
  <c r="CY19" i="68"/>
  <c r="CV19" i="68"/>
  <c r="CS19" i="68"/>
  <c r="CP19" i="68"/>
  <c r="CM19" i="68"/>
  <c r="CJ19" i="68"/>
  <c r="CG19" i="68"/>
  <c r="CD19" i="68"/>
  <c r="CA19" i="68"/>
  <c r="BX19" i="68"/>
  <c r="BU19" i="68"/>
  <c r="BR19" i="68"/>
  <c r="BO19" i="68"/>
  <c r="BL19" i="68"/>
  <c r="BI19" i="68"/>
  <c r="BF19" i="68"/>
  <c r="BC19" i="68"/>
  <c r="AZ19" i="68"/>
  <c r="AW19" i="68"/>
  <c r="AT19" i="68"/>
  <c r="AQ19" i="68"/>
  <c r="AL19" i="68"/>
  <c r="AI19" i="68"/>
  <c r="AK19" i="68" s="1"/>
  <c r="AB19" i="68"/>
  <c r="Y19" i="68"/>
  <c r="V19" i="68"/>
  <c r="S19" i="68"/>
  <c r="P19" i="68"/>
  <c r="M19" i="68"/>
  <c r="J19" i="68"/>
  <c r="G19" i="68"/>
  <c r="D19" i="68"/>
  <c r="EL18" i="68"/>
  <c r="EK18" i="68"/>
  <c r="EG18" i="68"/>
  <c r="EI18" i="68" s="1"/>
  <c r="DW18" i="68"/>
  <c r="DT18" i="68"/>
  <c r="DQ18" i="68"/>
  <c r="DN18" i="68"/>
  <c r="DK18" i="68"/>
  <c r="DH18" i="68"/>
  <c r="DE18" i="68"/>
  <c r="DB18" i="68"/>
  <c r="CY18" i="68"/>
  <c r="CV18" i="68"/>
  <c r="CS18" i="68"/>
  <c r="CP18" i="68"/>
  <c r="CM18" i="68"/>
  <c r="CJ18" i="68"/>
  <c r="CG18" i="68"/>
  <c r="CD18" i="68"/>
  <c r="CA18" i="68"/>
  <c r="BX18" i="68"/>
  <c r="BU18" i="68"/>
  <c r="BR18" i="68"/>
  <c r="BO18" i="68"/>
  <c r="BL18" i="68"/>
  <c r="BI18" i="68"/>
  <c r="BF18" i="68"/>
  <c r="BC18" i="68"/>
  <c r="AZ18" i="68"/>
  <c r="AW18" i="68"/>
  <c r="AT18" i="68"/>
  <c r="AQ18" i="68"/>
  <c r="AL18" i="68"/>
  <c r="EB18" i="68" s="1"/>
  <c r="AK18" i="68"/>
  <c r="AI18" i="68"/>
  <c r="AB18" i="68"/>
  <c r="Y18" i="68"/>
  <c r="V18" i="68"/>
  <c r="S18" i="68"/>
  <c r="EH18" i="68" s="1"/>
  <c r="P18" i="68"/>
  <c r="M18" i="68"/>
  <c r="J18" i="68"/>
  <c r="G18" i="68"/>
  <c r="D18" i="68"/>
  <c r="EL17" i="68"/>
  <c r="EG17" i="68"/>
  <c r="EI17" i="68" s="1"/>
  <c r="DW17" i="68"/>
  <c r="DT17" i="68"/>
  <c r="DQ17" i="68"/>
  <c r="DN17" i="68"/>
  <c r="DK17" i="68"/>
  <c r="DH17" i="68"/>
  <c r="DE17" i="68"/>
  <c r="DB17" i="68"/>
  <c r="CY17" i="68"/>
  <c r="CV17" i="68"/>
  <c r="CS17" i="68"/>
  <c r="CP17" i="68"/>
  <c r="CM17" i="68"/>
  <c r="CJ17" i="68"/>
  <c r="CG17" i="68"/>
  <c r="CD17" i="68"/>
  <c r="CA17" i="68"/>
  <c r="BX17" i="68"/>
  <c r="BU17" i="68"/>
  <c r="BR17" i="68"/>
  <c r="BO17" i="68"/>
  <c r="BL17" i="68"/>
  <c r="BI17" i="68"/>
  <c r="BF17" i="68"/>
  <c r="BC17" i="68"/>
  <c r="AZ17" i="68"/>
  <c r="AW17" i="68"/>
  <c r="AT17" i="68"/>
  <c r="AQ17" i="68"/>
  <c r="AO17" i="68"/>
  <c r="AL17" i="68"/>
  <c r="AI17" i="68"/>
  <c r="AK17" i="68" s="1"/>
  <c r="AB17" i="68"/>
  <c r="Y17" i="68"/>
  <c r="V17" i="68"/>
  <c r="S17" i="68"/>
  <c r="P17" i="68"/>
  <c r="M17" i="68"/>
  <c r="J17" i="68"/>
  <c r="G17" i="68"/>
  <c r="D17" i="68"/>
  <c r="EL16" i="68"/>
  <c r="EK16" i="68"/>
  <c r="EG16" i="68"/>
  <c r="EI16" i="68" s="1"/>
  <c r="DW16" i="68"/>
  <c r="DT16" i="68"/>
  <c r="DQ16" i="68"/>
  <c r="DN16" i="68"/>
  <c r="DK16" i="68"/>
  <c r="DH16" i="68"/>
  <c r="DE16" i="68"/>
  <c r="DB16" i="68"/>
  <c r="CY16" i="68"/>
  <c r="CV16" i="68"/>
  <c r="CS16" i="68"/>
  <c r="CP16" i="68"/>
  <c r="CM16" i="68"/>
  <c r="CJ16" i="68"/>
  <c r="CG16" i="68"/>
  <c r="CD16" i="68"/>
  <c r="CA16" i="68"/>
  <c r="BX16" i="68"/>
  <c r="BU16" i="68"/>
  <c r="BR16" i="68"/>
  <c r="BO16" i="68"/>
  <c r="BL16" i="68"/>
  <c r="BI16" i="68"/>
  <c r="BF16" i="68"/>
  <c r="BC16" i="68"/>
  <c r="AZ16" i="68"/>
  <c r="AW16" i="68"/>
  <c r="AT16" i="68"/>
  <c r="AO16" i="68"/>
  <c r="AQ16" i="68" s="1"/>
  <c r="AL16" i="68"/>
  <c r="EB16" i="68" s="1"/>
  <c r="AK16" i="68"/>
  <c r="AI16" i="68"/>
  <c r="AB16" i="68"/>
  <c r="Y16" i="68"/>
  <c r="V16" i="68"/>
  <c r="S16" i="68"/>
  <c r="P16" i="68"/>
  <c r="M16" i="68"/>
  <c r="J16" i="68"/>
  <c r="G16" i="68"/>
  <c r="D16" i="68"/>
  <c r="EL15" i="68"/>
  <c r="EG15" i="68"/>
  <c r="EI15" i="68" s="1"/>
  <c r="DW15" i="68"/>
  <c r="DT15" i="68"/>
  <c r="DQ15" i="68"/>
  <c r="DN15" i="68"/>
  <c r="DK15" i="68"/>
  <c r="DH15" i="68"/>
  <c r="DE15" i="68"/>
  <c r="DB15" i="68"/>
  <c r="CY15" i="68"/>
  <c r="CV15" i="68"/>
  <c r="CS15" i="68"/>
  <c r="CP15" i="68"/>
  <c r="CM15" i="68"/>
  <c r="CJ15" i="68"/>
  <c r="CG15" i="68"/>
  <c r="CD15" i="68"/>
  <c r="CA15" i="68"/>
  <c r="BX15" i="68"/>
  <c r="BU15" i="68"/>
  <c r="BR15" i="68"/>
  <c r="BO15" i="68"/>
  <c r="BL15" i="68"/>
  <c r="BI15" i="68"/>
  <c r="BF15" i="68"/>
  <c r="BC15" i="68"/>
  <c r="AZ15" i="68"/>
  <c r="AW15" i="68"/>
  <c r="AT15" i="68"/>
  <c r="AO15" i="68"/>
  <c r="AN15" i="68"/>
  <c r="AL15" i="68"/>
  <c r="AI15" i="68"/>
  <c r="AK15" i="68" s="1"/>
  <c r="AB15" i="68"/>
  <c r="Y15" i="68"/>
  <c r="V15" i="68"/>
  <c r="S15" i="68"/>
  <c r="P15" i="68"/>
  <c r="M15" i="68"/>
  <c r="J15" i="68"/>
  <c r="G15" i="68"/>
  <c r="D15" i="68"/>
  <c r="EL14" i="68"/>
  <c r="EK14" i="68"/>
  <c r="EG14" i="68"/>
  <c r="EI14" i="68" s="1"/>
  <c r="EB14" i="68"/>
  <c r="EC14" i="68" s="1"/>
  <c r="DW14" i="68"/>
  <c r="DT14" i="68"/>
  <c r="DQ14" i="68"/>
  <c r="DN14" i="68"/>
  <c r="DK14" i="68"/>
  <c r="DH14" i="68"/>
  <c r="DE14" i="68"/>
  <c r="DB14" i="68"/>
  <c r="CY14" i="68"/>
  <c r="CV14" i="68"/>
  <c r="CS14" i="68"/>
  <c r="CP14" i="68"/>
  <c r="CM14" i="68"/>
  <c r="CJ14" i="68"/>
  <c r="CG14" i="68"/>
  <c r="CD14" i="68"/>
  <c r="CA14" i="68"/>
  <c r="BX14" i="68"/>
  <c r="BU14" i="68"/>
  <c r="BR14" i="68"/>
  <c r="BO14" i="68"/>
  <c r="BL14" i="68"/>
  <c r="BI14" i="68"/>
  <c r="BF14" i="68"/>
  <c r="BC14" i="68"/>
  <c r="AZ14" i="68"/>
  <c r="AW14" i="68"/>
  <c r="AT14" i="68"/>
  <c r="AO14" i="68"/>
  <c r="AQ14" i="68" s="1"/>
  <c r="AN14" i="68"/>
  <c r="AL14" i="68"/>
  <c r="AI14" i="68"/>
  <c r="AK14" i="68" s="1"/>
  <c r="AB14" i="68"/>
  <c r="Y14" i="68"/>
  <c r="V14" i="68"/>
  <c r="S14" i="68"/>
  <c r="EH14" i="68" s="1"/>
  <c r="P14" i="68"/>
  <c r="M14" i="68"/>
  <c r="J14" i="68"/>
  <c r="G14" i="68"/>
  <c r="D14" i="68"/>
  <c r="EL13" i="68"/>
  <c r="EG13" i="68"/>
  <c r="EI13" i="68" s="1"/>
  <c r="DW13" i="68"/>
  <c r="DT13" i="68"/>
  <c r="DQ13" i="68"/>
  <c r="DN13" i="68"/>
  <c r="DK13" i="68"/>
  <c r="DH13" i="68"/>
  <c r="DE13" i="68"/>
  <c r="DB13" i="68"/>
  <c r="CY13" i="68"/>
  <c r="CV13" i="68"/>
  <c r="CS13" i="68"/>
  <c r="CP13" i="68"/>
  <c r="CM13" i="68"/>
  <c r="CJ13" i="68"/>
  <c r="CG13" i="68"/>
  <c r="CD13" i="68"/>
  <c r="CA13" i="68"/>
  <c r="BX13" i="68"/>
  <c r="BU13" i="68"/>
  <c r="BR13" i="68"/>
  <c r="BO13" i="68"/>
  <c r="BL13" i="68"/>
  <c r="BI13" i="68"/>
  <c r="BF13" i="68"/>
  <c r="BC13" i="68"/>
  <c r="AZ13" i="68"/>
  <c r="AW13" i="68"/>
  <c r="AT13" i="68"/>
  <c r="AO13" i="68"/>
  <c r="EK13" i="68" s="1"/>
  <c r="AL13" i="68"/>
  <c r="AI13" i="68"/>
  <c r="AK13" i="68" s="1"/>
  <c r="AB13" i="68"/>
  <c r="Y13" i="68"/>
  <c r="V13" i="68"/>
  <c r="S13" i="68"/>
  <c r="P13" i="68"/>
  <c r="M13" i="68"/>
  <c r="J13" i="68"/>
  <c r="G13" i="68"/>
  <c r="D13" i="68"/>
  <c r="A13" i="68"/>
  <c r="A14" i="68" s="1"/>
  <c r="A15" i="68" s="1"/>
  <c r="A16" i="68" s="1"/>
  <c r="A17" i="68" s="1"/>
  <c r="A18" i="68" s="1"/>
  <c r="A19" i="68" s="1"/>
  <c r="A20" i="68" s="1"/>
  <c r="A21" i="68" s="1"/>
  <c r="A22" i="68" s="1"/>
  <c r="A23" i="68" s="1"/>
  <c r="A24" i="68" s="1"/>
  <c r="A25" i="68" s="1"/>
  <c r="A26" i="68" s="1"/>
  <c r="A27" i="68" s="1"/>
  <c r="A28" i="68" s="1"/>
  <c r="A29" i="68" s="1"/>
  <c r="A30" i="68" s="1"/>
  <c r="A31" i="68" s="1"/>
  <c r="A32" i="68" s="1"/>
  <c r="A33" i="68" s="1"/>
  <c r="A34" i="68" s="1"/>
  <c r="A35" i="68" s="1"/>
  <c r="A36" i="68" s="1"/>
  <c r="A37" i="68" s="1"/>
  <c r="A38" i="68" s="1"/>
  <c r="A39" i="68" s="1"/>
  <c r="A40" i="68" s="1"/>
  <c r="EL12" i="68"/>
  <c r="EG12" i="68"/>
  <c r="EI12" i="68" s="1"/>
  <c r="EB12" i="68"/>
  <c r="DW12" i="68"/>
  <c r="DT12" i="68"/>
  <c r="DQ12" i="68"/>
  <c r="DN12" i="68"/>
  <c r="DK12" i="68"/>
  <c r="DH12" i="68"/>
  <c r="DE12" i="68"/>
  <c r="DB12" i="68"/>
  <c r="CY12" i="68"/>
  <c r="CV12" i="68"/>
  <c r="CS12" i="68"/>
  <c r="CP12" i="68"/>
  <c r="CM12" i="68"/>
  <c r="CJ12" i="68"/>
  <c r="CG12" i="68"/>
  <c r="CD12" i="68"/>
  <c r="CA12" i="68"/>
  <c r="BX12" i="68"/>
  <c r="BU12" i="68"/>
  <c r="BR12" i="68"/>
  <c r="BO12" i="68"/>
  <c r="BL12" i="68"/>
  <c r="BI12" i="68"/>
  <c r="BF12" i="68"/>
  <c r="BC12" i="68"/>
  <c r="AZ12" i="68"/>
  <c r="AW12" i="68"/>
  <c r="AT12" i="68"/>
  <c r="AQ12" i="68"/>
  <c r="AO12" i="68"/>
  <c r="AL12" i="68"/>
  <c r="AN12" i="68" s="1"/>
  <c r="AK12" i="68"/>
  <c r="AI12" i="68"/>
  <c r="EK12" i="68" s="1"/>
  <c r="AB12" i="68"/>
  <c r="Y12" i="68"/>
  <c r="V12" i="68"/>
  <c r="S12" i="68"/>
  <c r="P12" i="68"/>
  <c r="M12" i="68"/>
  <c r="J12" i="68"/>
  <c r="G12" i="68"/>
  <c r="D12" i="68"/>
  <c r="A12" i="68"/>
  <c r="EL11" i="68"/>
  <c r="EG11" i="68"/>
  <c r="EI11" i="68" s="1"/>
  <c r="DW11" i="68"/>
  <c r="DT11" i="68"/>
  <c r="DQ11" i="68"/>
  <c r="DN11" i="68"/>
  <c r="DK11" i="68"/>
  <c r="DH11" i="68"/>
  <c r="DE11" i="68"/>
  <c r="DB11" i="68"/>
  <c r="CY11" i="68"/>
  <c r="CV11" i="68"/>
  <c r="CS11" i="68"/>
  <c r="CP11" i="68"/>
  <c r="CM11" i="68"/>
  <c r="CJ11" i="68"/>
  <c r="CG11" i="68"/>
  <c r="CD11" i="68"/>
  <c r="CA11" i="68"/>
  <c r="BX11" i="68"/>
  <c r="BU11" i="68"/>
  <c r="BR11" i="68"/>
  <c r="BO11" i="68"/>
  <c r="BL11" i="68"/>
  <c r="BI11" i="68"/>
  <c r="BF11" i="68"/>
  <c r="BC11" i="68"/>
  <c r="AZ11" i="68"/>
  <c r="AW11" i="68"/>
  <c r="AT11" i="68"/>
  <c r="AQ11" i="68"/>
  <c r="AO11" i="68"/>
  <c r="EK11" i="68" s="1"/>
  <c r="AL11" i="68"/>
  <c r="AI11" i="68"/>
  <c r="AK11" i="68" s="1"/>
  <c r="AB11" i="68"/>
  <c r="Y11" i="68"/>
  <c r="V11" i="68"/>
  <c r="S11" i="68"/>
  <c r="P11" i="68"/>
  <c r="M11" i="68"/>
  <c r="J11" i="68"/>
  <c r="J42" i="68" s="1"/>
  <c r="G11" i="68"/>
  <c r="D11" i="68"/>
  <c r="CJ42" i="68" l="1"/>
  <c r="ED29" i="68"/>
  <c r="EH15" i="68"/>
  <c r="EH27" i="68"/>
  <c r="EH31" i="68"/>
  <c r="BO42" i="68"/>
  <c r="BR42" i="68"/>
  <c r="BU42" i="68"/>
  <c r="EM36" i="68"/>
  <c r="EI3" i="68"/>
  <c r="EI4" i="68" s="1"/>
  <c r="EH16" i="68"/>
  <c r="EH36" i="68"/>
  <c r="EH35" i="68"/>
  <c r="EC32" i="68"/>
  <c r="EM12" i="68"/>
  <c r="EN12" i="68" s="1"/>
  <c r="ED12" i="68"/>
  <c r="DK42" i="68"/>
  <c r="EH19" i="68"/>
  <c r="EH28" i="68"/>
  <c r="EM34" i="68"/>
  <c r="DB42" i="68"/>
  <c r="DE42" i="68"/>
  <c r="EN36" i="68"/>
  <c r="CY42" i="68"/>
  <c r="EH12" i="68"/>
  <c r="EM29" i="68"/>
  <c r="D42" i="68"/>
  <c r="EK15" i="68"/>
  <c r="AQ15" i="68"/>
  <c r="ED15" i="68" s="1"/>
  <c r="EB15" i="68"/>
  <c r="EC23" i="68"/>
  <c r="G42" i="68"/>
  <c r="AT42" i="68"/>
  <c r="CD42" i="68"/>
  <c r="DN42" i="68"/>
  <c r="EB33" i="68"/>
  <c r="AN33" i="68"/>
  <c r="EK33" i="68"/>
  <c r="EN14" i="68"/>
  <c r="EB25" i="68"/>
  <c r="EK25" i="68"/>
  <c r="AQ25" i="68"/>
  <c r="EM25" i="68" s="1"/>
  <c r="AW42" i="68"/>
  <c r="DQ42" i="68"/>
  <c r="EM27" i="68"/>
  <c r="EN27" i="68" s="1"/>
  <c r="EN34" i="68"/>
  <c r="M42" i="68"/>
  <c r="EE12" i="68"/>
  <c r="EM28" i="68"/>
  <c r="EM32" i="68"/>
  <c r="EN32" i="68" s="1"/>
  <c r="AK30" i="68"/>
  <c r="EM30" i="68" s="1"/>
  <c r="EK30" i="68"/>
  <c r="EB30" i="68"/>
  <c r="DH42" i="68"/>
  <c r="EM14" i="68"/>
  <c r="BX42" i="68"/>
  <c r="EN29" i="68"/>
  <c r="CG42" i="68"/>
  <c r="CA42" i="68"/>
  <c r="ED24" i="68"/>
  <c r="EM31" i="68"/>
  <c r="EN31" i="68" s="1"/>
  <c r="EC38" i="68"/>
  <c r="AN37" i="68"/>
  <c r="ED37" i="68" s="1"/>
  <c r="EE37" i="68" s="1"/>
  <c r="S42" i="68"/>
  <c r="BC42" i="68"/>
  <c r="EB22" i="68"/>
  <c r="EC31" i="68"/>
  <c r="AQ33" i="68"/>
  <c r="EM33" i="68" s="1"/>
  <c r="EC35" i="68"/>
  <c r="EE2" i="68"/>
  <c r="EQ2" i="68" s="1"/>
  <c r="G4" i="68" s="1"/>
  <c r="Y42" i="68"/>
  <c r="BF42" i="68"/>
  <c r="CP42" i="68"/>
  <c r="EB13" i="68"/>
  <c r="EH13" i="68"/>
  <c r="EK17" i="68"/>
  <c r="AN17" i="68"/>
  <c r="EM17" i="68" s="1"/>
  <c r="AN22" i="68"/>
  <c r="EM22" i="68" s="1"/>
  <c r="AK23" i="68"/>
  <c r="ED23" i="68" s="1"/>
  <c r="EE23" i="68" s="1"/>
  <c r="EK26" i="68"/>
  <c r="AQ26" i="68"/>
  <c r="EM26" i="68" s="1"/>
  <c r="EH32" i="68"/>
  <c r="BI42" i="68"/>
  <c r="CS42" i="68"/>
  <c r="AN13" i="68"/>
  <c r="EH25" i="68"/>
  <c r="EB27" i="68"/>
  <c r="ED34" i="68"/>
  <c r="EE34" i="68" s="1"/>
  <c r="EC36" i="68"/>
  <c r="EM37" i="68"/>
  <c r="AQ38" i="68"/>
  <c r="EM38" i="68" s="1"/>
  <c r="EN38" i="68" s="1"/>
  <c r="P42" i="68"/>
  <c r="AZ42" i="68"/>
  <c r="DT42" i="68"/>
  <c r="EK37" i="68"/>
  <c r="EC37" i="68" s="1"/>
  <c r="AQ37" i="68"/>
  <c r="V42" i="68"/>
  <c r="CM42" i="68"/>
  <c r="DW42" i="68"/>
  <c r="CV42" i="68"/>
  <c r="AQ13" i="68"/>
  <c r="EM13" i="68" s="1"/>
  <c r="EN13" i="68" s="1"/>
  <c r="EK39" i="68"/>
  <c r="EK40" i="68"/>
  <c r="EK41" i="68"/>
  <c r="EC41" i="68" s="1"/>
  <c r="AK41" i="68"/>
  <c r="ED41" i="68" s="1"/>
  <c r="EE41" i="68" s="1"/>
  <c r="EB11" i="68"/>
  <c r="ED14" i="68"/>
  <c r="EC21" i="68"/>
  <c r="EB24" i="68"/>
  <c r="EK28" i="68"/>
  <c r="AN28" i="68"/>
  <c r="ED28" i="68" s="1"/>
  <c r="EE28" i="68" s="1"/>
  <c r="AN40" i="68"/>
  <c r="ED40" i="68" s="1"/>
  <c r="EE40" i="68" s="1"/>
  <c r="AN11" i="68"/>
  <c r="EM11" i="68" s="1"/>
  <c r="EC12" i="68"/>
  <c r="EK19" i="68"/>
  <c r="EC19" i="68" s="1"/>
  <c r="AN24" i="68"/>
  <c r="EB26" i="68"/>
  <c r="AQ31" i="68"/>
  <c r="ED31" i="68" s="1"/>
  <c r="EE31" i="68" s="1"/>
  <c r="EK35" i="68"/>
  <c r="AQ35" i="68"/>
  <c r="ED35" i="68" s="1"/>
  <c r="EE35" i="68" s="1"/>
  <c r="EK22" i="68"/>
  <c r="EI5" i="68"/>
  <c r="ED27" i="68"/>
  <c r="EH11" i="68"/>
  <c r="AN18" i="68"/>
  <c r="EM18" i="68" s="1"/>
  <c r="EN18" i="68" s="1"/>
  <c r="AB42" i="68"/>
  <c r="EH17" i="68"/>
  <c r="EK20" i="68"/>
  <c r="EN20" i="68" s="1"/>
  <c r="EK24" i="68"/>
  <c r="EH34" i="68"/>
  <c r="EC16" i="68"/>
  <c r="EM24" i="68"/>
  <c r="EE14" i="68"/>
  <c r="AN16" i="68"/>
  <c r="ED16" i="68" s="1"/>
  <c r="EE16" i="68" s="1"/>
  <c r="BL42" i="68"/>
  <c r="EC18" i="68"/>
  <c r="EB17" i="68"/>
  <c r="EC20" i="68"/>
  <c r="EH23" i="68"/>
  <c r="EB29" i="68"/>
  <c r="ED32" i="68"/>
  <c r="EE32" i="68" s="1"/>
  <c r="ED36" i="68"/>
  <c r="EE36" i="68" s="1"/>
  <c r="AN19" i="68"/>
  <c r="ED19" i="68" s="1"/>
  <c r="EE19" i="68" s="1"/>
  <c r="AN21" i="68"/>
  <c r="EM21" i="68" s="1"/>
  <c r="EN21" i="68" s="1"/>
  <c r="AQ39" i="68"/>
  <c r="ED39" i="68" s="1"/>
  <c r="EE39" i="68" s="1"/>
  <c r="EH42" i="68" l="1"/>
  <c r="EM23" i="68"/>
  <c r="EN23" i="68" s="1"/>
  <c r="ED22" i="68"/>
  <c r="EN22" i="68"/>
  <c r="ED30" i="68"/>
  <c r="AK42" i="68"/>
  <c r="EM39" i="68"/>
  <c r="EN39" i="68" s="1"/>
  <c r="ED18" i="68"/>
  <c r="EE18" i="68" s="1"/>
  <c r="ED13" i="68"/>
  <c r="EE13" i="68" s="1"/>
  <c r="ED26" i="68"/>
  <c r="EM15" i="68"/>
  <c r="EN15" i="68" s="1"/>
  <c r="EN11" i="68"/>
  <c r="EC40" i="68"/>
  <c r="AQ42" i="68"/>
  <c r="EM19" i="68"/>
  <c r="ED17" i="68"/>
  <c r="EE17" i="68" s="1"/>
  <c r="EC22" i="68"/>
  <c r="EE22" i="68"/>
  <c r="EE15" i="68"/>
  <c r="EC15" i="68"/>
  <c r="EC29" i="68"/>
  <c r="EE29" i="68"/>
  <c r="EN28" i="68"/>
  <c r="ED38" i="68"/>
  <c r="EE38" i="68" s="1"/>
  <c r="EE24" i="68"/>
  <c r="EC24" i="68"/>
  <c r="ED33" i="68"/>
  <c r="EM16" i="68"/>
  <c r="EN16" i="68" s="1"/>
  <c r="ED21" i="68"/>
  <c r="EE21" i="68" s="1"/>
  <c r="EE30" i="68"/>
  <c r="EC30" i="68"/>
  <c r="EC39" i="68"/>
  <c r="EC17" i="68"/>
  <c r="EN24" i="68"/>
  <c r="EC26" i="68"/>
  <c r="EE26" i="68"/>
  <c r="EC28" i="68"/>
  <c r="EN30" i="68"/>
  <c r="ED11" i="68"/>
  <c r="EE11" i="68" s="1"/>
  <c r="EN3" i="68"/>
  <c r="EN19" i="68"/>
  <c r="EC11" i="68"/>
  <c r="EE5" i="68"/>
  <c r="G7" i="68" s="1"/>
  <c r="EE3" i="68"/>
  <c r="EN26" i="68"/>
  <c r="EM35" i="68"/>
  <c r="EN35" i="68" s="1"/>
  <c r="EM40" i="68"/>
  <c r="EN40" i="68" s="1"/>
  <c r="EN25" i="68"/>
  <c r="EM41" i="68"/>
  <c r="EN5" i="68"/>
  <c r="AN42" i="68"/>
  <c r="EN17" i="68"/>
  <c r="EN33" i="68"/>
  <c r="EC13" i="68"/>
  <c r="EE27" i="68"/>
  <c r="EC27" i="68"/>
  <c r="EC25" i="68"/>
  <c r="EN2" i="68"/>
  <c r="EP2" i="68" s="1"/>
  <c r="EN41" i="68"/>
  <c r="EN37" i="68"/>
  <c r="ED25" i="68"/>
  <c r="EE25" i="68" s="1"/>
  <c r="EE33" i="68"/>
  <c r="EC33" i="68"/>
  <c r="EN4" i="68" l="1"/>
  <c r="ED42" i="68"/>
  <c r="G5" i="68"/>
  <c r="EE4" i="68"/>
  <c r="G6" i="68" s="1"/>
  <c r="EM42" i="68"/>
  <c r="AH41" i="69" l="1"/>
  <c r="AE41" i="69"/>
  <c r="EL40" i="69"/>
  <c r="EG40" i="69"/>
  <c r="EI40" i="69" s="1"/>
  <c r="EB40" i="69"/>
  <c r="EE2" i="69" s="1"/>
  <c r="EQ2" i="69" s="1"/>
  <c r="G4" i="69" s="1"/>
  <c r="DW40" i="69"/>
  <c r="DT40" i="69"/>
  <c r="DQ40" i="69"/>
  <c r="DN40" i="69"/>
  <c r="DK40" i="69"/>
  <c r="DH40" i="69"/>
  <c r="DE40" i="69"/>
  <c r="DB40" i="69"/>
  <c r="CY40" i="69"/>
  <c r="CV40" i="69"/>
  <c r="CS40" i="69"/>
  <c r="CP40" i="69"/>
  <c r="CM40" i="69"/>
  <c r="CJ40" i="69"/>
  <c r="CG40" i="69"/>
  <c r="CD40" i="69"/>
  <c r="CA40" i="69"/>
  <c r="BX40" i="69"/>
  <c r="BU40" i="69"/>
  <c r="BR40" i="69"/>
  <c r="BO40" i="69"/>
  <c r="BL40" i="69"/>
  <c r="BI40" i="69"/>
  <c r="BF40" i="69"/>
  <c r="BC40" i="69"/>
  <c r="AZ40" i="69"/>
  <c r="AW40" i="69"/>
  <c r="AT40" i="69"/>
  <c r="AQ40" i="69"/>
  <c r="AN40" i="69"/>
  <c r="AI40" i="69"/>
  <c r="EK40" i="69" s="1"/>
  <c r="AB40" i="69"/>
  <c r="Y40" i="69"/>
  <c r="V40" i="69"/>
  <c r="S40" i="69"/>
  <c r="EH40" i="69" s="1"/>
  <c r="P40" i="69"/>
  <c r="M40" i="69"/>
  <c r="J40" i="69"/>
  <c r="G40" i="69"/>
  <c r="D40" i="69"/>
  <c r="EL39" i="69"/>
  <c r="EG39" i="69"/>
  <c r="EI39" i="69" s="1"/>
  <c r="DW39" i="69"/>
  <c r="DT39" i="69"/>
  <c r="DQ39" i="69"/>
  <c r="DN39" i="69"/>
  <c r="DK39" i="69"/>
  <c r="DH39" i="69"/>
  <c r="DE39" i="69"/>
  <c r="DB39" i="69"/>
  <c r="CY39" i="69"/>
  <c r="CV39" i="69"/>
  <c r="CS39" i="69"/>
  <c r="CP39" i="69"/>
  <c r="CM39" i="69"/>
  <c r="CJ39" i="69"/>
  <c r="CG39" i="69"/>
  <c r="CD39" i="69"/>
  <c r="CA39" i="69"/>
  <c r="BX39" i="69"/>
  <c r="BU39" i="69"/>
  <c r="BR39" i="69"/>
  <c r="BO39" i="69"/>
  <c r="BL39" i="69"/>
  <c r="BI39" i="69"/>
  <c r="BF39" i="69"/>
  <c r="BC39" i="69"/>
  <c r="AZ39" i="69"/>
  <c r="AW39" i="69"/>
  <c r="AT39" i="69"/>
  <c r="AQ39" i="69"/>
  <c r="AL39" i="69"/>
  <c r="EB39" i="69" s="1"/>
  <c r="AK39" i="69"/>
  <c r="AB39" i="69"/>
  <c r="Y39" i="69"/>
  <c r="V39" i="69"/>
  <c r="S39" i="69"/>
  <c r="P39" i="69"/>
  <c r="M39" i="69"/>
  <c r="J39" i="69"/>
  <c r="G39" i="69"/>
  <c r="D39" i="69"/>
  <c r="EL38" i="69"/>
  <c r="EK38" i="69"/>
  <c r="EG38" i="69"/>
  <c r="EI38" i="69" s="1"/>
  <c r="EB38" i="69"/>
  <c r="DW38" i="69"/>
  <c r="DT38" i="69"/>
  <c r="DQ38" i="69"/>
  <c r="DN38" i="69"/>
  <c r="DK38" i="69"/>
  <c r="DH38" i="69"/>
  <c r="DE38" i="69"/>
  <c r="DB38" i="69"/>
  <c r="CY38" i="69"/>
  <c r="CV38" i="69"/>
  <c r="CS38" i="69"/>
  <c r="CP38" i="69"/>
  <c r="CM38" i="69"/>
  <c r="CJ38" i="69"/>
  <c r="CG38" i="69"/>
  <c r="CD38" i="69"/>
  <c r="CA38" i="69"/>
  <c r="BX38" i="69"/>
  <c r="BU38" i="69"/>
  <c r="BR38" i="69"/>
  <c r="BO38" i="69"/>
  <c r="BL38" i="69"/>
  <c r="BI38" i="69"/>
  <c r="BF38" i="69"/>
  <c r="BC38" i="69"/>
  <c r="AZ38" i="69"/>
  <c r="AW38" i="69"/>
  <c r="AT38" i="69"/>
  <c r="AQ38" i="69"/>
  <c r="AN38" i="69"/>
  <c r="AL38" i="69"/>
  <c r="AK38" i="69"/>
  <c r="AI38" i="69"/>
  <c r="AB38" i="69"/>
  <c r="Y38" i="69"/>
  <c r="V38" i="69"/>
  <c r="S38" i="69"/>
  <c r="P38" i="69"/>
  <c r="M38" i="69"/>
  <c r="J38" i="69"/>
  <c r="G38" i="69"/>
  <c r="D38" i="69"/>
  <c r="EL37" i="69"/>
  <c r="EG37" i="69"/>
  <c r="EI37" i="69" s="1"/>
  <c r="EB37" i="69"/>
  <c r="DW37" i="69"/>
  <c r="DT37" i="69"/>
  <c r="DQ37" i="69"/>
  <c r="DN37" i="69"/>
  <c r="DK37" i="69"/>
  <c r="DH37" i="69"/>
  <c r="DE37" i="69"/>
  <c r="DB37" i="69"/>
  <c r="CY37" i="69"/>
  <c r="CV37" i="69"/>
  <c r="CS37" i="69"/>
  <c r="CP37" i="69"/>
  <c r="CM37" i="69"/>
  <c r="CJ37" i="69"/>
  <c r="CG37" i="69"/>
  <c r="CD37" i="69"/>
  <c r="CA37" i="69"/>
  <c r="BX37" i="69"/>
  <c r="BU37" i="69"/>
  <c r="BR37" i="69"/>
  <c r="BO37" i="69"/>
  <c r="BL37" i="69"/>
  <c r="BI37" i="69"/>
  <c r="BF37" i="69"/>
  <c r="BC37" i="69"/>
  <c r="AZ37" i="69"/>
  <c r="AW37" i="69"/>
  <c r="AT37" i="69"/>
  <c r="AQ37" i="69"/>
  <c r="AN37" i="69"/>
  <c r="AL37" i="69"/>
  <c r="EK37" i="69" s="1"/>
  <c r="AI37" i="69"/>
  <c r="AK37" i="69" s="1"/>
  <c r="AB37" i="69"/>
  <c r="Y37" i="69"/>
  <c r="V37" i="69"/>
  <c r="S37" i="69"/>
  <c r="EH37" i="69" s="1"/>
  <c r="P37" i="69"/>
  <c r="M37" i="69"/>
  <c r="J37" i="69"/>
  <c r="G37" i="69"/>
  <c r="D37" i="69"/>
  <c r="EL36" i="69"/>
  <c r="EK36" i="69"/>
  <c r="EG36" i="69"/>
  <c r="EI36" i="69" s="1"/>
  <c r="EB36" i="69"/>
  <c r="DW36" i="69"/>
  <c r="DT36" i="69"/>
  <c r="DQ36" i="69"/>
  <c r="DN36" i="69"/>
  <c r="DK36" i="69"/>
  <c r="DH36" i="69"/>
  <c r="DE36" i="69"/>
  <c r="DB36" i="69"/>
  <c r="CY36" i="69"/>
  <c r="CV36" i="69"/>
  <c r="CS36" i="69"/>
  <c r="CP36" i="69"/>
  <c r="CM36" i="69"/>
  <c r="CJ36" i="69"/>
  <c r="CG36" i="69"/>
  <c r="CD36" i="69"/>
  <c r="CA36" i="69"/>
  <c r="BX36" i="69"/>
  <c r="BU36" i="69"/>
  <c r="BR36" i="69"/>
  <c r="BO36" i="69"/>
  <c r="BL36" i="69"/>
  <c r="BI36" i="69"/>
  <c r="BF36" i="69"/>
  <c r="BC36" i="69"/>
  <c r="AZ36" i="69"/>
  <c r="AW36" i="69"/>
  <c r="AT36" i="69"/>
  <c r="AQ36" i="69"/>
  <c r="AN36" i="69"/>
  <c r="AL36" i="69"/>
  <c r="AK36" i="69"/>
  <c r="AI36" i="69"/>
  <c r="AB36" i="69"/>
  <c r="Y36" i="69"/>
  <c r="V36" i="69"/>
  <c r="S36" i="69"/>
  <c r="P36" i="69"/>
  <c r="M36" i="69"/>
  <c r="J36" i="69"/>
  <c r="G36" i="69"/>
  <c r="D36" i="69"/>
  <c r="EL35" i="69"/>
  <c r="EG35" i="69"/>
  <c r="EI35" i="69" s="1"/>
  <c r="EB35" i="69"/>
  <c r="DW35" i="69"/>
  <c r="DT35" i="69"/>
  <c r="DQ35" i="69"/>
  <c r="DN35" i="69"/>
  <c r="DK35" i="69"/>
  <c r="DH35" i="69"/>
  <c r="DE35" i="69"/>
  <c r="DB35" i="69"/>
  <c r="CY35" i="69"/>
  <c r="CV35" i="69"/>
  <c r="CS35" i="69"/>
  <c r="CP35" i="69"/>
  <c r="CM35" i="69"/>
  <c r="CJ35" i="69"/>
  <c r="CG35" i="69"/>
  <c r="CD35" i="69"/>
  <c r="CA35" i="69"/>
  <c r="BX35" i="69"/>
  <c r="BU35" i="69"/>
  <c r="BR35" i="69"/>
  <c r="BO35" i="69"/>
  <c r="BL35" i="69"/>
  <c r="BI35" i="69"/>
  <c r="BF35" i="69"/>
  <c r="BC35" i="69"/>
  <c r="AZ35" i="69"/>
  <c r="AW35" i="69"/>
  <c r="AT35" i="69"/>
  <c r="AQ35" i="69"/>
  <c r="AN35" i="69"/>
  <c r="AL35" i="69"/>
  <c r="EK35" i="69" s="1"/>
  <c r="AI35" i="69"/>
  <c r="AK35" i="69" s="1"/>
  <c r="AB35" i="69"/>
  <c r="Y35" i="69"/>
  <c r="V35" i="69"/>
  <c r="S35" i="69"/>
  <c r="P35" i="69"/>
  <c r="M35" i="69"/>
  <c r="J35" i="69"/>
  <c r="G35" i="69"/>
  <c r="D35" i="69"/>
  <c r="EL34" i="69"/>
  <c r="EK34" i="69"/>
  <c r="EG34" i="69"/>
  <c r="EI34" i="69" s="1"/>
  <c r="EB34" i="69"/>
  <c r="DW34" i="69"/>
  <c r="DT34" i="69"/>
  <c r="DQ34" i="69"/>
  <c r="DN34" i="69"/>
  <c r="DK34" i="69"/>
  <c r="DH34" i="69"/>
  <c r="DE34" i="69"/>
  <c r="DB34" i="69"/>
  <c r="CY34" i="69"/>
  <c r="CV34" i="69"/>
  <c r="CS34" i="69"/>
  <c r="CP34" i="69"/>
  <c r="CM34" i="69"/>
  <c r="CJ34" i="69"/>
  <c r="CG34" i="69"/>
  <c r="CD34" i="69"/>
  <c r="CA34" i="69"/>
  <c r="BX34" i="69"/>
  <c r="BU34" i="69"/>
  <c r="BR34" i="69"/>
  <c r="BO34" i="69"/>
  <c r="BL34" i="69"/>
  <c r="BI34" i="69"/>
  <c r="BF34" i="69"/>
  <c r="BC34" i="69"/>
  <c r="AZ34" i="69"/>
  <c r="AW34" i="69"/>
  <c r="AT34" i="69"/>
  <c r="AQ34" i="69"/>
  <c r="AN34" i="69"/>
  <c r="AL34" i="69"/>
  <c r="AK34" i="69"/>
  <c r="AI34" i="69"/>
  <c r="AB34" i="69"/>
  <c r="Y34" i="69"/>
  <c r="V34" i="69"/>
  <c r="EH34" i="69" s="1"/>
  <c r="S34" i="69"/>
  <c r="P34" i="69"/>
  <c r="M34" i="69"/>
  <c r="J34" i="69"/>
  <c r="G34" i="69"/>
  <c r="D34" i="69"/>
  <c r="EL33" i="69"/>
  <c r="EG33" i="69"/>
  <c r="EI33" i="69" s="1"/>
  <c r="EB33" i="69"/>
  <c r="EC33" i="69" s="1"/>
  <c r="DW33" i="69"/>
  <c r="DT33" i="69"/>
  <c r="DQ33" i="69"/>
  <c r="DN33" i="69"/>
  <c r="DK33" i="69"/>
  <c r="DH33" i="69"/>
  <c r="DE33" i="69"/>
  <c r="DB33" i="69"/>
  <c r="CY33" i="69"/>
  <c r="CV33" i="69"/>
  <c r="CS33" i="69"/>
  <c r="CP33" i="69"/>
  <c r="CM33" i="69"/>
  <c r="CJ33" i="69"/>
  <c r="CG33" i="69"/>
  <c r="CD33" i="69"/>
  <c r="CA33" i="69"/>
  <c r="BX33" i="69"/>
  <c r="BU33" i="69"/>
  <c r="BR33" i="69"/>
  <c r="BO33" i="69"/>
  <c r="BL33" i="69"/>
  <c r="BI33" i="69"/>
  <c r="BF33" i="69"/>
  <c r="BC33" i="69"/>
  <c r="AZ33" i="69"/>
  <c r="AW33" i="69"/>
  <c r="AT33" i="69"/>
  <c r="AQ33" i="69"/>
  <c r="AN33" i="69"/>
  <c r="AL33" i="69"/>
  <c r="EK33" i="69" s="1"/>
  <c r="AI33" i="69"/>
  <c r="AK33" i="69" s="1"/>
  <c r="AB33" i="69"/>
  <c r="Y33" i="69"/>
  <c r="V33" i="69"/>
  <c r="S33" i="69"/>
  <c r="EH33" i="69" s="1"/>
  <c r="P33" i="69"/>
  <c r="M33" i="69"/>
  <c r="J33" i="69"/>
  <c r="G33" i="69"/>
  <c r="D33" i="69"/>
  <c r="EL32" i="69"/>
  <c r="EK32" i="69"/>
  <c r="EG32" i="69"/>
  <c r="EI32" i="69" s="1"/>
  <c r="EB32" i="69"/>
  <c r="DW32" i="69"/>
  <c r="DT32" i="69"/>
  <c r="DQ32" i="69"/>
  <c r="DN32" i="69"/>
  <c r="DK32" i="69"/>
  <c r="DH32" i="69"/>
  <c r="DE32" i="69"/>
  <c r="DB32" i="69"/>
  <c r="CY32" i="69"/>
  <c r="CV32" i="69"/>
  <c r="CS32" i="69"/>
  <c r="CP32" i="69"/>
  <c r="CM32" i="69"/>
  <c r="CJ32" i="69"/>
  <c r="CG32" i="69"/>
  <c r="CD32" i="69"/>
  <c r="CA32" i="69"/>
  <c r="BX32" i="69"/>
  <c r="BU32" i="69"/>
  <c r="BR32" i="69"/>
  <c r="BO32" i="69"/>
  <c r="BL32" i="69"/>
  <c r="BI32" i="69"/>
  <c r="BF32" i="69"/>
  <c r="BC32" i="69"/>
  <c r="AZ32" i="69"/>
  <c r="AW32" i="69"/>
  <c r="AT32" i="69"/>
  <c r="AQ32" i="69"/>
  <c r="AN32" i="69"/>
  <c r="AI32" i="69"/>
  <c r="AK32" i="69" s="1"/>
  <c r="AB32" i="69"/>
  <c r="Y32" i="69"/>
  <c r="V32" i="69"/>
  <c r="S32" i="69"/>
  <c r="EH32" i="69" s="1"/>
  <c r="P32" i="69"/>
  <c r="M32" i="69"/>
  <c r="J32" i="69"/>
  <c r="G32" i="69"/>
  <c r="D32" i="69"/>
  <c r="EL31" i="69"/>
  <c r="EK31" i="69"/>
  <c r="EG31" i="69"/>
  <c r="EI31" i="69" s="1"/>
  <c r="EB31" i="69"/>
  <c r="DW31" i="69"/>
  <c r="DT31" i="69"/>
  <c r="DQ31" i="69"/>
  <c r="DN31" i="69"/>
  <c r="DK31" i="69"/>
  <c r="DH31" i="69"/>
  <c r="DE31" i="69"/>
  <c r="DB31" i="69"/>
  <c r="CY31" i="69"/>
  <c r="CV31" i="69"/>
  <c r="CS31" i="69"/>
  <c r="CP31" i="69"/>
  <c r="CM31" i="69"/>
  <c r="CJ31" i="69"/>
  <c r="CG31" i="69"/>
  <c r="CD31" i="69"/>
  <c r="CA31" i="69"/>
  <c r="BX31" i="69"/>
  <c r="BU31" i="69"/>
  <c r="BR31" i="69"/>
  <c r="BO31" i="69"/>
  <c r="BL31" i="69"/>
  <c r="BI31" i="69"/>
  <c r="BF31" i="69"/>
  <c r="BC31" i="69"/>
  <c r="AZ31" i="69"/>
  <c r="AW31" i="69"/>
  <c r="AT31" i="69"/>
  <c r="AQ31" i="69"/>
  <c r="AN31" i="69"/>
  <c r="AK31" i="69"/>
  <c r="AI31" i="69"/>
  <c r="AB31" i="69"/>
  <c r="Y31" i="69"/>
  <c r="V31" i="69"/>
  <c r="S31" i="69"/>
  <c r="P31" i="69"/>
  <c r="M31" i="69"/>
  <c r="J31" i="69"/>
  <c r="G31" i="69"/>
  <c r="D31" i="69"/>
  <c r="EL30" i="69"/>
  <c r="EG30" i="69"/>
  <c r="EI30" i="69" s="1"/>
  <c r="DW30" i="69"/>
  <c r="DT30" i="69"/>
  <c r="DQ30" i="69"/>
  <c r="DN30" i="69"/>
  <c r="DK30" i="69"/>
  <c r="DH30" i="69"/>
  <c r="DE30" i="69"/>
  <c r="DB30" i="69"/>
  <c r="CY30" i="69"/>
  <c r="CV30" i="69"/>
  <c r="CS30" i="69"/>
  <c r="CP30" i="69"/>
  <c r="CM30" i="69"/>
  <c r="CJ30" i="69"/>
  <c r="CG30" i="69"/>
  <c r="CD30" i="69"/>
  <c r="CA30" i="69"/>
  <c r="BX30" i="69"/>
  <c r="BU30" i="69"/>
  <c r="BR30" i="69"/>
  <c r="BO30" i="69"/>
  <c r="BL30" i="69"/>
  <c r="BI30" i="69"/>
  <c r="BF30" i="69"/>
  <c r="BC30" i="69"/>
  <c r="AZ30" i="69"/>
  <c r="AW30" i="69"/>
  <c r="AT30" i="69"/>
  <c r="AQ30" i="69"/>
  <c r="AN30" i="69"/>
  <c r="AI30" i="69"/>
  <c r="EK30" i="69" s="1"/>
  <c r="AB30" i="69"/>
  <c r="Y30" i="69"/>
  <c r="V30" i="69"/>
  <c r="S30" i="69"/>
  <c r="EH30" i="69" s="1"/>
  <c r="P30" i="69"/>
  <c r="M30" i="69"/>
  <c r="J30" i="69"/>
  <c r="G30" i="69"/>
  <c r="D30" i="69"/>
  <c r="EL29" i="69"/>
  <c r="EK29" i="69"/>
  <c r="EG29" i="69"/>
  <c r="EI29" i="69" s="1"/>
  <c r="EB29" i="69"/>
  <c r="DW29" i="69"/>
  <c r="DT29" i="69"/>
  <c r="DQ29" i="69"/>
  <c r="DN29" i="69"/>
  <c r="DK29" i="69"/>
  <c r="DH29" i="69"/>
  <c r="DE29" i="69"/>
  <c r="DB29" i="69"/>
  <c r="CY29" i="69"/>
  <c r="CV29" i="69"/>
  <c r="CS29" i="69"/>
  <c r="CP29" i="69"/>
  <c r="CM29" i="69"/>
  <c r="CJ29" i="69"/>
  <c r="CG29" i="69"/>
  <c r="CD29" i="69"/>
  <c r="CA29" i="69"/>
  <c r="BX29" i="69"/>
  <c r="BU29" i="69"/>
  <c r="BR29" i="69"/>
  <c r="BO29" i="69"/>
  <c r="BL29" i="69"/>
  <c r="BI29" i="69"/>
  <c r="BF29" i="69"/>
  <c r="BC29" i="69"/>
  <c r="AZ29" i="69"/>
  <c r="AW29" i="69"/>
  <c r="AT29" i="69"/>
  <c r="AQ29" i="69"/>
  <c r="AN29" i="69"/>
  <c r="AK29" i="69"/>
  <c r="AI29" i="69"/>
  <c r="AB29" i="69"/>
  <c r="Y29" i="69"/>
  <c r="V29" i="69"/>
  <c r="S29" i="69"/>
  <c r="EH29" i="69" s="1"/>
  <c r="P29" i="69"/>
  <c r="M29" i="69"/>
  <c r="J29" i="69"/>
  <c r="G29" i="69"/>
  <c r="D29" i="69"/>
  <c r="EL28" i="69"/>
  <c r="EG28" i="69"/>
  <c r="EI28" i="69" s="1"/>
  <c r="DW28" i="69"/>
  <c r="DT28" i="69"/>
  <c r="DQ28" i="69"/>
  <c r="DN28" i="69"/>
  <c r="DK28" i="69"/>
  <c r="DH28" i="69"/>
  <c r="DE28" i="69"/>
  <c r="DB28" i="69"/>
  <c r="CY28" i="69"/>
  <c r="CV28" i="69"/>
  <c r="CS28" i="69"/>
  <c r="CP28" i="69"/>
  <c r="CM28" i="69"/>
  <c r="CJ28" i="69"/>
  <c r="CG28" i="69"/>
  <c r="CD28" i="69"/>
  <c r="CA28" i="69"/>
  <c r="BX28" i="69"/>
  <c r="BU28" i="69"/>
  <c r="BR28" i="69"/>
  <c r="BO28" i="69"/>
  <c r="BL28" i="69"/>
  <c r="BI28" i="69"/>
  <c r="BF28" i="69"/>
  <c r="BC28" i="69"/>
  <c r="AZ28" i="69"/>
  <c r="AW28" i="69"/>
  <c r="AT28" i="69"/>
  <c r="AQ28" i="69"/>
  <c r="AN28" i="69"/>
  <c r="AI28" i="69"/>
  <c r="EB28" i="69" s="1"/>
  <c r="AB28" i="69"/>
  <c r="Y28" i="69"/>
  <c r="EH28" i="69" s="1"/>
  <c r="V28" i="69"/>
  <c r="S28" i="69"/>
  <c r="P28" i="69"/>
  <c r="M28" i="69"/>
  <c r="J28" i="69"/>
  <c r="G28" i="69"/>
  <c r="D28" i="69"/>
  <c r="EL27" i="69"/>
  <c r="EK27" i="69"/>
  <c r="EG27" i="69"/>
  <c r="EI27" i="69" s="1"/>
  <c r="DW27" i="69"/>
  <c r="DT27" i="69"/>
  <c r="DQ27" i="69"/>
  <c r="DN27" i="69"/>
  <c r="DK27" i="69"/>
  <c r="DH27" i="69"/>
  <c r="DE27" i="69"/>
  <c r="DB27" i="69"/>
  <c r="CY27" i="69"/>
  <c r="CV27" i="69"/>
  <c r="CS27" i="69"/>
  <c r="CP27" i="69"/>
  <c r="CM27" i="69"/>
  <c r="CJ27" i="69"/>
  <c r="CG27" i="69"/>
  <c r="CD27" i="69"/>
  <c r="CA27" i="69"/>
  <c r="BX27" i="69"/>
  <c r="BU27" i="69"/>
  <c r="BR27" i="69"/>
  <c r="BO27" i="69"/>
  <c r="BL27" i="69"/>
  <c r="BI27" i="69"/>
  <c r="BF27" i="69"/>
  <c r="BC27" i="69"/>
  <c r="AZ27" i="69"/>
  <c r="AW27" i="69"/>
  <c r="AT27" i="69"/>
  <c r="AQ27" i="69"/>
  <c r="AN27" i="69"/>
  <c r="AK27" i="69"/>
  <c r="AI27" i="69"/>
  <c r="EB27" i="69" s="1"/>
  <c r="AB27" i="69"/>
  <c r="Y27" i="69"/>
  <c r="V27" i="69"/>
  <c r="S27" i="69"/>
  <c r="P27" i="69"/>
  <c r="M27" i="69"/>
  <c r="J27" i="69"/>
  <c r="G27" i="69"/>
  <c r="D27" i="69"/>
  <c r="EL26" i="69"/>
  <c r="EG26" i="69"/>
  <c r="EI26" i="69" s="1"/>
  <c r="EB26" i="69"/>
  <c r="DW26" i="69"/>
  <c r="DT26" i="69"/>
  <c r="DQ26" i="69"/>
  <c r="DN26" i="69"/>
  <c r="DK26" i="69"/>
  <c r="DH26" i="69"/>
  <c r="DE26" i="69"/>
  <c r="DB26" i="69"/>
  <c r="CY26" i="69"/>
  <c r="CV26" i="69"/>
  <c r="CS26" i="69"/>
  <c r="CP26" i="69"/>
  <c r="CM26" i="69"/>
  <c r="CJ26" i="69"/>
  <c r="CG26" i="69"/>
  <c r="CD26" i="69"/>
  <c r="CA26" i="69"/>
  <c r="BX26" i="69"/>
  <c r="BU26" i="69"/>
  <c r="BR26" i="69"/>
  <c r="BO26" i="69"/>
  <c r="BL26" i="69"/>
  <c r="BI26" i="69"/>
  <c r="BF26" i="69"/>
  <c r="BC26" i="69"/>
  <c r="AZ26" i="69"/>
  <c r="AW26" i="69"/>
  <c r="AT26" i="69"/>
  <c r="AQ26" i="69"/>
  <c r="AN26" i="69"/>
  <c r="AI26" i="69"/>
  <c r="EK26" i="69" s="1"/>
  <c r="AB26" i="69"/>
  <c r="Y26" i="69"/>
  <c r="V26" i="69"/>
  <c r="S26" i="69"/>
  <c r="P26" i="69"/>
  <c r="M26" i="69"/>
  <c r="J26" i="69"/>
  <c r="G26" i="69"/>
  <c r="D26" i="69"/>
  <c r="EL25" i="69"/>
  <c r="EK25" i="69"/>
  <c r="EG25" i="69"/>
  <c r="EI25" i="69" s="1"/>
  <c r="DW25" i="69"/>
  <c r="DT25" i="69"/>
  <c r="DQ25" i="69"/>
  <c r="DN25" i="69"/>
  <c r="DK25" i="69"/>
  <c r="DH25" i="69"/>
  <c r="DE25" i="69"/>
  <c r="DB25" i="69"/>
  <c r="CY25" i="69"/>
  <c r="CV25" i="69"/>
  <c r="CS25" i="69"/>
  <c r="CP25" i="69"/>
  <c r="CM25" i="69"/>
  <c r="CJ25" i="69"/>
  <c r="CG25" i="69"/>
  <c r="CD25" i="69"/>
  <c r="CA25" i="69"/>
  <c r="BX25" i="69"/>
  <c r="BU25" i="69"/>
  <c r="BR25" i="69"/>
  <c r="BO25" i="69"/>
  <c r="BL25" i="69"/>
  <c r="BI25" i="69"/>
  <c r="BF25" i="69"/>
  <c r="BC25" i="69"/>
  <c r="AZ25" i="69"/>
  <c r="AW25" i="69"/>
  <c r="AT25" i="69"/>
  <c r="AQ25" i="69"/>
  <c r="AN25" i="69"/>
  <c r="AK25" i="69"/>
  <c r="AI25" i="69"/>
  <c r="EB25" i="69" s="1"/>
  <c r="AB25" i="69"/>
  <c r="Y25" i="69"/>
  <c r="V25" i="69"/>
  <c r="S25" i="69"/>
  <c r="EH25" i="69" s="1"/>
  <c r="P25" i="69"/>
  <c r="M25" i="69"/>
  <c r="J25" i="69"/>
  <c r="G25" i="69"/>
  <c r="D25" i="69"/>
  <c r="EL24" i="69"/>
  <c r="EG24" i="69"/>
  <c r="EI24" i="69" s="1"/>
  <c r="EB24" i="69"/>
  <c r="DW24" i="69"/>
  <c r="DT24" i="69"/>
  <c r="DQ24" i="69"/>
  <c r="DN24" i="69"/>
  <c r="DK24" i="69"/>
  <c r="DH24" i="69"/>
  <c r="DE24" i="69"/>
  <c r="DB24" i="69"/>
  <c r="CY24" i="69"/>
  <c r="CV24" i="69"/>
  <c r="CS24" i="69"/>
  <c r="CP24" i="69"/>
  <c r="CM24" i="69"/>
  <c r="CJ24" i="69"/>
  <c r="CG24" i="69"/>
  <c r="CD24" i="69"/>
  <c r="CA24" i="69"/>
  <c r="BX24" i="69"/>
  <c r="BU24" i="69"/>
  <c r="BR24" i="69"/>
  <c r="BO24" i="69"/>
  <c r="BL24" i="69"/>
  <c r="BI24" i="69"/>
  <c r="BF24" i="69"/>
  <c r="BC24" i="69"/>
  <c r="AZ24" i="69"/>
  <c r="AW24" i="69"/>
  <c r="AT24" i="69"/>
  <c r="AQ24" i="69"/>
  <c r="AN24" i="69"/>
  <c r="AL24" i="69"/>
  <c r="AK24" i="69"/>
  <c r="AI24" i="69"/>
  <c r="EK24" i="69" s="1"/>
  <c r="AB24" i="69"/>
  <c r="Y24" i="69"/>
  <c r="V24" i="69"/>
  <c r="S24" i="69"/>
  <c r="P24" i="69"/>
  <c r="M24" i="69"/>
  <c r="J24" i="69"/>
  <c r="G24" i="69"/>
  <c r="D24" i="69"/>
  <c r="EL23" i="69"/>
  <c r="EG23" i="69"/>
  <c r="EI23" i="69" s="1"/>
  <c r="DW23" i="69"/>
  <c r="DT23" i="69"/>
  <c r="DQ23" i="69"/>
  <c r="DN23" i="69"/>
  <c r="DK23" i="69"/>
  <c r="DH23" i="69"/>
  <c r="DE23" i="69"/>
  <c r="DB23" i="69"/>
  <c r="CY23" i="69"/>
  <c r="CV23" i="69"/>
  <c r="CS23" i="69"/>
  <c r="CP23" i="69"/>
  <c r="CM23" i="69"/>
  <c r="CJ23" i="69"/>
  <c r="CG23" i="69"/>
  <c r="CD23" i="69"/>
  <c r="CA23" i="69"/>
  <c r="BX23" i="69"/>
  <c r="BU23" i="69"/>
  <c r="BR23" i="69"/>
  <c r="BO23" i="69"/>
  <c r="BL23" i="69"/>
  <c r="BI23" i="69"/>
  <c r="BF23" i="69"/>
  <c r="BC23" i="69"/>
  <c r="AZ23" i="69"/>
  <c r="AW23" i="69"/>
  <c r="AT23" i="69"/>
  <c r="AQ23" i="69"/>
  <c r="AL23" i="69"/>
  <c r="EK23" i="69" s="1"/>
  <c r="AK23" i="69"/>
  <c r="AI23" i="69"/>
  <c r="AB23" i="69"/>
  <c r="Y23" i="69"/>
  <c r="V23" i="69"/>
  <c r="S23" i="69"/>
  <c r="EH23" i="69" s="1"/>
  <c r="P23" i="69"/>
  <c r="M23" i="69"/>
  <c r="J23" i="69"/>
  <c r="G23" i="69"/>
  <c r="D23" i="69"/>
  <c r="EL22" i="69"/>
  <c r="EG22" i="69"/>
  <c r="EI22" i="69" s="1"/>
  <c r="EB22" i="69"/>
  <c r="EC22" i="69" s="1"/>
  <c r="DW22" i="69"/>
  <c r="DT22" i="69"/>
  <c r="DQ22" i="69"/>
  <c r="DN22" i="69"/>
  <c r="DK22" i="69"/>
  <c r="DH22" i="69"/>
  <c r="DE22" i="69"/>
  <c r="DB22" i="69"/>
  <c r="CY22" i="69"/>
  <c r="CV22" i="69"/>
  <c r="CS22" i="69"/>
  <c r="CP22" i="69"/>
  <c r="CM22" i="69"/>
  <c r="CJ22" i="69"/>
  <c r="CG22" i="69"/>
  <c r="CD22" i="69"/>
  <c r="CA22" i="69"/>
  <c r="BX22" i="69"/>
  <c r="BU22" i="69"/>
  <c r="BR22" i="69"/>
  <c r="BO22" i="69"/>
  <c r="BL22" i="69"/>
  <c r="BI22" i="69"/>
  <c r="BF22" i="69"/>
  <c r="BC22" i="69"/>
  <c r="AZ22" i="69"/>
  <c r="AW22" i="69"/>
  <c r="AT22" i="69"/>
  <c r="AQ22" i="69"/>
  <c r="AN22" i="69"/>
  <c r="AL22" i="69"/>
  <c r="AK22" i="69"/>
  <c r="AI22" i="69"/>
  <c r="EK22" i="69" s="1"/>
  <c r="AB22" i="69"/>
  <c r="Y22" i="69"/>
  <c r="V22" i="69"/>
  <c r="S22" i="69"/>
  <c r="EH22" i="69" s="1"/>
  <c r="P22" i="69"/>
  <c r="M22" i="69"/>
  <c r="J22" i="69"/>
  <c r="G22" i="69"/>
  <c r="D22" i="69"/>
  <c r="EL21" i="69"/>
  <c r="EG21" i="69"/>
  <c r="EI21" i="69" s="1"/>
  <c r="DW21" i="69"/>
  <c r="DT21" i="69"/>
  <c r="DQ21" i="69"/>
  <c r="DN21" i="69"/>
  <c r="DK21" i="69"/>
  <c r="DH21" i="69"/>
  <c r="DE21" i="69"/>
  <c r="DB21" i="69"/>
  <c r="CY21" i="69"/>
  <c r="CV21" i="69"/>
  <c r="CS21" i="69"/>
  <c r="CP21" i="69"/>
  <c r="CM21" i="69"/>
  <c r="CJ21" i="69"/>
  <c r="CG21" i="69"/>
  <c r="CD21" i="69"/>
  <c r="CA21" i="69"/>
  <c r="BX21" i="69"/>
  <c r="BU21" i="69"/>
  <c r="BR21" i="69"/>
  <c r="BO21" i="69"/>
  <c r="BL21" i="69"/>
  <c r="BI21" i="69"/>
  <c r="BF21" i="69"/>
  <c r="BC21" i="69"/>
  <c r="AZ21" i="69"/>
  <c r="AW21" i="69"/>
  <c r="AT21" i="69"/>
  <c r="AQ21" i="69"/>
  <c r="AL21" i="69"/>
  <c r="EB21" i="69" s="1"/>
  <c r="AK21" i="69"/>
  <c r="AI21" i="69"/>
  <c r="AB21" i="69"/>
  <c r="Y21" i="69"/>
  <c r="V21" i="69"/>
  <c r="EH21" i="69" s="1"/>
  <c r="S21" i="69"/>
  <c r="P21" i="69"/>
  <c r="M21" i="69"/>
  <c r="J21" i="69"/>
  <c r="G21" i="69"/>
  <c r="D21" i="69"/>
  <c r="EL20" i="69"/>
  <c r="EK20" i="69"/>
  <c r="EG20" i="69"/>
  <c r="EI20" i="69" s="1"/>
  <c r="EB20" i="69"/>
  <c r="EC20" i="69" s="1"/>
  <c r="DW20" i="69"/>
  <c r="DT20" i="69"/>
  <c r="DQ20" i="69"/>
  <c r="DN20" i="69"/>
  <c r="DK20" i="69"/>
  <c r="DH20" i="69"/>
  <c r="DE20" i="69"/>
  <c r="DB20" i="69"/>
  <c r="CY20" i="69"/>
  <c r="CV20" i="69"/>
  <c r="CS20" i="69"/>
  <c r="CP20" i="69"/>
  <c r="CM20" i="69"/>
  <c r="CJ20" i="69"/>
  <c r="CG20" i="69"/>
  <c r="CD20" i="69"/>
  <c r="CA20" i="69"/>
  <c r="BX20" i="69"/>
  <c r="BU20" i="69"/>
  <c r="BR20" i="69"/>
  <c r="BO20" i="69"/>
  <c r="BL20" i="69"/>
  <c r="BI20" i="69"/>
  <c r="BF20" i="69"/>
  <c r="BC20" i="69"/>
  <c r="AZ20" i="69"/>
  <c r="AW20" i="69"/>
  <c r="AT20" i="69"/>
  <c r="AQ20" i="69"/>
  <c r="AN20" i="69"/>
  <c r="AL20" i="69"/>
  <c r="AK20" i="69"/>
  <c r="AI20" i="69"/>
  <c r="AB20" i="69"/>
  <c r="Y20" i="69"/>
  <c r="V20" i="69"/>
  <c r="S20" i="69"/>
  <c r="EH20" i="69" s="1"/>
  <c r="P20" i="69"/>
  <c r="M20" i="69"/>
  <c r="J20" i="69"/>
  <c r="G20" i="69"/>
  <c r="D20" i="69"/>
  <c r="EL19" i="69"/>
  <c r="EG19" i="69"/>
  <c r="EI19" i="69" s="1"/>
  <c r="DW19" i="69"/>
  <c r="DT19" i="69"/>
  <c r="DQ19" i="69"/>
  <c r="DN19" i="69"/>
  <c r="DK19" i="69"/>
  <c r="DH19" i="69"/>
  <c r="DE19" i="69"/>
  <c r="DB19" i="69"/>
  <c r="CY19" i="69"/>
  <c r="CV19" i="69"/>
  <c r="CS19" i="69"/>
  <c r="CP19" i="69"/>
  <c r="CM19" i="69"/>
  <c r="CJ19" i="69"/>
  <c r="CG19" i="69"/>
  <c r="CD19" i="69"/>
  <c r="CA19" i="69"/>
  <c r="BX19" i="69"/>
  <c r="BU19" i="69"/>
  <c r="BR19" i="69"/>
  <c r="BO19" i="69"/>
  <c r="BL19" i="69"/>
  <c r="BI19" i="69"/>
  <c r="BF19" i="69"/>
  <c r="BC19" i="69"/>
  <c r="AZ19" i="69"/>
  <c r="AW19" i="69"/>
  <c r="AT19" i="69"/>
  <c r="AQ19" i="69"/>
  <c r="AL19" i="69"/>
  <c r="EB19" i="69" s="1"/>
  <c r="AK19" i="69"/>
  <c r="AI19" i="69"/>
  <c r="AB19" i="69"/>
  <c r="Y19" i="69"/>
  <c r="V19" i="69"/>
  <c r="S19" i="69"/>
  <c r="EH19" i="69" s="1"/>
  <c r="P19" i="69"/>
  <c r="M19" i="69"/>
  <c r="J19" i="69"/>
  <c r="G19" i="69"/>
  <c r="D19" i="69"/>
  <c r="EL18" i="69"/>
  <c r="EG18" i="69"/>
  <c r="EI18" i="69" s="1"/>
  <c r="EB18" i="69"/>
  <c r="DW18" i="69"/>
  <c r="DT18" i="69"/>
  <c r="DQ18" i="69"/>
  <c r="DN18" i="69"/>
  <c r="DK18" i="69"/>
  <c r="DH18" i="69"/>
  <c r="DE18" i="69"/>
  <c r="DB18" i="69"/>
  <c r="CY18" i="69"/>
  <c r="CV18" i="69"/>
  <c r="CS18" i="69"/>
  <c r="CP18" i="69"/>
  <c r="CM18" i="69"/>
  <c r="CJ18" i="69"/>
  <c r="CG18" i="69"/>
  <c r="CD18" i="69"/>
  <c r="CA18" i="69"/>
  <c r="BX18" i="69"/>
  <c r="BU18" i="69"/>
  <c r="BR18" i="69"/>
  <c r="BO18" i="69"/>
  <c r="BL18" i="69"/>
  <c r="BI18" i="69"/>
  <c r="BF18" i="69"/>
  <c r="BC18" i="69"/>
  <c r="AZ18" i="69"/>
  <c r="AW18" i="69"/>
  <c r="AT18" i="69"/>
  <c r="AR18" i="69"/>
  <c r="EK18" i="69" s="1"/>
  <c r="AQ18" i="69"/>
  <c r="AL18" i="69"/>
  <c r="AN18" i="69" s="1"/>
  <c r="AI18" i="69"/>
  <c r="AK18" i="69" s="1"/>
  <c r="AB18" i="69"/>
  <c r="Y18" i="69"/>
  <c r="V18" i="69"/>
  <c r="S18" i="69"/>
  <c r="P18" i="69"/>
  <c r="M18" i="69"/>
  <c r="J18" i="69"/>
  <c r="G18" i="69"/>
  <c r="D18" i="69"/>
  <c r="EL17" i="69"/>
  <c r="EI17" i="69"/>
  <c r="EG17" i="69"/>
  <c r="DW17" i="69"/>
  <c r="DT17" i="69"/>
  <c r="DQ17" i="69"/>
  <c r="DN17" i="69"/>
  <c r="DK17" i="69"/>
  <c r="DH17" i="69"/>
  <c r="DE17" i="69"/>
  <c r="DB17" i="69"/>
  <c r="CY17" i="69"/>
  <c r="CV17" i="69"/>
  <c r="CS17" i="69"/>
  <c r="CP17" i="69"/>
  <c r="CM17" i="69"/>
  <c r="CJ17" i="69"/>
  <c r="CG17" i="69"/>
  <c r="CD17" i="69"/>
  <c r="CA17" i="69"/>
  <c r="BX17" i="69"/>
  <c r="BU17" i="69"/>
  <c r="BR17" i="69"/>
  <c r="BO17" i="69"/>
  <c r="BL17" i="69"/>
  <c r="BI17" i="69"/>
  <c r="BF17" i="69"/>
  <c r="BC17" i="69"/>
  <c r="AZ17" i="69"/>
  <c r="AW17" i="69"/>
  <c r="AR17" i="69"/>
  <c r="AT17" i="69" s="1"/>
  <c r="AQ17" i="69"/>
  <c r="AN17" i="69"/>
  <c r="AL17" i="69"/>
  <c r="EB17" i="69" s="1"/>
  <c r="AK17" i="69"/>
  <c r="AI17" i="69"/>
  <c r="AB17" i="69"/>
  <c r="Y17" i="69"/>
  <c r="EH17" i="69" s="1"/>
  <c r="V17" i="69"/>
  <c r="S17" i="69"/>
  <c r="P17" i="69"/>
  <c r="M17" i="69"/>
  <c r="J17" i="69"/>
  <c r="G17" i="69"/>
  <c r="D17" i="69"/>
  <c r="EL16" i="69"/>
  <c r="EG16" i="69"/>
  <c r="EI16" i="69" s="1"/>
  <c r="EB16" i="69"/>
  <c r="DW16" i="69"/>
  <c r="DT16" i="69"/>
  <c r="DQ16" i="69"/>
  <c r="DN16" i="69"/>
  <c r="DK16" i="69"/>
  <c r="DH16" i="69"/>
  <c r="DE16" i="69"/>
  <c r="DB16" i="69"/>
  <c r="CY16" i="69"/>
  <c r="CV16" i="69"/>
  <c r="CS16" i="69"/>
  <c r="CP16" i="69"/>
  <c r="CM16" i="69"/>
  <c r="CJ16" i="69"/>
  <c r="CG16" i="69"/>
  <c r="CD16" i="69"/>
  <c r="CA16" i="69"/>
  <c r="BX16" i="69"/>
  <c r="BU16" i="69"/>
  <c r="BR16" i="69"/>
  <c r="BO16" i="69"/>
  <c r="BL16" i="69"/>
  <c r="BI16" i="69"/>
  <c r="BF16" i="69"/>
  <c r="BC16" i="69"/>
  <c r="AZ16" i="69"/>
  <c r="AW16" i="69"/>
  <c r="AT16" i="69"/>
  <c r="AR16" i="69"/>
  <c r="EK16" i="69" s="1"/>
  <c r="AQ16" i="69"/>
  <c r="AL16" i="69"/>
  <c r="AN16" i="69" s="1"/>
  <c r="AI16" i="69"/>
  <c r="AK16" i="69" s="1"/>
  <c r="AB16" i="69"/>
  <c r="Y16" i="69"/>
  <c r="V16" i="69"/>
  <c r="S16" i="69"/>
  <c r="P16" i="69"/>
  <c r="M16" i="69"/>
  <c r="J16" i="69"/>
  <c r="G16" i="69"/>
  <c r="D16" i="69"/>
  <c r="EL15" i="69"/>
  <c r="EK15" i="69"/>
  <c r="EG15" i="69"/>
  <c r="EI15" i="69" s="1"/>
  <c r="DW15" i="69"/>
  <c r="DT15" i="69"/>
  <c r="DQ15" i="69"/>
  <c r="DN15" i="69"/>
  <c r="DK15" i="69"/>
  <c r="DH15" i="69"/>
  <c r="DE15" i="69"/>
  <c r="DB15" i="69"/>
  <c r="CY15" i="69"/>
  <c r="CV15" i="69"/>
  <c r="CS15" i="69"/>
  <c r="CP15" i="69"/>
  <c r="CM15" i="69"/>
  <c r="CJ15" i="69"/>
  <c r="CG15" i="69"/>
  <c r="CD15" i="69"/>
  <c r="CA15" i="69"/>
  <c r="BX15" i="69"/>
  <c r="BU15" i="69"/>
  <c r="BR15" i="69"/>
  <c r="BO15" i="69"/>
  <c r="BL15" i="69"/>
  <c r="BI15" i="69"/>
  <c r="BF15" i="69"/>
  <c r="BC15" i="69"/>
  <c r="AZ15" i="69"/>
  <c r="AW15" i="69"/>
  <c r="AR15" i="69"/>
  <c r="AT15" i="69" s="1"/>
  <c r="AQ15" i="69"/>
  <c r="AN15" i="69"/>
  <c r="AL15" i="69"/>
  <c r="AK15" i="69"/>
  <c r="AI15" i="69"/>
  <c r="AB15" i="69"/>
  <c r="Y15" i="69"/>
  <c r="V15" i="69"/>
  <c r="S15" i="69"/>
  <c r="EH15" i="69" s="1"/>
  <c r="P15" i="69"/>
  <c r="M15" i="69"/>
  <c r="J15" i="69"/>
  <c r="G15" i="69"/>
  <c r="D15" i="69"/>
  <c r="EL14" i="69"/>
  <c r="EG14" i="69"/>
  <c r="EI14" i="69" s="1"/>
  <c r="DW14" i="69"/>
  <c r="DT14" i="69"/>
  <c r="DQ14" i="69"/>
  <c r="DN14" i="69"/>
  <c r="DK14" i="69"/>
  <c r="DH14" i="69"/>
  <c r="DE14" i="69"/>
  <c r="DB14" i="69"/>
  <c r="CY14" i="69"/>
  <c r="CV14" i="69"/>
  <c r="CS14" i="69"/>
  <c r="CP14" i="69"/>
  <c r="CM14" i="69"/>
  <c r="CJ14" i="69"/>
  <c r="CG14" i="69"/>
  <c r="CD14" i="69"/>
  <c r="CA14" i="69"/>
  <c r="BX14" i="69"/>
  <c r="BU14" i="69"/>
  <c r="BR14" i="69"/>
  <c r="BO14" i="69"/>
  <c r="BL14" i="69"/>
  <c r="BI14" i="69"/>
  <c r="BF14" i="69"/>
  <c r="BC14" i="69"/>
  <c r="AZ14" i="69"/>
  <c r="AW14" i="69"/>
  <c r="AT14" i="69"/>
  <c r="AR14" i="69"/>
  <c r="AQ14" i="69"/>
  <c r="AL14" i="69"/>
  <c r="AN14" i="69" s="1"/>
  <c r="AI14" i="69"/>
  <c r="AK14" i="69" s="1"/>
  <c r="AB14" i="69"/>
  <c r="Y14" i="69"/>
  <c r="V14" i="69"/>
  <c r="S14" i="69"/>
  <c r="EH14" i="69" s="1"/>
  <c r="P14" i="69"/>
  <c r="M14" i="69"/>
  <c r="J14" i="69"/>
  <c r="G14" i="69"/>
  <c r="D14" i="69"/>
  <c r="ED14" i="69" s="1"/>
  <c r="A14" i="69"/>
  <c r="A15" i="69" s="1"/>
  <c r="A16" i="69" s="1"/>
  <c r="A17" i="69" s="1"/>
  <c r="A18" i="69" s="1"/>
  <c r="A19" i="69" s="1"/>
  <c r="A20" i="69" s="1"/>
  <c r="A21" i="69" s="1"/>
  <c r="A22" i="69" s="1"/>
  <c r="A23" i="69" s="1"/>
  <c r="A24" i="69" s="1"/>
  <c r="A25" i="69" s="1"/>
  <c r="A26" i="69" s="1"/>
  <c r="A27" i="69" s="1"/>
  <c r="A28" i="69" s="1"/>
  <c r="A29" i="69" s="1"/>
  <c r="A30" i="69" s="1"/>
  <c r="A31" i="69" s="1"/>
  <c r="A32" i="69" s="1"/>
  <c r="A33" i="69" s="1"/>
  <c r="A34" i="69" s="1"/>
  <c r="A35" i="69" s="1"/>
  <c r="A36" i="69" s="1"/>
  <c r="A37" i="69" s="1"/>
  <c r="A38" i="69" s="1"/>
  <c r="A39" i="69" s="1"/>
  <c r="A40" i="69" s="1"/>
  <c r="EL13" i="69"/>
  <c r="EI13" i="69"/>
  <c r="EG13" i="69"/>
  <c r="EB13" i="69"/>
  <c r="DW13" i="69"/>
  <c r="DT13" i="69"/>
  <c r="DQ13" i="69"/>
  <c r="DN13" i="69"/>
  <c r="DK13" i="69"/>
  <c r="DH13" i="69"/>
  <c r="DE13" i="69"/>
  <c r="DB13" i="69"/>
  <c r="CY13" i="69"/>
  <c r="CV13" i="69"/>
  <c r="CS13" i="69"/>
  <c r="CP13" i="69"/>
  <c r="CM13" i="69"/>
  <c r="CJ13" i="69"/>
  <c r="CG13" i="69"/>
  <c r="CD13" i="69"/>
  <c r="CA13" i="69"/>
  <c r="BX13" i="69"/>
  <c r="BU13" i="69"/>
  <c r="BR13" i="69"/>
  <c r="BO13" i="69"/>
  <c r="BL13" i="69"/>
  <c r="BI13" i="69"/>
  <c r="BF13" i="69"/>
  <c r="BC13" i="69"/>
  <c r="AZ13" i="69"/>
  <c r="AW13" i="69"/>
  <c r="AR13" i="69"/>
  <c r="AT13" i="69" s="1"/>
  <c r="AO13" i="69"/>
  <c r="AQ13" i="69" s="1"/>
  <c r="AL13" i="69"/>
  <c r="AN13" i="69" s="1"/>
  <c r="AI13" i="69"/>
  <c r="AK13" i="69" s="1"/>
  <c r="AB13" i="69"/>
  <c r="Y13" i="69"/>
  <c r="V13" i="69"/>
  <c r="S13" i="69"/>
  <c r="P13" i="69"/>
  <c r="M13" i="69"/>
  <c r="J13" i="69"/>
  <c r="G13" i="69"/>
  <c r="D13" i="69"/>
  <c r="A13" i="69"/>
  <c r="EL12" i="69"/>
  <c r="EG12" i="69"/>
  <c r="EI12" i="69" s="1"/>
  <c r="DW12" i="69"/>
  <c r="DT12" i="69"/>
  <c r="DQ12" i="69"/>
  <c r="DN12" i="69"/>
  <c r="DK12" i="69"/>
  <c r="DH12" i="69"/>
  <c r="DE12" i="69"/>
  <c r="DB12" i="69"/>
  <c r="CY12" i="69"/>
  <c r="CV12" i="69"/>
  <c r="CS12" i="69"/>
  <c r="CP12" i="69"/>
  <c r="CM12" i="69"/>
  <c r="CJ12" i="69"/>
  <c r="CG12" i="69"/>
  <c r="CD12" i="69"/>
  <c r="CA12" i="69"/>
  <c r="BX12" i="69"/>
  <c r="BU12" i="69"/>
  <c r="BR12" i="69"/>
  <c r="BO12" i="69"/>
  <c r="BL12" i="69"/>
  <c r="BI12" i="69"/>
  <c r="BF12" i="69"/>
  <c r="BC12" i="69"/>
  <c r="AZ12" i="69"/>
  <c r="AW12" i="69"/>
  <c r="AR12" i="69"/>
  <c r="AT12" i="69" s="1"/>
  <c r="AO12" i="69"/>
  <c r="AQ12" i="69" s="1"/>
  <c r="AL12" i="69"/>
  <c r="AN12" i="69" s="1"/>
  <c r="AI12" i="69"/>
  <c r="AK12" i="69" s="1"/>
  <c r="AB12" i="69"/>
  <c r="Y12" i="69"/>
  <c r="V12" i="69"/>
  <c r="S12" i="69"/>
  <c r="EH12" i="69" s="1"/>
  <c r="P12" i="69"/>
  <c r="M12" i="69"/>
  <c r="J12" i="69"/>
  <c r="G12" i="69"/>
  <c r="D12" i="69"/>
  <c r="A12" i="69"/>
  <c r="EL11" i="69"/>
  <c r="EG11" i="69"/>
  <c r="DW11" i="69"/>
  <c r="DT11" i="69"/>
  <c r="DQ11" i="69"/>
  <c r="DN11" i="69"/>
  <c r="DK11" i="69"/>
  <c r="DK41" i="69" s="1"/>
  <c r="DH11" i="69"/>
  <c r="DE11" i="69"/>
  <c r="DB11" i="69"/>
  <c r="CY11" i="69"/>
  <c r="CY41" i="69" s="1"/>
  <c r="CV11" i="69"/>
  <c r="CS11" i="69"/>
  <c r="CP11" i="69"/>
  <c r="CM11" i="69"/>
  <c r="CJ11" i="69"/>
  <c r="CG11" i="69"/>
  <c r="CD11" i="69"/>
  <c r="CA11" i="69"/>
  <c r="CA41" i="69" s="1"/>
  <c r="BX11" i="69"/>
  <c r="BU11" i="69"/>
  <c r="BR11" i="69"/>
  <c r="BO11" i="69"/>
  <c r="BO41" i="69" s="1"/>
  <c r="BL11" i="69"/>
  <c r="BI11" i="69"/>
  <c r="BF11" i="69"/>
  <c r="BC11" i="69"/>
  <c r="AZ11" i="69"/>
  <c r="AW11" i="69"/>
  <c r="AT11" i="69"/>
  <c r="AQ11" i="69"/>
  <c r="AO11" i="69"/>
  <c r="AL11" i="69"/>
  <c r="EB11" i="69" s="1"/>
  <c r="AI11" i="69"/>
  <c r="AK11" i="69" s="1"/>
  <c r="AB11" i="69"/>
  <c r="Y11" i="69"/>
  <c r="V11" i="69"/>
  <c r="S11" i="69"/>
  <c r="P11" i="69"/>
  <c r="M11" i="69"/>
  <c r="J11" i="69"/>
  <c r="G11" i="69"/>
  <c r="D11" i="69"/>
  <c r="EN2" i="69"/>
  <c r="EP2" i="69" s="1"/>
  <c r="ED32" i="69" l="1"/>
  <c r="DN41" i="69"/>
  <c r="EH27" i="69"/>
  <c r="EM32" i="69"/>
  <c r="EN32" i="69" s="1"/>
  <c r="EM37" i="69"/>
  <c r="BC41" i="69"/>
  <c r="DW41" i="69"/>
  <c r="ED33" i="69"/>
  <c r="EE33" i="69" s="1"/>
  <c r="EM36" i="69"/>
  <c r="ED17" i="69"/>
  <c r="EM22" i="69"/>
  <c r="V41" i="69"/>
  <c r="BI41" i="69"/>
  <c r="DH41" i="69"/>
  <c r="EM13" i="69"/>
  <c r="EM18" i="69"/>
  <c r="EN18" i="69" s="1"/>
  <c r="EM31" i="69"/>
  <c r="EN31" i="69" s="1"/>
  <c r="ED37" i="69"/>
  <c r="EE37" i="69" s="1"/>
  <c r="Y41" i="69"/>
  <c r="CV41" i="69"/>
  <c r="EH36" i="69"/>
  <c r="EC18" i="69"/>
  <c r="DB41" i="69"/>
  <c r="ED27" i="69"/>
  <c r="EE27" i="69" s="1"/>
  <c r="ED31" i="69"/>
  <c r="ED38" i="69"/>
  <c r="EE38" i="69" s="1"/>
  <c r="G41" i="69"/>
  <c r="EM27" i="69"/>
  <c r="EN27" i="69" s="1"/>
  <c r="EH31" i="69"/>
  <c r="EC31" i="69"/>
  <c r="EM34" i="69"/>
  <c r="EN34" i="69" s="1"/>
  <c r="EM29" i="69"/>
  <c r="EN29" i="69" s="1"/>
  <c r="ED36" i="69"/>
  <c r="EH38" i="69"/>
  <c r="EM14" i="69"/>
  <c r="CS41" i="69"/>
  <c r="BX41" i="69"/>
  <c r="BL41" i="69"/>
  <c r="BR41" i="69"/>
  <c r="EI2" i="69"/>
  <c r="EH13" i="69"/>
  <c r="EN22" i="69"/>
  <c r="EH35" i="69"/>
  <c r="CD41" i="69"/>
  <c r="EM33" i="69"/>
  <c r="CM41" i="69"/>
  <c r="ED34" i="69"/>
  <c r="EE34" i="69" s="1"/>
  <c r="M41" i="69"/>
  <c r="ED20" i="69"/>
  <c r="EH24" i="69"/>
  <c r="ED29" i="69"/>
  <c r="EE29" i="69" s="1"/>
  <c r="EM38" i="69"/>
  <c r="EN38" i="69" s="1"/>
  <c r="EN24" i="69"/>
  <c r="EI5" i="69"/>
  <c r="EM25" i="69"/>
  <c r="EC26" i="69"/>
  <c r="EC27" i="69"/>
  <c r="AQ41" i="69"/>
  <c r="EB15" i="69"/>
  <c r="EM21" i="69"/>
  <c r="EH26" i="69"/>
  <c r="EE32" i="69"/>
  <c r="EC39" i="69"/>
  <c r="ED22" i="69"/>
  <c r="EE22" i="69" s="1"/>
  <c r="ED25" i="69"/>
  <c r="AT41" i="69"/>
  <c r="ED15" i="69"/>
  <c r="J41" i="69"/>
  <c r="AW41" i="69"/>
  <c r="CG41" i="69"/>
  <c r="S41" i="69"/>
  <c r="EM16" i="69"/>
  <c r="EN16" i="69" s="1"/>
  <c r="EM20" i="69"/>
  <c r="EN20" i="69" s="1"/>
  <c r="EE36" i="69"/>
  <c r="ED12" i="69"/>
  <c r="AB41" i="69"/>
  <c r="EH11" i="69"/>
  <c r="EM17" i="69"/>
  <c r="EH18" i="69"/>
  <c r="ED18" i="69"/>
  <c r="EE18" i="69" s="1"/>
  <c r="AZ41" i="69"/>
  <c r="CJ41" i="69"/>
  <c r="DT41" i="69"/>
  <c r="ED23" i="69"/>
  <c r="ED24" i="69"/>
  <c r="EE24" i="69" s="1"/>
  <c r="EM24" i="69"/>
  <c r="EN33" i="69"/>
  <c r="EM35" i="69"/>
  <c r="EN35" i="69" s="1"/>
  <c r="P41" i="69"/>
  <c r="D41" i="69"/>
  <c r="EK14" i="69"/>
  <c r="EN14" i="69" s="1"/>
  <c r="EM15" i="69"/>
  <c r="EN15" i="69" s="1"/>
  <c r="EH16" i="69"/>
  <c r="EC16" i="69"/>
  <c r="EE16" i="69"/>
  <c r="BF41" i="69"/>
  <c r="CP41" i="69"/>
  <c r="EC24" i="69"/>
  <c r="EN25" i="69"/>
  <c r="EN36" i="69"/>
  <c r="EN37" i="69"/>
  <c r="ED13" i="69"/>
  <c r="EE13" i="69" s="1"/>
  <c r="EM12" i="69"/>
  <c r="EI3" i="69"/>
  <c r="EI4" i="69" s="1"/>
  <c r="BU41" i="69"/>
  <c r="DE41" i="69"/>
  <c r="ED16" i="69"/>
  <c r="EE17" i="69"/>
  <c r="EE25" i="69"/>
  <c r="EC25" i="69"/>
  <c r="ED35" i="69"/>
  <c r="EE35" i="69" s="1"/>
  <c r="EC35" i="69"/>
  <c r="EK17" i="69"/>
  <c r="EN17" i="69" s="1"/>
  <c r="AN19" i="69"/>
  <c r="EM19" i="69" s="1"/>
  <c r="AN21" i="69"/>
  <c r="ED21" i="69" s="1"/>
  <c r="EE21" i="69" s="1"/>
  <c r="AN11" i="69"/>
  <c r="EC29" i="69"/>
  <c r="EE31" i="69"/>
  <c r="EH39" i="69"/>
  <c r="EI11" i="69"/>
  <c r="EE20" i="69"/>
  <c r="AK26" i="69"/>
  <c r="EM26" i="69" s="1"/>
  <c r="EN26" i="69" s="1"/>
  <c r="EK28" i="69"/>
  <c r="AN39" i="69"/>
  <c r="EM39" i="69" s="1"/>
  <c r="EC40" i="69"/>
  <c r="AK30" i="69"/>
  <c r="EM30" i="69" s="1"/>
  <c r="EN30" i="69" s="1"/>
  <c r="EK19" i="69"/>
  <c r="EC19" i="69" s="1"/>
  <c r="EK21" i="69"/>
  <c r="EK11" i="69"/>
  <c r="EC11" i="69" s="1"/>
  <c r="EK39" i="69"/>
  <c r="DQ41" i="69"/>
  <c r="EB12" i="69"/>
  <c r="EE5" i="69" s="1"/>
  <c r="G7" i="69" s="1"/>
  <c r="EC32" i="69"/>
  <c r="EC34" i="69"/>
  <c r="EC36" i="69"/>
  <c r="EC38" i="69"/>
  <c r="AK28" i="69"/>
  <c r="ED28" i="69" s="1"/>
  <c r="EE28" i="69" s="1"/>
  <c r="EB23" i="69"/>
  <c r="EB30" i="69"/>
  <c r="EC37" i="69"/>
  <c r="AN23" i="69"/>
  <c r="EM23" i="69" s="1"/>
  <c r="EN23" i="69" s="1"/>
  <c r="AK40" i="69"/>
  <c r="EM40" i="69" s="1"/>
  <c r="EN40" i="69" s="1"/>
  <c r="EK12" i="69"/>
  <c r="EK13" i="69"/>
  <c r="EN13" i="69" s="1"/>
  <c r="EB14" i="69"/>
  <c r="EN12" i="69" l="1"/>
  <c r="ED26" i="69"/>
  <c r="EE26" i="69" s="1"/>
  <c r="EC13" i="69"/>
  <c r="EC17" i="69"/>
  <c r="EH41" i="69"/>
  <c r="ED30" i="69"/>
  <c r="EE30" i="69" s="1"/>
  <c r="AN41" i="69"/>
  <c r="ED11" i="69"/>
  <c r="EN28" i="69"/>
  <c r="EC14" i="69"/>
  <c r="EE14" i="69"/>
  <c r="ED39" i="69"/>
  <c r="EE39" i="69" s="1"/>
  <c r="EN39" i="69"/>
  <c r="ED19" i="69"/>
  <c r="EE19" i="69" s="1"/>
  <c r="AK41" i="69"/>
  <c r="EE15" i="69"/>
  <c r="EC15" i="69"/>
  <c r="EM28" i="69"/>
  <c r="EE12" i="69"/>
  <c r="EC12" i="69"/>
  <c r="EC28" i="69"/>
  <c r="EN11" i="69"/>
  <c r="EN5" i="69"/>
  <c r="EN3" i="69"/>
  <c r="EN4" i="69" s="1"/>
  <c r="ED40" i="69"/>
  <c r="EE40" i="69" s="1"/>
  <c r="EC30" i="69"/>
  <c r="EN21" i="69"/>
  <c r="EC21" i="69"/>
  <c r="EE23" i="69"/>
  <c r="EC23" i="69"/>
  <c r="EN19" i="69"/>
  <c r="EM11" i="69"/>
  <c r="EM41" i="69" s="1"/>
  <c r="EE3" i="69"/>
  <c r="G5" i="69" l="1"/>
  <c r="EE4" i="69"/>
  <c r="G6" i="69" s="1"/>
  <c r="ED41" i="69"/>
  <c r="EE11" i="69"/>
  <c r="AH42" i="70"/>
  <c r="AE42" i="70"/>
  <c r="EL41" i="70"/>
  <c r="EG41" i="70"/>
  <c r="EI41" i="70" s="1"/>
  <c r="DW41" i="70"/>
  <c r="DT41" i="70"/>
  <c r="DQ41" i="70"/>
  <c r="DN41" i="70"/>
  <c r="DK41" i="70"/>
  <c r="DH41" i="70"/>
  <c r="DE41" i="70"/>
  <c r="DB41" i="70"/>
  <c r="CY41" i="70"/>
  <c r="CV41" i="70"/>
  <c r="CS41" i="70"/>
  <c r="CP41" i="70"/>
  <c r="CM41" i="70"/>
  <c r="CJ41" i="70"/>
  <c r="CG41" i="70"/>
  <c r="CD41" i="70"/>
  <c r="CA41" i="70"/>
  <c r="BX41" i="70"/>
  <c r="BU41" i="70"/>
  <c r="BR41" i="70"/>
  <c r="BO41" i="70"/>
  <c r="BL41" i="70"/>
  <c r="BI41" i="70"/>
  <c r="BF41" i="70"/>
  <c r="BC41" i="70"/>
  <c r="AZ41" i="70"/>
  <c r="AW41" i="70"/>
  <c r="AT41" i="70"/>
  <c r="AQ41" i="70"/>
  <c r="AN41" i="70"/>
  <c r="AI41" i="70"/>
  <c r="EK41" i="70" s="1"/>
  <c r="AB41" i="70"/>
  <c r="Y41" i="70"/>
  <c r="V41" i="70"/>
  <c r="S41" i="70"/>
  <c r="P41" i="70"/>
  <c r="M41" i="70"/>
  <c r="J41" i="70"/>
  <c r="G41" i="70"/>
  <c r="D41" i="70"/>
  <c r="EL40" i="70"/>
  <c r="EK40" i="70"/>
  <c r="EG40" i="70"/>
  <c r="EI40" i="70" s="1"/>
  <c r="DW40" i="70"/>
  <c r="DT40" i="70"/>
  <c r="DQ40" i="70"/>
  <c r="DN40" i="70"/>
  <c r="DK40" i="70"/>
  <c r="DH40" i="70"/>
  <c r="DE40" i="70"/>
  <c r="DB40" i="70"/>
  <c r="CY40" i="70"/>
  <c r="CV40" i="70"/>
  <c r="CS40" i="70"/>
  <c r="CP40" i="70"/>
  <c r="CM40" i="70"/>
  <c r="CJ40" i="70"/>
  <c r="CG40" i="70"/>
  <c r="CD40" i="70"/>
  <c r="CA40" i="70"/>
  <c r="BX40" i="70"/>
  <c r="BU40" i="70"/>
  <c r="BR40" i="70"/>
  <c r="BO40" i="70"/>
  <c r="BL40" i="70"/>
  <c r="BI40" i="70"/>
  <c r="BF40" i="70"/>
  <c r="BC40" i="70"/>
  <c r="AZ40" i="70"/>
  <c r="AW40" i="70"/>
  <c r="AT40" i="70"/>
  <c r="AQ40" i="70"/>
  <c r="AN40" i="70"/>
  <c r="AI40" i="70"/>
  <c r="EB40" i="70" s="1"/>
  <c r="AB40" i="70"/>
  <c r="Y40" i="70"/>
  <c r="V40" i="70"/>
  <c r="S40" i="70"/>
  <c r="EH40" i="70" s="1"/>
  <c r="P40" i="70"/>
  <c r="M40" i="70"/>
  <c r="J40" i="70"/>
  <c r="G40" i="70"/>
  <c r="D40" i="70"/>
  <c r="EL39" i="70"/>
  <c r="EK39" i="70"/>
  <c r="EG39" i="70"/>
  <c r="EI39" i="70" s="1"/>
  <c r="EB39" i="70"/>
  <c r="DW39" i="70"/>
  <c r="DT39" i="70"/>
  <c r="DQ39" i="70"/>
  <c r="DN39" i="70"/>
  <c r="DK39" i="70"/>
  <c r="DH39" i="70"/>
  <c r="DE39" i="70"/>
  <c r="DB39" i="70"/>
  <c r="CY39" i="70"/>
  <c r="CV39" i="70"/>
  <c r="CS39" i="70"/>
  <c r="CP39" i="70"/>
  <c r="CM39" i="70"/>
  <c r="CJ39" i="70"/>
  <c r="CG39" i="70"/>
  <c r="CD39" i="70"/>
  <c r="CA39" i="70"/>
  <c r="BX39" i="70"/>
  <c r="BU39" i="70"/>
  <c r="BR39" i="70"/>
  <c r="BO39" i="70"/>
  <c r="BL39" i="70"/>
  <c r="BI39" i="70"/>
  <c r="BF39" i="70"/>
  <c r="BC39" i="70"/>
  <c r="AZ39" i="70"/>
  <c r="AW39" i="70"/>
  <c r="AT39" i="70"/>
  <c r="AQ39" i="70"/>
  <c r="AN39" i="70"/>
  <c r="AK39" i="70"/>
  <c r="AI39" i="70"/>
  <c r="AB39" i="70"/>
  <c r="Y39" i="70"/>
  <c r="V39" i="70"/>
  <c r="S39" i="70"/>
  <c r="EH39" i="70" s="1"/>
  <c r="P39" i="70"/>
  <c r="M39" i="70"/>
  <c r="J39" i="70"/>
  <c r="G39" i="70"/>
  <c r="D39" i="70"/>
  <c r="EL38" i="70"/>
  <c r="EK38" i="70"/>
  <c r="EI38" i="70"/>
  <c r="EG38" i="70"/>
  <c r="EB38" i="70"/>
  <c r="DW38" i="70"/>
  <c r="DT38" i="70"/>
  <c r="DQ38" i="70"/>
  <c r="DN38" i="70"/>
  <c r="DK38" i="70"/>
  <c r="DH38" i="70"/>
  <c r="DE38" i="70"/>
  <c r="DB38" i="70"/>
  <c r="CY38" i="70"/>
  <c r="CV38" i="70"/>
  <c r="CS38" i="70"/>
  <c r="CP38" i="70"/>
  <c r="CM38" i="70"/>
  <c r="CJ38" i="70"/>
  <c r="CG38" i="70"/>
  <c r="CD38" i="70"/>
  <c r="CA38" i="70"/>
  <c r="BX38" i="70"/>
  <c r="BU38" i="70"/>
  <c r="BR38" i="70"/>
  <c r="BO38" i="70"/>
  <c r="BL38" i="70"/>
  <c r="BI38" i="70"/>
  <c r="BF38" i="70"/>
  <c r="BC38" i="70"/>
  <c r="AZ38" i="70"/>
  <c r="AW38" i="70"/>
  <c r="AT38" i="70"/>
  <c r="AQ38" i="70"/>
  <c r="AN38" i="70"/>
  <c r="AK38" i="70"/>
  <c r="AI38" i="70"/>
  <c r="AB38" i="70"/>
  <c r="Y38" i="70"/>
  <c r="V38" i="70"/>
  <c r="S38" i="70"/>
  <c r="P38" i="70"/>
  <c r="M38" i="70"/>
  <c r="J38" i="70"/>
  <c r="G38" i="70"/>
  <c r="D38" i="70"/>
  <c r="EL37" i="70"/>
  <c r="EG37" i="70"/>
  <c r="EI37" i="70" s="1"/>
  <c r="DW37" i="70"/>
  <c r="DT37" i="70"/>
  <c r="DQ37" i="70"/>
  <c r="DN37" i="70"/>
  <c r="DK37" i="70"/>
  <c r="DH37" i="70"/>
  <c r="DE37" i="70"/>
  <c r="DB37" i="70"/>
  <c r="CY37" i="70"/>
  <c r="CV37" i="70"/>
  <c r="CS37" i="70"/>
  <c r="CP37" i="70"/>
  <c r="CM37" i="70"/>
  <c r="CJ37" i="70"/>
  <c r="CG37" i="70"/>
  <c r="CD37" i="70"/>
  <c r="CA37" i="70"/>
  <c r="BX37" i="70"/>
  <c r="BU37" i="70"/>
  <c r="BR37" i="70"/>
  <c r="BO37" i="70"/>
  <c r="BL37" i="70"/>
  <c r="BI37" i="70"/>
  <c r="BF37" i="70"/>
  <c r="BC37" i="70"/>
  <c r="AZ37" i="70"/>
  <c r="AW37" i="70"/>
  <c r="AT37" i="70"/>
  <c r="AQ37" i="70"/>
  <c r="AN37" i="70"/>
  <c r="AI37" i="70"/>
  <c r="EB37" i="70" s="1"/>
  <c r="AB37" i="70"/>
  <c r="Y37" i="70"/>
  <c r="V37" i="70"/>
  <c r="S37" i="70"/>
  <c r="EH37" i="70" s="1"/>
  <c r="P37" i="70"/>
  <c r="M37" i="70"/>
  <c r="J37" i="70"/>
  <c r="G37" i="70"/>
  <c r="D37" i="70"/>
  <c r="EL36" i="70"/>
  <c r="EK36" i="70"/>
  <c r="EG36" i="70"/>
  <c r="EI36" i="70" s="1"/>
  <c r="EB36" i="70"/>
  <c r="EC36" i="70" s="1"/>
  <c r="DW36" i="70"/>
  <c r="DT36" i="70"/>
  <c r="DQ36" i="70"/>
  <c r="DN36" i="70"/>
  <c r="DK36" i="70"/>
  <c r="DH36" i="70"/>
  <c r="DE36" i="70"/>
  <c r="DB36" i="70"/>
  <c r="CY36" i="70"/>
  <c r="CV36" i="70"/>
  <c r="CS36" i="70"/>
  <c r="CP36" i="70"/>
  <c r="CM36" i="70"/>
  <c r="CJ36" i="70"/>
  <c r="CG36" i="70"/>
  <c r="CD36" i="70"/>
  <c r="CA36" i="70"/>
  <c r="BX36" i="70"/>
  <c r="BU36" i="70"/>
  <c r="BR36" i="70"/>
  <c r="BO36" i="70"/>
  <c r="BL36" i="70"/>
  <c r="BI36" i="70"/>
  <c r="BF36" i="70"/>
  <c r="BC36" i="70"/>
  <c r="AZ36" i="70"/>
  <c r="AW36" i="70"/>
  <c r="AT36" i="70"/>
  <c r="AQ36" i="70"/>
  <c r="AN36" i="70"/>
  <c r="AK36" i="70"/>
  <c r="AB36" i="70"/>
  <c r="Y36" i="70"/>
  <c r="V36" i="70"/>
  <c r="S36" i="70"/>
  <c r="EH36" i="70" s="1"/>
  <c r="P36" i="70"/>
  <c r="M36" i="70"/>
  <c r="J36" i="70"/>
  <c r="G36" i="70"/>
  <c r="D36" i="70"/>
  <c r="EL35" i="70"/>
  <c r="EK35" i="70"/>
  <c r="EG35" i="70"/>
  <c r="EI35" i="70" s="1"/>
  <c r="EB35" i="70"/>
  <c r="EC35" i="70" s="1"/>
  <c r="DW35" i="70"/>
  <c r="DT35" i="70"/>
  <c r="DQ35" i="70"/>
  <c r="DN35" i="70"/>
  <c r="DK35" i="70"/>
  <c r="DH35" i="70"/>
  <c r="DE35" i="70"/>
  <c r="DB35" i="70"/>
  <c r="CY35" i="70"/>
  <c r="CV35" i="70"/>
  <c r="CS35" i="70"/>
  <c r="CP35" i="70"/>
  <c r="CM35" i="70"/>
  <c r="CJ35" i="70"/>
  <c r="CG35" i="70"/>
  <c r="CD35" i="70"/>
  <c r="CA35" i="70"/>
  <c r="BX35" i="70"/>
  <c r="BU35" i="70"/>
  <c r="BR35" i="70"/>
  <c r="BO35" i="70"/>
  <c r="BL35" i="70"/>
  <c r="BI35" i="70"/>
  <c r="BF35" i="70"/>
  <c r="BC35" i="70"/>
  <c r="AZ35" i="70"/>
  <c r="AW35" i="70"/>
  <c r="AT35" i="70"/>
  <c r="AQ35" i="70"/>
  <c r="AN35" i="70"/>
  <c r="AK35" i="70"/>
  <c r="AB35" i="70"/>
  <c r="Y35" i="70"/>
  <c r="V35" i="70"/>
  <c r="S35" i="70"/>
  <c r="EH35" i="70" s="1"/>
  <c r="P35" i="70"/>
  <c r="M35" i="70"/>
  <c r="J35" i="70"/>
  <c r="G35" i="70"/>
  <c r="D35" i="70"/>
  <c r="EL34" i="70"/>
  <c r="EK34" i="70"/>
  <c r="EC34" i="70" s="1"/>
  <c r="EI34" i="70"/>
  <c r="EG34" i="70"/>
  <c r="EB34" i="70"/>
  <c r="DW34" i="70"/>
  <c r="DT34" i="70"/>
  <c r="DQ34" i="70"/>
  <c r="DN34" i="70"/>
  <c r="DK34" i="70"/>
  <c r="DH34" i="70"/>
  <c r="DE34" i="70"/>
  <c r="DB34" i="70"/>
  <c r="CY34" i="70"/>
  <c r="CV34" i="70"/>
  <c r="CS34" i="70"/>
  <c r="CP34" i="70"/>
  <c r="CM34" i="70"/>
  <c r="CJ34" i="70"/>
  <c r="CG34" i="70"/>
  <c r="CD34" i="70"/>
  <c r="CA34" i="70"/>
  <c r="BX34" i="70"/>
  <c r="BU34" i="70"/>
  <c r="BR34" i="70"/>
  <c r="BO34" i="70"/>
  <c r="BL34" i="70"/>
  <c r="BI34" i="70"/>
  <c r="BF34" i="70"/>
  <c r="BC34" i="70"/>
  <c r="AZ34" i="70"/>
  <c r="AW34" i="70"/>
  <c r="AT34" i="70"/>
  <c r="AQ34" i="70"/>
  <c r="AN34" i="70"/>
  <c r="AK34" i="70"/>
  <c r="AB34" i="70"/>
  <c r="Y34" i="70"/>
  <c r="V34" i="70"/>
  <c r="EH34" i="70" s="1"/>
  <c r="S34" i="70"/>
  <c r="P34" i="70"/>
  <c r="M34" i="70"/>
  <c r="J34" i="70"/>
  <c r="G34" i="70"/>
  <c r="D34" i="70"/>
  <c r="EL33" i="70"/>
  <c r="EK33" i="70"/>
  <c r="EG33" i="70"/>
  <c r="EI33" i="70" s="1"/>
  <c r="EB33" i="70"/>
  <c r="DW33" i="70"/>
  <c r="DT33" i="70"/>
  <c r="DQ33" i="70"/>
  <c r="DN33" i="70"/>
  <c r="DK33" i="70"/>
  <c r="DH33" i="70"/>
  <c r="DE33" i="70"/>
  <c r="DB33" i="70"/>
  <c r="CY33" i="70"/>
  <c r="CV33" i="70"/>
  <c r="CS33" i="70"/>
  <c r="CP33" i="70"/>
  <c r="CM33" i="70"/>
  <c r="CJ33" i="70"/>
  <c r="CG33" i="70"/>
  <c r="CD33" i="70"/>
  <c r="CA33" i="70"/>
  <c r="BX33" i="70"/>
  <c r="BU33" i="70"/>
  <c r="BR33" i="70"/>
  <c r="BO33" i="70"/>
  <c r="BL33" i="70"/>
  <c r="BI33" i="70"/>
  <c r="BF33" i="70"/>
  <c r="BC33" i="70"/>
  <c r="AZ33" i="70"/>
  <c r="AW33" i="70"/>
  <c r="AT33" i="70"/>
  <c r="AQ33" i="70"/>
  <c r="AN33" i="70"/>
  <c r="AK33" i="70"/>
  <c r="AB33" i="70"/>
  <c r="Y33" i="70"/>
  <c r="V33" i="70"/>
  <c r="S33" i="70"/>
  <c r="EH33" i="70" s="1"/>
  <c r="P33" i="70"/>
  <c r="M33" i="70"/>
  <c r="J33" i="70"/>
  <c r="G33" i="70"/>
  <c r="D33" i="70"/>
  <c r="EL32" i="70"/>
  <c r="EK32" i="70"/>
  <c r="EG32" i="70"/>
  <c r="EI32" i="70" s="1"/>
  <c r="EB32" i="70"/>
  <c r="EC32" i="70" s="1"/>
  <c r="DW32" i="70"/>
  <c r="DT32" i="70"/>
  <c r="DQ32" i="70"/>
  <c r="DN32" i="70"/>
  <c r="DK32" i="70"/>
  <c r="DH32" i="70"/>
  <c r="DE32" i="70"/>
  <c r="DB32" i="70"/>
  <c r="CY32" i="70"/>
  <c r="CV32" i="70"/>
  <c r="CS32" i="70"/>
  <c r="CP32" i="70"/>
  <c r="CM32" i="70"/>
  <c r="CJ32" i="70"/>
  <c r="CG32" i="70"/>
  <c r="CD32" i="70"/>
  <c r="CA32" i="70"/>
  <c r="BX32" i="70"/>
  <c r="BU32" i="70"/>
  <c r="BR32" i="70"/>
  <c r="BO32" i="70"/>
  <c r="BL32" i="70"/>
  <c r="BI32" i="70"/>
  <c r="BF32" i="70"/>
  <c r="BC32" i="70"/>
  <c r="AZ32" i="70"/>
  <c r="AW32" i="70"/>
  <c r="AT32" i="70"/>
  <c r="AQ32" i="70"/>
  <c r="AN32" i="70"/>
  <c r="AK32" i="70"/>
  <c r="AB32" i="70"/>
  <c r="Y32" i="70"/>
  <c r="V32" i="70"/>
  <c r="S32" i="70"/>
  <c r="P32" i="70"/>
  <c r="M32" i="70"/>
  <c r="J32" i="70"/>
  <c r="G32" i="70"/>
  <c r="D32" i="70"/>
  <c r="EL31" i="70"/>
  <c r="EK31" i="70"/>
  <c r="EG31" i="70"/>
  <c r="EI31" i="70" s="1"/>
  <c r="EB31" i="70"/>
  <c r="DW31" i="70"/>
  <c r="DT31" i="70"/>
  <c r="DQ31" i="70"/>
  <c r="DN31" i="70"/>
  <c r="DK31" i="70"/>
  <c r="DH31" i="70"/>
  <c r="DE31" i="70"/>
  <c r="DB31" i="70"/>
  <c r="CY31" i="70"/>
  <c r="CV31" i="70"/>
  <c r="CS31" i="70"/>
  <c r="CP31" i="70"/>
  <c r="CM31" i="70"/>
  <c r="CJ31" i="70"/>
  <c r="CG31" i="70"/>
  <c r="CD31" i="70"/>
  <c r="CA31" i="70"/>
  <c r="BX31" i="70"/>
  <c r="BU31" i="70"/>
  <c r="BR31" i="70"/>
  <c r="BO31" i="70"/>
  <c r="BL31" i="70"/>
  <c r="BI31" i="70"/>
  <c r="BF31" i="70"/>
  <c r="BC31" i="70"/>
  <c r="AZ31" i="70"/>
  <c r="AW31" i="70"/>
  <c r="AT31" i="70"/>
  <c r="AQ31" i="70"/>
  <c r="AN31" i="70"/>
  <c r="AK31" i="70"/>
  <c r="AB31" i="70"/>
  <c r="Y31" i="70"/>
  <c r="V31" i="70"/>
  <c r="S31" i="70"/>
  <c r="EH31" i="70" s="1"/>
  <c r="P31" i="70"/>
  <c r="M31" i="70"/>
  <c r="J31" i="70"/>
  <c r="G31" i="70"/>
  <c r="D31" i="70"/>
  <c r="EL30" i="70"/>
  <c r="EK30" i="70"/>
  <c r="EG30" i="70"/>
  <c r="EI30" i="70" s="1"/>
  <c r="EB30" i="70"/>
  <c r="EC30" i="70" s="1"/>
  <c r="DW30" i="70"/>
  <c r="DT30" i="70"/>
  <c r="DQ30" i="70"/>
  <c r="DN30" i="70"/>
  <c r="DK30" i="70"/>
  <c r="DH30" i="70"/>
  <c r="DE30" i="70"/>
  <c r="DB30" i="70"/>
  <c r="CY30" i="70"/>
  <c r="CV30" i="70"/>
  <c r="CS30" i="70"/>
  <c r="CP30" i="70"/>
  <c r="CM30" i="70"/>
  <c r="CJ30" i="70"/>
  <c r="CG30" i="70"/>
  <c r="CD30" i="70"/>
  <c r="CA30" i="70"/>
  <c r="BX30" i="70"/>
  <c r="BU30" i="70"/>
  <c r="BR30" i="70"/>
  <c r="BO30" i="70"/>
  <c r="BL30" i="70"/>
  <c r="BI30" i="70"/>
  <c r="BF30" i="70"/>
  <c r="BC30" i="70"/>
  <c r="AZ30" i="70"/>
  <c r="AW30" i="70"/>
  <c r="AT30" i="70"/>
  <c r="AQ30" i="70"/>
  <c r="AN30" i="70"/>
  <c r="AK30" i="70"/>
  <c r="AB30" i="70"/>
  <c r="Y30" i="70"/>
  <c r="V30" i="70"/>
  <c r="S30" i="70"/>
  <c r="EH30" i="70" s="1"/>
  <c r="P30" i="70"/>
  <c r="M30" i="70"/>
  <c r="J30" i="70"/>
  <c r="G30" i="70"/>
  <c r="D30" i="70"/>
  <c r="EL29" i="70"/>
  <c r="EK29" i="70"/>
  <c r="EG29" i="70"/>
  <c r="EI29" i="70" s="1"/>
  <c r="DW29" i="70"/>
  <c r="DT29" i="70"/>
  <c r="DQ29" i="70"/>
  <c r="DN29" i="70"/>
  <c r="DK29" i="70"/>
  <c r="DH29" i="70"/>
  <c r="DE29" i="70"/>
  <c r="DB29" i="70"/>
  <c r="CY29" i="70"/>
  <c r="CV29" i="70"/>
  <c r="CS29" i="70"/>
  <c r="CP29" i="70"/>
  <c r="CM29" i="70"/>
  <c r="CJ29" i="70"/>
  <c r="CG29" i="70"/>
  <c r="CD29" i="70"/>
  <c r="CA29" i="70"/>
  <c r="BX29" i="70"/>
  <c r="BU29" i="70"/>
  <c r="BR29" i="70"/>
  <c r="BO29" i="70"/>
  <c r="BL29" i="70"/>
  <c r="BI29" i="70"/>
  <c r="BF29" i="70"/>
  <c r="BC29" i="70"/>
  <c r="AZ29" i="70"/>
  <c r="AW29" i="70"/>
  <c r="AT29" i="70"/>
  <c r="AQ29" i="70"/>
  <c r="AN29" i="70"/>
  <c r="AI29" i="70"/>
  <c r="EB29" i="70" s="1"/>
  <c r="AB29" i="70"/>
  <c r="Y29" i="70"/>
  <c r="V29" i="70"/>
  <c r="S29" i="70"/>
  <c r="P29" i="70"/>
  <c r="M29" i="70"/>
  <c r="J29" i="70"/>
  <c r="G29" i="70"/>
  <c r="D29" i="70"/>
  <c r="EL28" i="70"/>
  <c r="EK28" i="70"/>
  <c r="EG28" i="70"/>
  <c r="EI28" i="70" s="1"/>
  <c r="EB28" i="70"/>
  <c r="DW28" i="70"/>
  <c r="DT28" i="70"/>
  <c r="DQ28" i="70"/>
  <c r="DN28" i="70"/>
  <c r="DK28" i="70"/>
  <c r="DH28" i="70"/>
  <c r="DE28" i="70"/>
  <c r="DB28" i="70"/>
  <c r="CY28" i="70"/>
  <c r="CV28" i="70"/>
  <c r="CS28" i="70"/>
  <c r="CP28" i="70"/>
  <c r="CM28" i="70"/>
  <c r="CJ28" i="70"/>
  <c r="CG28" i="70"/>
  <c r="CD28" i="70"/>
  <c r="CA28" i="70"/>
  <c r="BX28" i="70"/>
  <c r="BU28" i="70"/>
  <c r="BR28" i="70"/>
  <c r="BO28" i="70"/>
  <c r="BL28" i="70"/>
  <c r="BI28" i="70"/>
  <c r="BF28" i="70"/>
  <c r="BC28" i="70"/>
  <c r="AZ28" i="70"/>
  <c r="AW28" i="70"/>
  <c r="AT28" i="70"/>
  <c r="AQ28" i="70"/>
  <c r="AN28" i="70"/>
  <c r="AK28" i="70"/>
  <c r="AI28" i="70"/>
  <c r="AB28" i="70"/>
  <c r="Y28" i="70"/>
  <c r="V28" i="70"/>
  <c r="S28" i="70"/>
  <c r="EH28" i="70" s="1"/>
  <c r="P28" i="70"/>
  <c r="M28" i="70"/>
  <c r="J28" i="70"/>
  <c r="G28" i="70"/>
  <c r="D28" i="70"/>
  <c r="EL27" i="70"/>
  <c r="EK27" i="70"/>
  <c r="EG27" i="70"/>
  <c r="EI27" i="70" s="1"/>
  <c r="EB27" i="70"/>
  <c r="DW27" i="70"/>
  <c r="DT27" i="70"/>
  <c r="DQ27" i="70"/>
  <c r="DN27" i="70"/>
  <c r="DK27" i="70"/>
  <c r="DH27" i="70"/>
  <c r="DE27" i="70"/>
  <c r="DB27" i="70"/>
  <c r="CY27" i="70"/>
  <c r="CV27" i="70"/>
  <c r="CS27" i="70"/>
  <c r="CP27" i="70"/>
  <c r="CM27" i="70"/>
  <c r="CJ27" i="70"/>
  <c r="CG27" i="70"/>
  <c r="CD27" i="70"/>
  <c r="CA27" i="70"/>
  <c r="BX27" i="70"/>
  <c r="BU27" i="70"/>
  <c r="BR27" i="70"/>
  <c r="BO27" i="70"/>
  <c r="BL27" i="70"/>
  <c r="BI27" i="70"/>
  <c r="BF27" i="70"/>
  <c r="BC27" i="70"/>
  <c r="AZ27" i="70"/>
  <c r="AW27" i="70"/>
  <c r="AT27" i="70"/>
  <c r="AQ27" i="70"/>
  <c r="AN27" i="70"/>
  <c r="AK27" i="70"/>
  <c r="AI27" i="70"/>
  <c r="AB27" i="70"/>
  <c r="Y27" i="70"/>
  <c r="V27" i="70"/>
  <c r="S27" i="70"/>
  <c r="EH27" i="70" s="1"/>
  <c r="P27" i="70"/>
  <c r="M27" i="70"/>
  <c r="J27" i="70"/>
  <c r="G27" i="70"/>
  <c r="D27" i="70"/>
  <c r="EL26" i="70"/>
  <c r="EG26" i="70"/>
  <c r="EI26" i="70" s="1"/>
  <c r="DW26" i="70"/>
  <c r="DT26" i="70"/>
  <c r="DQ26" i="70"/>
  <c r="DN26" i="70"/>
  <c r="DK26" i="70"/>
  <c r="DH26" i="70"/>
  <c r="DE26" i="70"/>
  <c r="DB26" i="70"/>
  <c r="CY26" i="70"/>
  <c r="CV26" i="70"/>
  <c r="CS26" i="70"/>
  <c r="CP26" i="70"/>
  <c r="CM26" i="70"/>
  <c r="CJ26" i="70"/>
  <c r="CG26" i="70"/>
  <c r="CD26" i="70"/>
  <c r="CA26" i="70"/>
  <c r="BX26" i="70"/>
  <c r="BU26" i="70"/>
  <c r="BR26" i="70"/>
  <c r="BO26" i="70"/>
  <c r="BL26" i="70"/>
  <c r="BI26" i="70"/>
  <c r="BF26" i="70"/>
  <c r="BC26" i="70"/>
  <c r="AZ26" i="70"/>
  <c r="AW26" i="70"/>
  <c r="AT26" i="70"/>
  <c r="AQ26" i="70"/>
  <c r="AN26" i="70"/>
  <c r="AI26" i="70"/>
  <c r="EB26" i="70" s="1"/>
  <c r="AB26" i="70"/>
  <c r="Y26" i="70"/>
  <c r="V26" i="70"/>
  <c r="S26" i="70"/>
  <c r="EH26" i="70" s="1"/>
  <c r="P26" i="70"/>
  <c r="M26" i="70"/>
  <c r="J26" i="70"/>
  <c r="G26" i="70"/>
  <c r="D26" i="70"/>
  <c r="EL25" i="70"/>
  <c r="EK25" i="70"/>
  <c r="EG25" i="70"/>
  <c r="EI25" i="70" s="1"/>
  <c r="EB25" i="70"/>
  <c r="DW25" i="70"/>
  <c r="DT25" i="70"/>
  <c r="DQ25" i="70"/>
  <c r="DN25" i="70"/>
  <c r="DK25" i="70"/>
  <c r="DH25" i="70"/>
  <c r="DE25" i="70"/>
  <c r="DB25" i="70"/>
  <c r="CY25" i="70"/>
  <c r="CV25" i="70"/>
  <c r="CS25" i="70"/>
  <c r="CP25" i="70"/>
  <c r="CM25" i="70"/>
  <c r="CJ25" i="70"/>
  <c r="CG25" i="70"/>
  <c r="CD25" i="70"/>
  <c r="CA25" i="70"/>
  <c r="BX25" i="70"/>
  <c r="BU25" i="70"/>
  <c r="BR25" i="70"/>
  <c r="BO25" i="70"/>
  <c r="BL25" i="70"/>
  <c r="BI25" i="70"/>
  <c r="BF25" i="70"/>
  <c r="BC25" i="70"/>
  <c r="AZ25" i="70"/>
  <c r="AW25" i="70"/>
  <c r="AT25" i="70"/>
  <c r="AQ25" i="70"/>
  <c r="AN25" i="70"/>
  <c r="AK25" i="70"/>
  <c r="AB25" i="70"/>
  <c r="Y25" i="70"/>
  <c r="V25" i="70"/>
  <c r="EH25" i="70" s="1"/>
  <c r="S25" i="70"/>
  <c r="P25" i="70"/>
  <c r="M25" i="70"/>
  <c r="J25" i="70"/>
  <c r="G25" i="70"/>
  <c r="D25" i="70"/>
  <c r="EL24" i="70"/>
  <c r="EK24" i="70"/>
  <c r="EG24" i="70"/>
  <c r="EI24" i="70" s="1"/>
  <c r="EB24" i="70"/>
  <c r="EC24" i="70" s="1"/>
  <c r="DW24" i="70"/>
  <c r="DT24" i="70"/>
  <c r="DQ24" i="70"/>
  <c r="DN24" i="70"/>
  <c r="DK24" i="70"/>
  <c r="DH24" i="70"/>
  <c r="DE24" i="70"/>
  <c r="DB24" i="70"/>
  <c r="CY24" i="70"/>
  <c r="CV24" i="70"/>
  <c r="CS24" i="70"/>
  <c r="CP24" i="70"/>
  <c r="CM24" i="70"/>
  <c r="CJ24" i="70"/>
  <c r="CG24" i="70"/>
  <c r="CD24" i="70"/>
  <c r="CA24" i="70"/>
  <c r="BX24" i="70"/>
  <c r="BU24" i="70"/>
  <c r="BR24" i="70"/>
  <c r="BO24" i="70"/>
  <c r="BL24" i="70"/>
  <c r="BI24" i="70"/>
  <c r="BF24" i="70"/>
  <c r="BC24" i="70"/>
  <c r="AZ24" i="70"/>
  <c r="AW24" i="70"/>
  <c r="AT24" i="70"/>
  <c r="AQ24" i="70"/>
  <c r="AN24" i="70"/>
  <c r="AK24" i="70"/>
  <c r="AB24" i="70"/>
  <c r="Y24" i="70"/>
  <c r="V24" i="70"/>
  <c r="S24" i="70"/>
  <c r="P24" i="70"/>
  <c r="M24" i="70"/>
  <c r="J24" i="70"/>
  <c r="G24" i="70"/>
  <c r="D24" i="70"/>
  <c r="EL23" i="70"/>
  <c r="EK23" i="70"/>
  <c r="EG23" i="70"/>
  <c r="EI23" i="70" s="1"/>
  <c r="DW23" i="70"/>
  <c r="DT23" i="70"/>
  <c r="DQ23" i="70"/>
  <c r="DN23" i="70"/>
  <c r="DK23" i="70"/>
  <c r="DH23" i="70"/>
  <c r="DE23" i="70"/>
  <c r="DB23" i="70"/>
  <c r="CY23" i="70"/>
  <c r="CV23" i="70"/>
  <c r="CS23" i="70"/>
  <c r="CP23" i="70"/>
  <c r="CM23" i="70"/>
  <c r="CJ23" i="70"/>
  <c r="CG23" i="70"/>
  <c r="CD23" i="70"/>
  <c r="CA23" i="70"/>
  <c r="BX23" i="70"/>
  <c r="BU23" i="70"/>
  <c r="BR23" i="70"/>
  <c r="BO23" i="70"/>
  <c r="BL23" i="70"/>
  <c r="BI23" i="70"/>
  <c r="BF23" i="70"/>
  <c r="BC23" i="70"/>
  <c r="AZ23" i="70"/>
  <c r="AW23" i="70"/>
  <c r="AT23" i="70"/>
  <c r="AQ23" i="70"/>
  <c r="AN23" i="70"/>
  <c r="AK23" i="70"/>
  <c r="AI23" i="70"/>
  <c r="EB23" i="70" s="1"/>
  <c r="AB23" i="70"/>
  <c r="Y23" i="70"/>
  <c r="V23" i="70"/>
  <c r="S23" i="70"/>
  <c r="EH23" i="70" s="1"/>
  <c r="P23" i="70"/>
  <c r="M23" i="70"/>
  <c r="J23" i="70"/>
  <c r="G23" i="70"/>
  <c r="D23" i="70"/>
  <c r="EL22" i="70"/>
  <c r="EG22" i="70"/>
  <c r="EI22" i="70" s="1"/>
  <c r="EB22" i="70"/>
  <c r="DW22" i="70"/>
  <c r="DT22" i="70"/>
  <c r="DQ22" i="70"/>
  <c r="DN22" i="70"/>
  <c r="DK22" i="70"/>
  <c r="DH22" i="70"/>
  <c r="DE22" i="70"/>
  <c r="DB22" i="70"/>
  <c r="CY22" i="70"/>
  <c r="CV22" i="70"/>
  <c r="CS22" i="70"/>
  <c r="CP22" i="70"/>
  <c r="CM22" i="70"/>
  <c r="CJ22" i="70"/>
  <c r="CG22" i="70"/>
  <c r="CD22" i="70"/>
  <c r="CA22" i="70"/>
  <c r="BX22" i="70"/>
  <c r="BU22" i="70"/>
  <c r="BR22" i="70"/>
  <c r="BO22" i="70"/>
  <c r="BL22" i="70"/>
  <c r="BI22" i="70"/>
  <c r="BF22" i="70"/>
  <c r="BC22" i="70"/>
  <c r="AZ22" i="70"/>
  <c r="AW22" i="70"/>
  <c r="AT22" i="70"/>
  <c r="AQ22" i="70"/>
  <c r="AN22" i="70"/>
  <c r="AI22" i="70"/>
  <c r="EK22" i="70" s="1"/>
  <c r="AB22" i="70"/>
  <c r="Y22" i="70"/>
  <c r="V22" i="70"/>
  <c r="S22" i="70"/>
  <c r="P22" i="70"/>
  <c r="M22" i="70"/>
  <c r="J22" i="70"/>
  <c r="G22" i="70"/>
  <c r="D22" i="70"/>
  <c r="EL21" i="70"/>
  <c r="EG21" i="70"/>
  <c r="EI21" i="70" s="1"/>
  <c r="DW21" i="70"/>
  <c r="DT21" i="70"/>
  <c r="DQ21" i="70"/>
  <c r="DN21" i="70"/>
  <c r="DK21" i="70"/>
  <c r="DH21" i="70"/>
  <c r="DE21" i="70"/>
  <c r="DB21" i="70"/>
  <c r="CY21" i="70"/>
  <c r="CV21" i="70"/>
  <c r="CS21" i="70"/>
  <c r="CP21" i="70"/>
  <c r="CM21" i="70"/>
  <c r="CJ21" i="70"/>
  <c r="CG21" i="70"/>
  <c r="CD21" i="70"/>
  <c r="CA21" i="70"/>
  <c r="BX21" i="70"/>
  <c r="BU21" i="70"/>
  <c r="BR21" i="70"/>
  <c r="BO21" i="70"/>
  <c r="BL21" i="70"/>
  <c r="BI21" i="70"/>
  <c r="BF21" i="70"/>
  <c r="BC21" i="70"/>
  <c r="AZ21" i="70"/>
  <c r="AW21" i="70"/>
  <c r="AT21" i="70"/>
  <c r="AQ21" i="70"/>
  <c r="AN21" i="70"/>
  <c r="AI21" i="70"/>
  <c r="EB21" i="70" s="1"/>
  <c r="AB21" i="70"/>
  <c r="Y21" i="70"/>
  <c r="V21" i="70"/>
  <c r="S21" i="70"/>
  <c r="P21" i="70"/>
  <c r="M21" i="70"/>
  <c r="J21" i="70"/>
  <c r="G21" i="70"/>
  <c r="D21" i="70"/>
  <c r="EL20" i="70"/>
  <c r="EG20" i="70"/>
  <c r="EI20" i="70" s="1"/>
  <c r="DW20" i="70"/>
  <c r="DT20" i="70"/>
  <c r="DQ20" i="70"/>
  <c r="DN20" i="70"/>
  <c r="DK20" i="70"/>
  <c r="DH20" i="70"/>
  <c r="DE20" i="70"/>
  <c r="DB20" i="70"/>
  <c r="CY20" i="70"/>
  <c r="CV20" i="70"/>
  <c r="CS20" i="70"/>
  <c r="CP20" i="70"/>
  <c r="CM20" i="70"/>
  <c r="CJ20" i="70"/>
  <c r="CG20" i="70"/>
  <c r="CD20" i="70"/>
  <c r="CA20" i="70"/>
  <c r="BX20" i="70"/>
  <c r="BU20" i="70"/>
  <c r="BR20" i="70"/>
  <c r="BO20" i="70"/>
  <c r="BL20" i="70"/>
  <c r="BI20" i="70"/>
  <c r="BF20" i="70"/>
  <c r="BC20" i="70"/>
  <c r="AZ20" i="70"/>
  <c r="AW20" i="70"/>
  <c r="AT20" i="70"/>
  <c r="AQ20" i="70"/>
  <c r="AN20" i="70"/>
  <c r="AI20" i="70"/>
  <c r="EK20" i="70" s="1"/>
  <c r="AB20" i="70"/>
  <c r="Y20" i="70"/>
  <c r="EH20" i="70" s="1"/>
  <c r="V20" i="70"/>
  <c r="S20" i="70"/>
  <c r="P20" i="70"/>
  <c r="M20" i="70"/>
  <c r="J20" i="70"/>
  <c r="G20" i="70"/>
  <c r="D20" i="70"/>
  <c r="EL19" i="70"/>
  <c r="EG19" i="70"/>
  <c r="EI19" i="70" s="1"/>
  <c r="DW19" i="70"/>
  <c r="DT19" i="70"/>
  <c r="DQ19" i="70"/>
  <c r="DN19" i="70"/>
  <c r="DK19" i="70"/>
  <c r="DH19" i="70"/>
  <c r="DE19" i="70"/>
  <c r="DB19" i="70"/>
  <c r="CY19" i="70"/>
  <c r="CV19" i="70"/>
  <c r="CS19" i="70"/>
  <c r="CP19" i="70"/>
  <c r="CM19" i="70"/>
  <c r="CJ19" i="70"/>
  <c r="CG19" i="70"/>
  <c r="CD19" i="70"/>
  <c r="CA19" i="70"/>
  <c r="BX19" i="70"/>
  <c r="BU19" i="70"/>
  <c r="BR19" i="70"/>
  <c r="BO19" i="70"/>
  <c r="BL19" i="70"/>
  <c r="BI19" i="70"/>
  <c r="BF19" i="70"/>
  <c r="BC19" i="70"/>
  <c r="AZ19" i="70"/>
  <c r="AW19" i="70"/>
  <c r="AT19" i="70"/>
  <c r="AQ19" i="70"/>
  <c r="AL19" i="70"/>
  <c r="AN19" i="70" s="1"/>
  <c r="AI19" i="70"/>
  <c r="EB19" i="70" s="1"/>
  <c r="AB19" i="70"/>
  <c r="Y19" i="70"/>
  <c r="V19" i="70"/>
  <c r="S19" i="70"/>
  <c r="P19" i="70"/>
  <c r="M19" i="70"/>
  <c r="J19" i="70"/>
  <c r="G19" i="70"/>
  <c r="D19" i="70"/>
  <c r="EL18" i="70"/>
  <c r="EK18" i="70"/>
  <c r="EG18" i="70"/>
  <c r="EI18" i="70" s="1"/>
  <c r="DW18" i="70"/>
  <c r="DT18" i="70"/>
  <c r="DQ18" i="70"/>
  <c r="DN18" i="70"/>
  <c r="DK18" i="70"/>
  <c r="DH18" i="70"/>
  <c r="DE18" i="70"/>
  <c r="DB18" i="70"/>
  <c r="CY18" i="70"/>
  <c r="CV18" i="70"/>
  <c r="CS18" i="70"/>
  <c r="CP18" i="70"/>
  <c r="CM18" i="70"/>
  <c r="CJ18" i="70"/>
  <c r="CG18" i="70"/>
  <c r="CD18" i="70"/>
  <c r="CA18" i="70"/>
  <c r="BX18" i="70"/>
  <c r="BU18" i="70"/>
  <c r="BR18" i="70"/>
  <c r="BO18" i="70"/>
  <c r="BL18" i="70"/>
  <c r="BI18" i="70"/>
  <c r="BF18" i="70"/>
  <c r="BC18" i="70"/>
  <c r="AZ18" i="70"/>
  <c r="AW18" i="70"/>
  <c r="AT18" i="70"/>
  <c r="AQ18" i="70"/>
  <c r="AN18" i="70"/>
  <c r="AL18" i="70"/>
  <c r="EB18" i="70" s="1"/>
  <c r="AI18" i="70"/>
  <c r="AK18" i="70" s="1"/>
  <c r="AB18" i="70"/>
  <c r="Y18" i="70"/>
  <c r="V18" i="70"/>
  <c r="S18" i="70"/>
  <c r="EH18" i="70" s="1"/>
  <c r="P18" i="70"/>
  <c r="M18" i="70"/>
  <c r="J18" i="70"/>
  <c r="G18" i="70"/>
  <c r="D18" i="70"/>
  <c r="ED18" i="70" s="1"/>
  <c r="EL17" i="70"/>
  <c r="EG17" i="70"/>
  <c r="EI17" i="70" s="1"/>
  <c r="DW17" i="70"/>
  <c r="DT17" i="70"/>
  <c r="DQ17" i="70"/>
  <c r="DN17" i="70"/>
  <c r="DK17" i="70"/>
  <c r="DH17" i="70"/>
  <c r="DE17" i="70"/>
  <c r="DB17" i="70"/>
  <c r="CY17" i="70"/>
  <c r="CV17" i="70"/>
  <c r="CS17" i="70"/>
  <c r="CP17" i="70"/>
  <c r="CM17" i="70"/>
  <c r="CJ17" i="70"/>
  <c r="CG17" i="70"/>
  <c r="CD17" i="70"/>
  <c r="CA17" i="70"/>
  <c r="BX17" i="70"/>
  <c r="BU17" i="70"/>
  <c r="BR17" i="70"/>
  <c r="BO17" i="70"/>
  <c r="BL17" i="70"/>
  <c r="BI17" i="70"/>
  <c r="BF17" i="70"/>
  <c r="BC17" i="70"/>
  <c r="AZ17" i="70"/>
  <c r="AW17" i="70"/>
  <c r="AT17" i="70"/>
  <c r="AQ17" i="70"/>
  <c r="AL17" i="70"/>
  <c r="AN17" i="70" s="1"/>
  <c r="AI17" i="70"/>
  <c r="EB17" i="70" s="1"/>
  <c r="AB17" i="70"/>
  <c r="Y17" i="70"/>
  <c r="V17" i="70"/>
  <c r="EH17" i="70" s="1"/>
  <c r="S17" i="70"/>
  <c r="P17" i="70"/>
  <c r="M17" i="70"/>
  <c r="J17" i="70"/>
  <c r="G17" i="70"/>
  <c r="D17" i="70"/>
  <c r="EL16" i="70"/>
  <c r="EK16" i="70"/>
  <c r="EG16" i="70"/>
  <c r="EI16" i="70" s="1"/>
  <c r="DW16" i="70"/>
  <c r="DT16" i="70"/>
  <c r="DQ16" i="70"/>
  <c r="DN16" i="70"/>
  <c r="DK16" i="70"/>
  <c r="DH16" i="70"/>
  <c r="DE16" i="70"/>
  <c r="DB16" i="70"/>
  <c r="CY16" i="70"/>
  <c r="CV16" i="70"/>
  <c r="CS16" i="70"/>
  <c r="CP16" i="70"/>
  <c r="CM16" i="70"/>
  <c r="CJ16" i="70"/>
  <c r="CG16" i="70"/>
  <c r="CD16" i="70"/>
  <c r="CA16" i="70"/>
  <c r="BX16" i="70"/>
  <c r="BU16" i="70"/>
  <c r="BR16" i="70"/>
  <c r="BO16" i="70"/>
  <c r="BL16" i="70"/>
  <c r="BI16" i="70"/>
  <c r="BF16" i="70"/>
  <c r="BC16" i="70"/>
  <c r="AZ16" i="70"/>
  <c r="AW16" i="70"/>
  <c r="AT16" i="70"/>
  <c r="AQ16" i="70"/>
  <c r="AN16" i="70"/>
  <c r="AL16" i="70"/>
  <c r="EB16" i="70" s="1"/>
  <c r="AI16" i="70"/>
  <c r="AK16" i="70" s="1"/>
  <c r="AB16" i="70"/>
  <c r="Y16" i="70"/>
  <c r="V16" i="70"/>
  <c r="S16" i="70"/>
  <c r="EH16" i="70" s="1"/>
  <c r="P16" i="70"/>
  <c r="M16" i="70"/>
  <c r="J16" i="70"/>
  <c r="G16" i="70"/>
  <c r="D16" i="70"/>
  <c r="EL15" i="70"/>
  <c r="EG15" i="70"/>
  <c r="EI15" i="70" s="1"/>
  <c r="DW15" i="70"/>
  <c r="DT15" i="70"/>
  <c r="DQ15" i="70"/>
  <c r="DN15" i="70"/>
  <c r="DK15" i="70"/>
  <c r="DH15" i="70"/>
  <c r="DE15" i="70"/>
  <c r="DB15" i="70"/>
  <c r="CY15" i="70"/>
  <c r="CV15" i="70"/>
  <c r="CS15" i="70"/>
  <c r="CP15" i="70"/>
  <c r="CM15" i="70"/>
  <c r="CJ15" i="70"/>
  <c r="CG15" i="70"/>
  <c r="CD15" i="70"/>
  <c r="CA15" i="70"/>
  <c r="BX15" i="70"/>
  <c r="BU15" i="70"/>
  <c r="BR15" i="70"/>
  <c r="BO15" i="70"/>
  <c r="BL15" i="70"/>
  <c r="BI15" i="70"/>
  <c r="BF15" i="70"/>
  <c r="BC15" i="70"/>
  <c r="AZ15" i="70"/>
  <c r="AW15" i="70"/>
  <c r="AT15" i="70"/>
  <c r="AQ15" i="70"/>
  <c r="AL15" i="70"/>
  <c r="AN15" i="70" s="1"/>
  <c r="AI15" i="70"/>
  <c r="EB15" i="70" s="1"/>
  <c r="AB15" i="70"/>
  <c r="Y15" i="70"/>
  <c r="V15" i="70"/>
  <c r="S15" i="70"/>
  <c r="P15" i="70"/>
  <c r="M15" i="70"/>
  <c r="J15" i="70"/>
  <c r="G15" i="70"/>
  <c r="D15" i="70"/>
  <c r="EL14" i="70"/>
  <c r="EK14" i="70"/>
  <c r="EI14" i="70"/>
  <c r="EG14" i="70"/>
  <c r="DW14" i="70"/>
  <c r="DT14" i="70"/>
  <c r="DQ14" i="70"/>
  <c r="DN14" i="70"/>
  <c r="DK14" i="70"/>
  <c r="DH14" i="70"/>
  <c r="DE14" i="70"/>
  <c r="DB14" i="70"/>
  <c r="CY14" i="70"/>
  <c r="CV14" i="70"/>
  <c r="CS14" i="70"/>
  <c r="CP14" i="70"/>
  <c r="CM14" i="70"/>
  <c r="CJ14" i="70"/>
  <c r="CG14" i="70"/>
  <c r="CD14" i="70"/>
  <c r="CA14" i="70"/>
  <c r="BX14" i="70"/>
  <c r="BU14" i="70"/>
  <c r="BR14" i="70"/>
  <c r="BO14" i="70"/>
  <c r="BL14" i="70"/>
  <c r="BI14" i="70"/>
  <c r="BF14" i="70"/>
  <c r="BC14" i="70"/>
  <c r="AZ14" i="70"/>
  <c r="AW14" i="70"/>
  <c r="AT14" i="70"/>
  <c r="AQ14" i="70"/>
  <c r="AN14" i="70"/>
  <c r="AL14" i="70"/>
  <c r="EB14" i="70" s="1"/>
  <c r="AI14" i="70"/>
  <c r="AK14" i="70" s="1"/>
  <c r="AB14" i="70"/>
  <c r="Y14" i="70"/>
  <c r="V14" i="70"/>
  <c r="S14" i="70"/>
  <c r="P14" i="70"/>
  <c r="M14" i="70"/>
  <c r="J14" i="70"/>
  <c r="G14" i="70"/>
  <c r="D14" i="70"/>
  <c r="EL13" i="70"/>
  <c r="EG13" i="70"/>
  <c r="EI13" i="70" s="1"/>
  <c r="DW13" i="70"/>
  <c r="DT13" i="70"/>
  <c r="DQ13" i="70"/>
  <c r="DN13" i="70"/>
  <c r="DK13" i="70"/>
  <c r="DH13" i="70"/>
  <c r="DE13" i="70"/>
  <c r="DB13" i="70"/>
  <c r="CY13" i="70"/>
  <c r="CV13" i="70"/>
  <c r="CS13" i="70"/>
  <c r="CP13" i="70"/>
  <c r="CM13" i="70"/>
  <c r="CJ13" i="70"/>
  <c r="CG13" i="70"/>
  <c r="CD13" i="70"/>
  <c r="CA13" i="70"/>
  <c r="BX13" i="70"/>
  <c r="BU13" i="70"/>
  <c r="BR13" i="70"/>
  <c r="BO13" i="70"/>
  <c r="BL13" i="70"/>
  <c r="BI13" i="70"/>
  <c r="BF13" i="70"/>
  <c r="BC13" i="70"/>
  <c r="AZ13" i="70"/>
  <c r="AW13" i="70"/>
  <c r="AT13" i="70"/>
  <c r="AQ13" i="70"/>
  <c r="AL13" i="70"/>
  <c r="AN13" i="70" s="1"/>
  <c r="AI13" i="70"/>
  <c r="EB13" i="70" s="1"/>
  <c r="AB13" i="70"/>
  <c r="Y13" i="70"/>
  <c r="V13" i="70"/>
  <c r="S13" i="70"/>
  <c r="P13" i="70"/>
  <c r="M13" i="70"/>
  <c r="J13" i="70"/>
  <c r="G13" i="70"/>
  <c r="D13" i="70"/>
  <c r="EL12" i="70"/>
  <c r="EK12" i="70"/>
  <c r="EG12" i="70"/>
  <c r="EI12" i="70" s="1"/>
  <c r="DW12" i="70"/>
  <c r="DT12" i="70"/>
  <c r="DQ12" i="70"/>
  <c r="DN12" i="70"/>
  <c r="DK12" i="70"/>
  <c r="DH12" i="70"/>
  <c r="DE12" i="70"/>
  <c r="DB12" i="70"/>
  <c r="CY12" i="70"/>
  <c r="CV12" i="70"/>
  <c r="CS12" i="70"/>
  <c r="CP12" i="70"/>
  <c r="CM12" i="70"/>
  <c r="CJ12" i="70"/>
  <c r="CG12" i="70"/>
  <c r="CD12" i="70"/>
  <c r="CA12" i="70"/>
  <c r="BX12" i="70"/>
  <c r="BU12" i="70"/>
  <c r="BR12" i="70"/>
  <c r="BO12" i="70"/>
  <c r="BL12" i="70"/>
  <c r="BI12" i="70"/>
  <c r="BF12" i="70"/>
  <c r="BC12" i="70"/>
  <c r="AZ12" i="70"/>
  <c r="AW12" i="70"/>
  <c r="AT12" i="70"/>
  <c r="AQ12" i="70"/>
  <c r="AN12" i="70"/>
  <c r="AI12" i="70"/>
  <c r="AK12" i="70" s="1"/>
  <c r="AB12" i="70"/>
  <c r="Y12" i="70"/>
  <c r="V12" i="70"/>
  <c r="S12" i="70"/>
  <c r="P12" i="70"/>
  <c r="M12" i="70"/>
  <c r="J12" i="70"/>
  <c r="G12" i="70"/>
  <c r="D12" i="70"/>
  <c r="A12" i="70"/>
  <c r="A13" i="70" s="1"/>
  <c r="A14" i="70" s="1"/>
  <c r="A15" i="70" s="1"/>
  <c r="A16" i="70" s="1"/>
  <c r="A17" i="70" s="1"/>
  <c r="A18" i="70" s="1"/>
  <c r="A19" i="70" s="1"/>
  <c r="A20" i="70" s="1"/>
  <c r="A21" i="70" s="1"/>
  <c r="A22" i="70" s="1"/>
  <c r="A23" i="70" s="1"/>
  <c r="A24" i="70" s="1"/>
  <c r="A25" i="70" s="1"/>
  <c r="A26" i="70" s="1"/>
  <c r="A27" i="70" s="1"/>
  <c r="A28" i="70" s="1"/>
  <c r="A29" i="70" s="1"/>
  <c r="A30" i="70" s="1"/>
  <c r="A31" i="70" s="1"/>
  <c r="A32" i="70" s="1"/>
  <c r="A33" i="70" s="1"/>
  <c r="A34" i="70" s="1"/>
  <c r="A35" i="70" s="1"/>
  <c r="A36" i="70" s="1"/>
  <c r="A37" i="70" s="1"/>
  <c r="A38" i="70" s="1"/>
  <c r="A39" i="70" s="1"/>
  <c r="A40" i="70" s="1"/>
  <c r="EL11" i="70"/>
  <c r="EK11" i="70"/>
  <c r="EI11" i="70"/>
  <c r="EG11" i="70"/>
  <c r="EB11" i="70"/>
  <c r="DW11" i="70"/>
  <c r="DT11" i="70"/>
  <c r="DQ11" i="70"/>
  <c r="DN11" i="70"/>
  <c r="DK11" i="70"/>
  <c r="DH11" i="70"/>
  <c r="DE11" i="70"/>
  <c r="DB11" i="70"/>
  <c r="CY11" i="70"/>
  <c r="CV11" i="70"/>
  <c r="CV42" i="70" s="1"/>
  <c r="CS11" i="70"/>
  <c r="CP11" i="70"/>
  <c r="CM11" i="70"/>
  <c r="CJ11" i="70"/>
  <c r="CG11" i="70"/>
  <c r="CD11" i="70"/>
  <c r="CA11" i="70"/>
  <c r="BX11" i="70"/>
  <c r="BU11" i="70"/>
  <c r="BR11" i="70"/>
  <c r="BO11" i="70"/>
  <c r="BL11" i="70"/>
  <c r="BL42" i="70" s="1"/>
  <c r="BI11" i="70"/>
  <c r="BF11" i="70"/>
  <c r="BC11" i="70"/>
  <c r="AZ11" i="70"/>
  <c r="AW11" i="70"/>
  <c r="AT11" i="70"/>
  <c r="AQ11" i="70"/>
  <c r="AN11" i="70"/>
  <c r="AI11" i="70"/>
  <c r="AK11" i="70" s="1"/>
  <c r="AB11" i="70"/>
  <c r="Y11" i="70"/>
  <c r="V11" i="70"/>
  <c r="V42" i="70" s="1"/>
  <c r="S11" i="70"/>
  <c r="P11" i="70"/>
  <c r="M11" i="70"/>
  <c r="J11" i="70"/>
  <c r="G11" i="70"/>
  <c r="D11" i="70"/>
  <c r="Y42" i="70" l="1"/>
  <c r="EM23" i="70"/>
  <c r="ED30" i="70"/>
  <c r="EE30" i="70" s="1"/>
  <c r="ED32" i="70"/>
  <c r="EE32" i="70" s="1"/>
  <c r="EM35" i="70"/>
  <c r="ED38" i="70"/>
  <c r="EE38" i="70" s="1"/>
  <c r="EM39" i="70"/>
  <c r="DH42" i="70"/>
  <c r="BO42" i="70"/>
  <c r="EM38" i="70"/>
  <c r="EE39" i="70"/>
  <c r="EI2" i="70"/>
  <c r="AQ42" i="70"/>
  <c r="CA42" i="70"/>
  <c r="DK42" i="70"/>
  <c r="EH21" i="70"/>
  <c r="BR42" i="70"/>
  <c r="DB42" i="70"/>
  <c r="ED33" i="70"/>
  <c r="EE33" i="70" s="1"/>
  <c r="D42" i="70"/>
  <c r="AT42" i="70"/>
  <c r="CD42" i="70"/>
  <c r="DN42" i="70"/>
  <c r="EH13" i="70"/>
  <c r="DE42" i="70"/>
  <c r="ED25" i="70"/>
  <c r="EE25" i="70" s="1"/>
  <c r="EC31" i="70"/>
  <c r="EM33" i="70"/>
  <c r="EN33" i="70" s="1"/>
  <c r="EH38" i="70"/>
  <c r="G42" i="70"/>
  <c r="AW42" i="70"/>
  <c r="CG42" i="70"/>
  <c r="M42" i="70"/>
  <c r="EM25" i="70"/>
  <c r="EN25" i="70" s="1"/>
  <c r="EM18" i="70"/>
  <c r="EN18" i="70" s="1"/>
  <c r="ED34" i="70"/>
  <c r="EM34" i="70"/>
  <c r="CY42" i="70"/>
  <c r="J42" i="70"/>
  <c r="AZ42" i="70"/>
  <c r="DT42" i="70"/>
  <c r="EM14" i="70"/>
  <c r="EN14" i="70" s="1"/>
  <c r="EH22" i="70"/>
  <c r="ED28" i="70"/>
  <c r="EE28" i="70" s="1"/>
  <c r="CM42" i="70"/>
  <c r="EM27" i="70"/>
  <c r="ED24" i="70"/>
  <c r="EE24" i="70" s="1"/>
  <c r="EM30" i="70"/>
  <c r="EN30" i="70" s="1"/>
  <c r="CJ42" i="70"/>
  <c r="EH12" i="70"/>
  <c r="EH15" i="70"/>
  <c r="ED16" i="70"/>
  <c r="EE16" i="70" s="1"/>
  <c r="BU42" i="70"/>
  <c r="EM32" i="70"/>
  <c r="EN32" i="70" s="1"/>
  <c r="EC33" i="70"/>
  <c r="ED36" i="70"/>
  <c r="EE36" i="70" s="1"/>
  <c r="EN38" i="70"/>
  <c r="DW42" i="70"/>
  <c r="AB42" i="70"/>
  <c r="P42" i="70"/>
  <c r="BF42" i="70"/>
  <c r="CP42" i="70"/>
  <c r="EC11" i="70"/>
  <c r="EM24" i="70"/>
  <c r="EN24" i="70" s="1"/>
  <c r="EC25" i="70"/>
  <c r="ED27" i="70"/>
  <c r="EE27" i="70" s="1"/>
  <c r="EM28" i="70"/>
  <c r="ED31" i="70"/>
  <c r="EE31" i="70" s="1"/>
  <c r="EM36" i="70"/>
  <c r="EN36" i="70" s="1"/>
  <c r="BC42" i="70"/>
  <c r="EH19" i="70"/>
  <c r="BX42" i="70"/>
  <c r="S42" i="70"/>
  <c r="BI42" i="70"/>
  <c r="CS42" i="70"/>
  <c r="EH14" i="70"/>
  <c r="EM16" i="70"/>
  <c r="EN16" i="70" s="1"/>
  <c r="ED23" i="70"/>
  <c r="EE23" i="70" s="1"/>
  <c r="EH29" i="70"/>
  <c r="EM31" i="70"/>
  <c r="ED39" i="70"/>
  <c r="EH41" i="70"/>
  <c r="EN2" i="70"/>
  <c r="EP2" i="70" s="1"/>
  <c r="ED17" i="70"/>
  <c r="EE17" i="70" s="1"/>
  <c r="EC29" i="70"/>
  <c r="AN42" i="70"/>
  <c r="ED12" i="70"/>
  <c r="EE14" i="70"/>
  <c r="EC14" i="70"/>
  <c r="ED19" i="70"/>
  <c r="EE19" i="70" s="1"/>
  <c r="EN28" i="70"/>
  <c r="EM12" i="70"/>
  <c r="EN12" i="70" s="1"/>
  <c r="EM22" i="70"/>
  <c r="EN22" i="70" s="1"/>
  <c r="EC26" i="70"/>
  <c r="ED14" i="70"/>
  <c r="EN27" i="70"/>
  <c r="EE34" i="70"/>
  <c r="EC40" i="70"/>
  <c r="EM11" i="70"/>
  <c r="EC16" i="70"/>
  <c r="EM17" i="70"/>
  <c r="EN23" i="70"/>
  <c r="EN35" i="70"/>
  <c r="EN39" i="70"/>
  <c r="EN11" i="70"/>
  <c r="EC23" i="70"/>
  <c r="EE18" i="70"/>
  <c r="EC18" i="70"/>
  <c r="EM19" i="70"/>
  <c r="EM40" i="70"/>
  <c r="EN40" i="70" s="1"/>
  <c r="ED11" i="70"/>
  <c r="EE11" i="70" s="1"/>
  <c r="AK21" i="70"/>
  <c r="ED21" i="70" s="1"/>
  <c r="EE21" i="70" s="1"/>
  <c r="EC27" i="70"/>
  <c r="EC38" i="70"/>
  <c r="EI5" i="70"/>
  <c r="AK13" i="70"/>
  <c r="EM13" i="70" s="1"/>
  <c r="AK15" i="70"/>
  <c r="ED15" i="70" s="1"/>
  <c r="EE15" i="70" s="1"/>
  <c r="AK17" i="70"/>
  <c r="AK19" i="70"/>
  <c r="EC22" i="70"/>
  <c r="EK26" i="70"/>
  <c r="EK37" i="70"/>
  <c r="EC37" i="70" s="1"/>
  <c r="ED35" i="70"/>
  <c r="EE35" i="70" s="1"/>
  <c r="EB20" i="70"/>
  <c r="EK21" i="70"/>
  <c r="EC21" i="70" s="1"/>
  <c r="EH24" i="70"/>
  <c r="AK29" i="70"/>
  <c r="ED29" i="70" s="1"/>
  <c r="EE29" i="70" s="1"/>
  <c r="EH32" i="70"/>
  <c r="AK40" i="70"/>
  <c r="ED40" i="70" s="1"/>
  <c r="EE40" i="70" s="1"/>
  <c r="EB41" i="70"/>
  <c r="EH11" i="70"/>
  <c r="EB12" i="70"/>
  <c r="EN31" i="70"/>
  <c r="EN34" i="70"/>
  <c r="AK26" i="70"/>
  <c r="EM26" i="70" s="1"/>
  <c r="EK13" i="70"/>
  <c r="EC13" i="70" s="1"/>
  <c r="EK15" i="70"/>
  <c r="EK17" i="70"/>
  <c r="EN17" i="70" s="1"/>
  <c r="EK19" i="70"/>
  <c r="EN19" i="70" s="1"/>
  <c r="DQ42" i="70"/>
  <c r="EI3" i="70"/>
  <c r="EI4" i="70" s="1"/>
  <c r="AK22" i="70"/>
  <c r="ED22" i="70" s="1"/>
  <c r="EE22" i="70" s="1"/>
  <c r="EC28" i="70"/>
  <c r="EC39" i="70"/>
  <c r="AK37" i="70"/>
  <c r="EM37" i="70" s="1"/>
  <c r="AK20" i="70"/>
  <c r="EM20" i="70" s="1"/>
  <c r="EN20" i="70" s="1"/>
  <c r="AK41" i="70"/>
  <c r="ED41" i="70" s="1"/>
  <c r="EE3" i="70" l="1"/>
  <c r="ED26" i="70"/>
  <c r="EE26" i="70" s="1"/>
  <c r="ED20" i="70"/>
  <c r="G5" i="70"/>
  <c r="EM21" i="70"/>
  <c r="EN21" i="70" s="1"/>
  <c r="EM15" i="70"/>
  <c r="EN15" i="70" s="1"/>
  <c r="EN13" i="70"/>
  <c r="EM29" i="70"/>
  <c r="EN29" i="70" s="1"/>
  <c r="ED37" i="70"/>
  <c r="EE37" i="70" s="1"/>
  <c r="EM41" i="70"/>
  <c r="EN41" i="70" s="1"/>
  <c r="EC15" i="70"/>
  <c r="AK42" i="70"/>
  <c r="EE20" i="70"/>
  <c r="EC20" i="70"/>
  <c r="EN5" i="70"/>
  <c r="EE12" i="70"/>
  <c r="EC12" i="70"/>
  <c r="EN3" i="70"/>
  <c r="EN26" i="70"/>
  <c r="EC19" i="70"/>
  <c r="EN37" i="70"/>
  <c r="EH42" i="70"/>
  <c r="EE5" i="70"/>
  <c r="G7" i="70" s="1"/>
  <c r="EE2" i="70"/>
  <c r="EQ2" i="70" s="1"/>
  <c r="G4" i="70" s="1"/>
  <c r="EE41" i="70"/>
  <c r="EC41" i="70"/>
  <c r="ED13" i="70"/>
  <c r="EE13" i="70" s="1"/>
  <c r="EC17" i="70"/>
  <c r="EE4" i="70" l="1"/>
  <c r="G6" i="70" s="1"/>
  <c r="ED42" i="70"/>
  <c r="EM42" i="70"/>
  <c r="EN4" i="70"/>
  <c r="AH41" i="71"/>
  <c r="AE41" i="71"/>
  <c r="EL40" i="71"/>
  <c r="EK40" i="71"/>
  <c r="EG40" i="71"/>
  <c r="EI40" i="71" s="1"/>
  <c r="DW40" i="71"/>
  <c r="DT40" i="71"/>
  <c r="DQ40" i="71"/>
  <c r="DN40" i="71"/>
  <c r="DK40" i="71"/>
  <c r="DH40" i="71"/>
  <c r="DE40" i="71"/>
  <c r="DB40" i="71"/>
  <c r="CY40" i="71"/>
  <c r="CV40" i="71"/>
  <c r="CS40" i="71"/>
  <c r="CP40" i="71"/>
  <c r="CM40" i="71"/>
  <c r="CJ40" i="71"/>
  <c r="CG40" i="71"/>
  <c r="CD40" i="71"/>
  <c r="CA40" i="71"/>
  <c r="BX40" i="71"/>
  <c r="BU40" i="71"/>
  <c r="BR40" i="71"/>
  <c r="BO40" i="71"/>
  <c r="BL40" i="71"/>
  <c r="BI40" i="71"/>
  <c r="BF40" i="71"/>
  <c r="BC40" i="71"/>
  <c r="AZ40" i="71"/>
  <c r="AW40" i="71"/>
  <c r="AT40" i="71"/>
  <c r="AQ40" i="71"/>
  <c r="AN40" i="71"/>
  <c r="AI40" i="71"/>
  <c r="AK40" i="71" s="1"/>
  <c r="AB40" i="71"/>
  <c r="Y40" i="71"/>
  <c r="V40" i="71"/>
  <c r="S40" i="71"/>
  <c r="EH40" i="71" s="1"/>
  <c r="P40" i="71"/>
  <c r="M40" i="71"/>
  <c r="J40" i="71"/>
  <c r="G40" i="71"/>
  <c r="D40" i="71"/>
  <c r="EL39" i="71"/>
  <c r="EK39" i="71"/>
  <c r="EG39" i="71"/>
  <c r="EI39" i="71" s="1"/>
  <c r="EB39" i="71"/>
  <c r="DW39" i="71"/>
  <c r="DT39" i="71"/>
  <c r="DQ39" i="71"/>
  <c r="DN39" i="71"/>
  <c r="DK39" i="71"/>
  <c r="DH39" i="71"/>
  <c r="DE39" i="71"/>
  <c r="DB39" i="71"/>
  <c r="CY39" i="71"/>
  <c r="CV39" i="71"/>
  <c r="CS39" i="71"/>
  <c r="CP39" i="71"/>
  <c r="CM39" i="71"/>
  <c r="CJ39" i="71"/>
  <c r="CG39" i="71"/>
  <c r="CD39" i="71"/>
  <c r="CA39" i="71"/>
  <c r="BX39" i="71"/>
  <c r="BU39" i="71"/>
  <c r="BR39" i="71"/>
  <c r="BO39" i="71"/>
  <c r="BL39" i="71"/>
  <c r="BI39" i="71"/>
  <c r="BF39" i="71"/>
  <c r="BC39" i="71"/>
  <c r="AZ39" i="71"/>
  <c r="AW39" i="71"/>
  <c r="AT39" i="71"/>
  <c r="AQ39" i="71"/>
  <c r="AN39" i="71"/>
  <c r="AI39" i="71"/>
  <c r="AK39" i="71" s="1"/>
  <c r="AB39" i="71"/>
  <c r="Y39" i="71"/>
  <c r="V39" i="71"/>
  <c r="S39" i="71"/>
  <c r="P39" i="71"/>
  <c r="M39" i="71"/>
  <c r="J39" i="71"/>
  <c r="G39" i="71"/>
  <c r="D39" i="71"/>
  <c r="EL38" i="71"/>
  <c r="EG38" i="71"/>
  <c r="EI38" i="71" s="1"/>
  <c r="DW38" i="71"/>
  <c r="DT38" i="71"/>
  <c r="DQ38" i="71"/>
  <c r="DN38" i="71"/>
  <c r="DK38" i="71"/>
  <c r="DH38" i="71"/>
  <c r="DE38" i="71"/>
  <c r="DB38" i="71"/>
  <c r="CY38" i="71"/>
  <c r="CV38" i="71"/>
  <c r="CS38" i="71"/>
  <c r="CP38" i="71"/>
  <c r="CM38" i="71"/>
  <c r="CJ38" i="71"/>
  <c r="CG38" i="71"/>
  <c r="CD38" i="71"/>
  <c r="CA38" i="71"/>
  <c r="BX38" i="71"/>
  <c r="BU38" i="71"/>
  <c r="BR38" i="71"/>
  <c r="BO38" i="71"/>
  <c r="BL38" i="71"/>
  <c r="BI38" i="71"/>
  <c r="BF38" i="71"/>
  <c r="BC38" i="71"/>
  <c r="AZ38" i="71"/>
  <c r="AW38" i="71"/>
  <c r="AT38" i="71"/>
  <c r="AQ38" i="71"/>
  <c r="AN38" i="71"/>
  <c r="AI38" i="71"/>
  <c r="AB38" i="71"/>
  <c r="Y38" i="71"/>
  <c r="V38" i="71"/>
  <c r="S38" i="71"/>
  <c r="EH38" i="71" s="1"/>
  <c r="P38" i="71"/>
  <c r="M38" i="71"/>
  <c r="J38" i="71"/>
  <c r="G38" i="71"/>
  <c r="D38" i="71"/>
  <c r="EL37" i="71"/>
  <c r="EK37" i="71"/>
  <c r="EG37" i="71"/>
  <c r="EI37" i="71" s="1"/>
  <c r="EB37" i="71"/>
  <c r="EC37" i="71" s="1"/>
  <c r="DW37" i="71"/>
  <c r="DT37" i="71"/>
  <c r="DQ37" i="71"/>
  <c r="DN37" i="71"/>
  <c r="DK37" i="71"/>
  <c r="DH37" i="71"/>
  <c r="DE37" i="71"/>
  <c r="DB37" i="71"/>
  <c r="CY37" i="71"/>
  <c r="CV37" i="71"/>
  <c r="CS37" i="71"/>
  <c r="CP37" i="71"/>
  <c r="CM37" i="71"/>
  <c r="CJ37" i="71"/>
  <c r="CG37" i="71"/>
  <c r="CD37" i="71"/>
  <c r="CA37" i="71"/>
  <c r="BX37" i="71"/>
  <c r="BU37" i="71"/>
  <c r="BR37" i="71"/>
  <c r="BO37" i="71"/>
  <c r="BL37" i="71"/>
  <c r="BI37" i="71"/>
  <c r="BF37" i="71"/>
  <c r="BC37" i="71"/>
  <c r="AZ37" i="71"/>
  <c r="AW37" i="71"/>
  <c r="AT37" i="71"/>
  <c r="AQ37" i="71"/>
  <c r="AN37" i="71"/>
  <c r="AK37" i="71"/>
  <c r="AI37" i="71"/>
  <c r="AB37" i="71"/>
  <c r="Y37" i="71"/>
  <c r="V37" i="71"/>
  <c r="S37" i="71"/>
  <c r="EH37" i="71" s="1"/>
  <c r="P37" i="71"/>
  <c r="M37" i="71"/>
  <c r="J37" i="71"/>
  <c r="G37" i="71"/>
  <c r="D37" i="71"/>
  <c r="EL36" i="71"/>
  <c r="EG36" i="71"/>
  <c r="EI36" i="71" s="1"/>
  <c r="DW36" i="71"/>
  <c r="DT36" i="71"/>
  <c r="DQ36" i="71"/>
  <c r="DN36" i="71"/>
  <c r="DK36" i="71"/>
  <c r="DH36" i="71"/>
  <c r="DE36" i="71"/>
  <c r="DB36" i="71"/>
  <c r="CY36" i="71"/>
  <c r="CV36" i="71"/>
  <c r="CS36" i="71"/>
  <c r="CP36" i="71"/>
  <c r="CM36" i="71"/>
  <c r="CJ36" i="71"/>
  <c r="CG36" i="71"/>
  <c r="CD36" i="71"/>
  <c r="CA36" i="71"/>
  <c r="BX36" i="71"/>
  <c r="BU36" i="71"/>
  <c r="BR36" i="71"/>
  <c r="BO36" i="71"/>
  <c r="BL36" i="71"/>
  <c r="BI36" i="71"/>
  <c r="BF36" i="71"/>
  <c r="BC36" i="71"/>
  <c r="AZ36" i="71"/>
  <c r="AW36" i="71"/>
  <c r="AT36" i="71"/>
  <c r="AQ36" i="71"/>
  <c r="AN36" i="71"/>
  <c r="AI36" i="71"/>
  <c r="AB36" i="71"/>
  <c r="Y36" i="71"/>
  <c r="V36" i="71"/>
  <c r="S36" i="71"/>
  <c r="P36" i="71"/>
  <c r="M36" i="71"/>
  <c r="J36" i="71"/>
  <c r="G36" i="71"/>
  <c r="D36" i="71"/>
  <c r="EL35" i="71"/>
  <c r="EK35" i="71"/>
  <c r="EG35" i="71"/>
  <c r="EI35" i="71" s="1"/>
  <c r="EB35" i="71"/>
  <c r="DW35" i="71"/>
  <c r="DT35" i="71"/>
  <c r="DQ35" i="71"/>
  <c r="DN35" i="71"/>
  <c r="DK35" i="71"/>
  <c r="DH35" i="71"/>
  <c r="DE35" i="71"/>
  <c r="DB35" i="71"/>
  <c r="CY35" i="71"/>
  <c r="CV35" i="71"/>
  <c r="CS35" i="71"/>
  <c r="CP35" i="71"/>
  <c r="CM35" i="71"/>
  <c r="CJ35" i="71"/>
  <c r="CG35" i="71"/>
  <c r="CD35" i="71"/>
  <c r="CA35" i="71"/>
  <c r="BX35" i="71"/>
  <c r="BU35" i="71"/>
  <c r="BR35" i="71"/>
  <c r="BO35" i="71"/>
  <c r="BL35" i="71"/>
  <c r="BI35" i="71"/>
  <c r="BF35" i="71"/>
  <c r="BC35" i="71"/>
  <c r="AZ35" i="71"/>
  <c r="AW35" i="71"/>
  <c r="AT35" i="71"/>
  <c r="AQ35" i="71"/>
  <c r="AN35" i="71"/>
  <c r="AI35" i="71"/>
  <c r="AK35" i="71" s="1"/>
  <c r="AB35" i="71"/>
  <c r="Y35" i="71"/>
  <c r="V35" i="71"/>
  <c r="S35" i="71"/>
  <c r="EH35" i="71" s="1"/>
  <c r="P35" i="71"/>
  <c r="M35" i="71"/>
  <c r="J35" i="71"/>
  <c r="G35" i="71"/>
  <c r="D35" i="71"/>
  <c r="EL34" i="71"/>
  <c r="EG34" i="71"/>
  <c r="EI34" i="71" s="1"/>
  <c r="EB34" i="71"/>
  <c r="DW34" i="71"/>
  <c r="DT34" i="71"/>
  <c r="DQ34" i="71"/>
  <c r="DN34" i="71"/>
  <c r="DK34" i="71"/>
  <c r="DH34" i="71"/>
  <c r="DE34" i="71"/>
  <c r="DB34" i="71"/>
  <c r="CY34" i="71"/>
  <c r="CV34" i="71"/>
  <c r="CS34" i="71"/>
  <c r="CP34" i="71"/>
  <c r="CM34" i="71"/>
  <c r="CJ34" i="71"/>
  <c r="CG34" i="71"/>
  <c r="CD34" i="71"/>
  <c r="CA34" i="71"/>
  <c r="BX34" i="71"/>
  <c r="BU34" i="71"/>
  <c r="BR34" i="71"/>
  <c r="BO34" i="71"/>
  <c r="BL34" i="71"/>
  <c r="BI34" i="71"/>
  <c r="BF34" i="71"/>
  <c r="BC34" i="71"/>
  <c r="AZ34" i="71"/>
  <c r="AW34" i="71"/>
  <c r="AT34" i="71"/>
  <c r="AQ34" i="71"/>
  <c r="AN34" i="71"/>
  <c r="AI34" i="71"/>
  <c r="EK34" i="71" s="1"/>
  <c r="AB34" i="71"/>
  <c r="Y34" i="71"/>
  <c r="V34" i="71"/>
  <c r="S34" i="71"/>
  <c r="P34" i="71"/>
  <c r="M34" i="71"/>
  <c r="J34" i="71"/>
  <c r="G34" i="71"/>
  <c r="D34" i="71"/>
  <c r="EL33" i="71"/>
  <c r="EK33" i="71"/>
  <c r="EI33" i="71"/>
  <c r="EG33" i="71"/>
  <c r="EB33" i="71"/>
  <c r="DW33" i="71"/>
  <c r="DT33" i="71"/>
  <c r="DQ33" i="71"/>
  <c r="DN33" i="71"/>
  <c r="DK33" i="71"/>
  <c r="DH33" i="71"/>
  <c r="DE33" i="71"/>
  <c r="DB33" i="71"/>
  <c r="CY33" i="71"/>
  <c r="CV33" i="71"/>
  <c r="CS33" i="71"/>
  <c r="CP33" i="71"/>
  <c r="CM33" i="71"/>
  <c r="CJ33" i="71"/>
  <c r="CG33" i="71"/>
  <c r="CD33" i="71"/>
  <c r="CA33" i="71"/>
  <c r="BX33" i="71"/>
  <c r="BU33" i="71"/>
  <c r="BR33" i="71"/>
  <c r="BO33" i="71"/>
  <c r="BL33" i="71"/>
  <c r="BI33" i="71"/>
  <c r="BF33" i="71"/>
  <c r="BC33" i="71"/>
  <c r="AZ33" i="71"/>
  <c r="AW33" i="71"/>
  <c r="AT33" i="71"/>
  <c r="AQ33" i="71"/>
  <c r="AN33" i="71"/>
  <c r="AK33" i="71"/>
  <c r="AI33" i="71"/>
  <c r="AB33" i="71"/>
  <c r="Y33" i="71"/>
  <c r="V33" i="71"/>
  <c r="EH33" i="71" s="1"/>
  <c r="S33" i="71"/>
  <c r="P33" i="71"/>
  <c r="M33" i="71"/>
  <c r="J33" i="71"/>
  <c r="G33" i="71"/>
  <c r="D33" i="71"/>
  <c r="EL32" i="71"/>
  <c r="EK32" i="71"/>
  <c r="EG32" i="71"/>
  <c r="EI32" i="71" s="1"/>
  <c r="EB32" i="71"/>
  <c r="DW32" i="71"/>
  <c r="DT32" i="71"/>
  <c r="DQ32" i="71"/>
  <c r="DN32" i="71"/>
  <c r="DK32" i="71"/>
  <c r="DH32" i="71"/>
  <c r="DE32" i="71"/>
  <c r="DB32" i="71"/>
  <c r="CY32" i="71"/>
  <c r="CV32" i="71"/>
  <c r="CS32" i="71"/>
  <c r="CP32" i="71"/>
  <c r="CM32" i="71"/>
  <c r="CJ32" i="71"/>
  <c r="CG32" i="71"/>
  <c r="CD32" i="71"/>
  <c r="CA32" i="71"/>
  <c r="BX32" i="71"/>
  <c r="BU32" i="71"/>
  <c r="BR32" i="71"/>
  <c r="BO32" i="71"/>
  <c r="BL32" i="71"/>
  <c r="BI32" i="71"/>
  <c r="BF32" i="71"/>
  <c r="BC32" i="71"/>
  <c r="AZ32" i="71"/>
  <c r="AW32" i="71"/>
  <c r="AT32" i="71"/>
  <c r="AQ32" i="71"/>
  <c r="AN32" i="71"/>
  <c r="AK32" i="71"/>
  <c r="AI32" i="71"/>
  <c r="AB32" i="71"/>
  <c r="Y32" i="71"/>
  <c r="V32" i="71"/>
  <c r="S32" i="71"/>
  <c r="P32" i="71"/>
  <c r="M32" i="71"/>
  <c r="J32" i="71"/>
  <c r="G32" i="71"/>
  <c r="D32" i="71"/>
  <c r="EL31" i="71"/>
  <c r="EG31" i="71"/>
  <c r="EI31" i="71" s="1"/>
  <c r="DW31" i="71"/>
  <c r="DT31" i="71"/>
  <c r="DQ31" i="71"/>
  <c r="DN31" i="71"/>
  <c r="DK31" i="71"/>
  <c r="DH31" i="71"/>
  <c r="DE31" i="71"/>
  <c r="DB31" i="71"/>
  <c r="CY31" i="71"/>
  <c r="CV31" i="71"/>
  <c r="CS31" i="71"/>
  <c r="CP31" i="71"/>
  <c r="CM31" i="71"/>
  <c r="CJ31" i="71"/>
  <c r="CG31" i="71"/>
  <c r="CD31" i="71"/>
  <c r="CA31" i="71"/>
  <c r="BX31" i="71"/>
  <c r="BU31" i="71"/>
  <c r="BR31" i="71"/>
  <c r="BO31" i="71"/>
  <c r="BL31" i="71"/>
  <c r="BI31" i="71"/>
  <c r="BF31" i="71"/>
  <c r="BC31" i="71"/>
  <c r="AZ31" i="71"/>
  <c r="AW31" i="71"/>
  <c r="AT31" i="71"/>
  <c r="AQ31" i="71"/>
  <c r="AN31" i="71"/>
  <c r="AI31" i="71"/>
  <c r="AB31" i="71"/>
  <c r="Y31" i="71"/>
  <c r="V31" i="71"/>
  <c r="S31" i="71"/>
  <c r="P31" i="71"/>
  <c r="M31" i="71"/>
  <c r="J31" i="71"/>
  <c r="G31" i="71"/>
  <c r="D31" i="71"/>
  <c r="EL30" i="71"/>
  <c r="EG30" i="71"/>
  <c r="EI30" i="71" s="1"/>
  <c r="EB30" i="71"/>
  <c r="DW30" i="71"/>
  <c r="DT30" i="71"/>
  <c r="DQ30" i="71"/>
  <c r="DN30" i="71"/>
  <c r="DK30" i="71"/>
  <c r="DH30" i="71"/>
  <c r="DE30" i="71"/>
  <c r="DB30" i="71"/>
  <c r="CY30" i="71"/>
  <c r="CV30" i="71"/>
  <c r="CS30" i="71"/>
  <c r="CP30" i="71"/>
  <c r="CM30" i="71"/>
  <c r="CJ30" i="71"/>
  <c r="CG30" i="71"/>
  <c r="CD30" i="71"/>
  <c r="CA30" i="71"/>
  <c r="BX30" i="71"/>
  <c r="BU30" i="71"/>
  <c r="BR30" i="71"/>
  <c r="BO30" i="71"/>
  <c r="BL30" i="71"/>
  <c r="BI30" i="71"/>
  <c r="BF30" i="71"/>
  <c r="BC30" i="71"/>
  <c r="AZ30" i="71"/>
  <c r="AW30" i="71"/>
  <c r="AT30" i="71"/>
  <c r="AQ30" i="71"/>
  <c r="AN30" i="71"/>
  <c r="AI30" i="71"/>
  <c r="EK30" i="71" s="1"/>
  <c r="AB30" i="71"/>
  <c r="Y30" i="71"/>
  <c r="V30" i="71"/>
  <c r="S30" i="71"/>
  <c r="P30" i="71"/>
  <c r="M30" i="71"/>
  <c r="J30" i="71"/>
  <c r="G30" i="71"/>
  <c r="D30" i="71"/>
  <c r="EL29" i="71"/>
  <c r="EG29" i="71"/>
  <c r="EI29" i="71" s="1"/>
  <c r="DW29" i="71"/>
  <c r="DT29" i="71"/>
  <c r="DQ29" i="71"/>
  <c r="DN29" i="71"/>
  <c r="DK29" i="71"/>
  <c r="DH29" i="71"/>
  <c r="DE29" i="71"/>
  <c r="DB29" i="71"/>
  <c r="CY29" i="71"/>
  <c r="CV29" i="71"/>
  <c r="CS29" i="71"/>
  <c r="CP29" i="71"/>
  <c r="CM29" i="71"/>
  <c r="CJ29" i="71"/>
  <c r="CG29" i="71"/>
  <c r="CD29" i="71"/>
  <c r="CA29" i="71"/>
  <c r="BX29" i="71"/>
  <c r="BU29" i="71"/>
  <c r="BR29" i="71"/>
  <c r="BO29" i="71"/>
  <c r="BL29" i="71"/>
  <c r="BI29" i="71"/>
  <c r="BF29" i="71"/>
  <c r="BC29" i="71"/>
  <c r="AZ29" i="71"/>
  <c r="AW29" i="71"/>
  <c r="AT29" i="71"/>
  <c r="AQ29" i="71"/>
  <c r="AN29" i="71"/>
  <c r="AI29" i="71"/>
  <c r="EB29" i="71" s="1"/>
  <c r="AB29" i="71"/>
  <c r="Y29" i="71"/>
  <c r="V29" i="71"/>
  <c r="S29" i="71"/>
  <c r="P29" i="71"/>
  <c r="M29" i="71"/>
  <c r="J29" i="71"/>
  <c r="G29" i="71"/>
  <c r="D29" i="71"/>
  <c r="EL28" i="71"/>
  <c r="EK28" i="71"/>
  <c r="EG28" i="71"/>
  <c r="EI28" i="71" s="1"/>
  <c r="DW28" i="71"/>
  <c r="DT28" i="71"/>
  <c r="DQ28" i="71"/>
  <c r="DN28" i="71"/>
  <c r="DK28" i="71"/>
  <c r="DH28" i="71"/>
  <c r="DE28" i="71"/>
  <c r="DB28" i="71"/>
  <c r="CY28" i="71"/>
  <c r="CV28" i="71"/>
  <c r="CS28" i="71"/>
  <c r="CP28" i="71"/>
  <c r="CM28" i="71"/>
  <c r="CJ28" i="71"/>
  <c r="CG28" i="71"/>
  <c r="CD28" i="71"/>
  <c r="CA28" i="71"/>
  <c r="BX28" i="71"/>
  <c r="BU28" i="71"/>
  <c r="BR28" i="71"/>
  <c r="BO28" i="71"/>
  <c r="BL28" i="71"/>
  <c r="BI28" i="71"/>
  <c r="BF28" i="71"/>
  <c r="BC28" i="71"/>
  <c r="AZ28" i="71"/>
  <c r="AW28" i="71"/>
  <c r="AT28" i="71"/>
  <c r="AQ28" i="71"/>
  <c r="AN28" i="71"/>
  <c r="AI28" i="71"/>
  <c r="AK28" i="71" s="1"/>
  <c r="AB28" i="71"/>
  <c r="Y28" i="71"/>
  <c r="V28" i="71"/>
  <c r="S28" i="71"/>
  <c r="P28" i="71"/>
  <c r="M28" i="71"/>
  <c r="J28" i="71"/>
  <c r="G28" i="71"/>
  <c r="D28" i="71"/>
  <c r="EL27" i="71"/>
  <c r="EK27" i="71"/>
  <c r="EG27" i="71"/>
  <c r="EI27" i="71" s="1"/>
  <c r="EB27" i="71"/>
  <c r="DW27" i="71"/>
  <c r="DT27" i="71"/>
  <c r="DQ27" i="71"/>
  <c r="DN27" i="71"/>
  <c r="DK27" i="71"/>
  <c r="DH27" i="71"/>
  <c r="DE27" i="71"/>
  <c r="DB27" i="71"/>
  <c r="CY27" i="71"/>
  <c r="CV27" i="71"/>
  <c r="CS27" i="71"/>
  <c r="CP27" i="71"/>
  <c r="CM27" i="71"/>
  <c r="CJ27" i="71"/>
  <c r="CG27" i="71"/>
  <c r="CD27" i="71"/>
  <c r="CA27" i="71"/>
  <c r="BX27" i="71"/>
  <c r="BU27" i="71"/>
  <c r="BR27" i="71"/>
  <c r="BO27" i="71"/>
  <c r="BL27" i="71"/>
  <c r="BI27" i="71"/>
  <c r="BF27" i="71"/>
  <c r="BC27" i="71"/>
  <c r="AZ27" i="71"/>
  <c r="AW27" i="71"/>
  <c r="AT27" i="71"/>
  <c r="AQ27" i="71"/>
  <c r="AN27" i="71"/>
  <c r="AI27" i="71"/>
  <c r="AK27" i="71" s="1"/>
  <c r="AB27" i="71"/>
  <c r="Y27" i="71"/>
  <c r="V27" i="71"/>
  <c r="S27" i="71"/>
  <c r="EH27" i="71" s="1"/>
  <c r="P27" i="71"/>
  <c r="M27" i="71"/>
  <c r="J27" i="71"/>
  <c r="G27" i="71"/>
  <c r="D27" i="71"/>
  <c r="EL26" i="71"/>
  <c r="EK26" i="71"/>
  <c r="EG26" i="71"/>
  <c r="EI26" i="71" s="1"/>
  <c r="EB26" i="71"/>
  <c r="DW26" i="71"/>
  <c r="DT26" i="71"/>
  <c r="DQ26" i="71"/>
  <c r="DN26" i="71"/>
  <c r="DK26" i="71"/>
  <c r="DH26" i="71"/>
  <c r="DE26" i="71"/>
  <c r="DB26" i="71"/>
  <c r="CY26" i="71"/>
  <c r="CV26" i="71"/>
  <c r="CS26" i="71"/>
  <c r="CP26" i="71"/>
  <c r="CM26" i="71"/>
  <c r="CJ26" i="71"/>
  <c r="CG26" i="71"/>
  <c r="CD26" i="71"/>
  <c r="CA26" i="71"/>
  <c r="BX26" i="71"/>
  <c r="BU26" i="71"/>
  <c r="BR26" i="71"/>
  <c r="BO26" i="71"/>
  <c r="BL26" i="71"/>
  <c r="BI26" i="71"/>
  <c r="BF26" i="71"/>
  <c r="BC26" i="71"/>
  <c r="AZ26" i="71"/>
  <c r="AW26" i="71"/>
  <c r="AT26" i="71"/>
  <c r="AQ26" i="71"/>
  <c r="AN26" i="71"/>
  <c r="AK26" i="71"/>
  <c r="AB26" i="71"/>
  <c r="Y26" i="71"/>
  <c r="V26" i="71"/>
  <c r="S26" i="71"/>
  <c r="EH26" i="71" s="1"/>
  <c r="P26" i="71"/>
  <c r="M26" i="71"/>
  <c r="J26" i="71"/>
  <c r="G26" i="71"/>
  <c r="D26" i="71"/>
  <c r="EL25" i="71"/>
  <c r="EK25" i="71"/>
  <c r="EG25" i="71"/>
  <c r="EI25" i="71" s="1"/>
  <c r="EB25" i="71"/>
  <c r="DW25" i="71"/>
  <c r="DT25" i="71"/>
  <c r="DQ25" i="71"/>
  <c r="DN25" i="71"/>
  <c r="DK25" i="71"/>
  <c r="DH25" i="71"/>
  <c r="DE25" i="71"/>
  <c r="DB25" i="71"/>
  <c r="CY25" i="71"/>
  <c r="CV25" i="71"/>
  <c r="CS25" i="71"/>
  <c r="CP25" i="71"/>
  <c r="CM25" i="71"/>
  <c r="CJ25" i="71"/>
  <c r="CG25" i="71"/>
  <c r="CD25" i="71"/>
  <c r="CA25" i="71"/>
  <c r="BX25" i="71"/>
  <c r="BU25" i="71"/>
  <c r="BR25" i="71"/>
  <c r="BO25" i="71"/>
  <c r="BL25" i="71"/>
  <c r="BI25" i="71"/>
  <c r="BF25" i="71"/>
  <c r="BC25" i="71"/>
  <c r="AZ25" i="71"/>
  <c r="AW25" i="71"/>
  <c r="AT25" i="71"/>
  <c r="AQ25" i="71"/>
  <c r="AN25" i="71"/>
  <c r="AK25" i="71"/>
  <c r="AB25" i="71"/>
  <c r="Y25" i="71"/>
  <c r="V25" i="71"/>
  <c r="S25" i="71"/>
  <c r="EH25" i="71" s="1"/>
  <c r="P25" i="71"/>
  <c r="M25" i="71"/>
  <c r="J25" i="71"/>
  <c r="G25" i="71"/>
  <c r="D25" i="71"/>
  <c r="EL24" i="71"/>
  <c r="EK24" i="71"/>
  <c r="EG24" i="71"/>
  <c r="EI24" i="71" s="1"/>
  <c r="EB24" i="71"/>
  <c r="EC24" i="71" s="1"/>
  <c r="DW24" i="71"/>
  <c r="DT24" i="71"/>
  <c r="DQ24" i="71"/>
  <c r="DN24" i="71"/>
  <c r="DK24" i="71"/>
  <c r="DH24" i="71"/>
  <c r="DE24" i="71"/>
  <c r="DB24" i="71"/>
  <c r="CY24" i="71"/>
  <c r="CV24" i="71"/>
  <c r="CS24" i="71"/>
  <c r="CP24" i="71"/>
  <c r="CM24" i="71"/>
  <c r="CJ24" i="71"/>
  <c r="CG24" i="71"/>
  <c r="CD24" i="71"/>
  <c r="CA24" i="71"/>
  <c r="BX24" i="71"/>
  <c r="BU24" i="71"/>
  <c r="BR24" i="71"/>
  <c r="BO24" i="71"/>
  <c r="BL24" i="71"/>
  <c r="BI24" i="71"/>
  <c r="BF24" i="71"/>
  <c r="BC24" i="71"/>
  <c r="AZ24" i="71"/>
  <c r="AW24" i="71"/>
  <c r="AT24" i="71"/>
  <c r="AQ24" i="71"/>
  <c r="AN24" i="71"/>
  <c r="AK24" i="71"/>
  <c r="AB24" i="71"/>
  <c r="Y24" i="71"/>
  <c r="V24" i="71"/>
  <c r="S24" i="71"/>
  <c r="P24" i="71"/>
  <c r="M24" i="71"/>
  <c r="J24" i="71"/>
  <c r="G24" i="71"/>
  <c r="D24" i="71"/>
  <c r="EL23" i="71"/>
  <c r="EK23" i="71"/>
  <c r="EI23" i="71"/>
  <c r="EH23" i="71"/>
  <c r="EG23" i="71"/>
  <c r="EB23" i="71"/>
  <c r="DW23" i="71"/>
  <c r="DT23" i="71"/>
  <c r="DQ23" i="71"/>
  <c r="DN23" i="71"/>
  <c r="DK23" i="71"/>
  <c r="DH23" i="71"/>
  <c r="DE23" i="71"/>
  <c r="DB23" i="71"/>
  <c r="CY23" i="71"/>
  <c r="CV23" i="71"/>
  <c r="CS23" i="71"/>
  <c r="CP23" i="71"/>
  <c r="CM23" i="71"/>
  <c r="CJ23" i="71"/>
  <c r="CG23" i="71"/>
  <c r="CD23" i="71"/>
  <c r="CA23" i="71"/>
  <c r="BX23" i="71"/>
  <c r="BU23" i="71"/>
  <c r="BR23" i="71"/>
  <c r="BO23" i="71"/>
  <c r="BL23" i="71"/>
  <c r="BI23" i="71"/>
  <c r="BF23" i="71"/>
  <c r="BC23" i="71"/>
  <c r="AZ23" i="71"/>
  <c r="AW23" i="71"/>
  <c r="AT23" i="71"/>
  <c r="AQ23" i="71"/>
  <c r="AN23" i="71"/>
  <c r="AK23" i="71"/>
  <c r="AB23" i="71"/>
  <c r="Y23" i="71"/>
  <c r="V23" i="71"/>
  <c r="S23" i="71"/>
  <c r="P23" i="71"/>
  <c r="M23" i="71"/>
  <c r="J23" i="71"/>
  <c r="G23" i="71"/>
  <c r="D23" i="71"/>
  <c r="EL22" i="71"/>
  <c r="EK22" i="71"/>
  <c r="EG22" i="71"/>
  <c r="EI22" i="71" s="1"/>
  <c r="EB22" i="71"/>
  <c r="DW22" i="71"/>
  <c r="DT22" i="71"/>
  <c r="EM22" i="71" s="1"/>
  <c r="EN22" i="71" s="1"/>
  <c r="DQ22" i="71"/>
  <c r="DN22" i="71"/>
  <c r="DK22" i="71"/>
  <c r="DH22" i="71"/>
  <c r="DE22" i="71"/>
  <c r="DB22" i="71"/>
  <c r="CY22" i="71"/>
  <c r="CV22" i="71"/>
  <c r="CS22" i="71"/>
  <c r="CP22" i="71"/>
  <c r="CM22" i="71"/>
  <c r="CJ22" i="71"/>
  <c r="CG22" i="71"/>
  <c r="CD22" i="71"/>
  <c r="CA22" i="71"/>
  <c r="BX22" i="71"/>
  <c r="BU22" i="71"/>
  <c r="BR22" i="71"/>
  <c r="BO22" i="71"/>
  <c r="BL22" i="71"/>
  <c r="BI22" i="71"/>
  <c r="BF22" i="71"/>
  <c r="BC22" i="71"/>
  <c r="AZ22" i="71"/>
  <c r="AW22" i="71"/>
  <c r="AT22" i="71"/>
  <c r="AQ22" i="71"/>
  <c r="AN22" i="71"/>
  <c r="AK22" i="71"/>
  <c r="AB22" i="71"/>
  <c r="Y22" i="71"/>
  <c r="V22" i="71"/>
  <c r="S22" i="71"/>
  <c r="EH22" i="71" s="1"/>
  <c r="P22" i="71"/>
  <c r="M22" i="71"/>
  <c r="J22" i="71"/>
  <c r="G22" i="71"/>
  <c r="D22" i="71"/>
  <c r="EL21" i="71"/>
  <c r="EK21" i="71"/>
  <c r="EG21" i="71"/>
  <c r="EI21" i="71" s="1"/>
  <c r="EB21" i="71"/>
  <c r="EC21" i="71" s="1"/>
  <c r="DW21" i="71"/>
  <c r="DT21" i="71"/>
  <c r="DQ21" i="71"/>
  <c r="DN21" i="71"/>
  <c r="DK21" i="71"/>
  <c r="DH21" i="71"/>
  <c r="DE21" i="71"/>
  <c r="DB21" i="71"/>
  <c r="CY21" i="71"/>
  <c r="CV21" i="71"/>
  <c r="CS21" i="71"/>
  <c r="CP21" i="71"/>
  <c r="CM21" i="71"/>
  <c r="CJ21" i="71"/>
  <c r="CG21" i="71"/>
  <c r="CD21" i="71"/>
  <c r="CA21" i="71"/>
  <c r="BX21" i="71"/>
  <c r="BU21" i="71"/>
  <c r="BR21" i="71"/>
  <c r="BO21" i="71"/>
  <c r="BL21" i="71"/>
  <c r="BI21" i="71"/>
  <c r="BF21" i="71"/>
  <c r="BC21" i="71"/>
  <c r="AZ21" i="71"/>
  <c r="AW21" i="71"/>
  <c r="AT21" i="71"/>
  <c r="AQ21" i="71"/>
  <c r="AN21" i="71"/>
  <c r="AK21" i="71"/>
  <c r="AB21" i="71"/>
  <c r="Y21" i="71"/>
  <c r="V21" i="71"/>
  <c r="S21" i="71"/>
  <c r="EH21" i="71" s="1"/>
  <c r="P21" i="71"/>
  <c r="M21" i="71"/>
  <c r="J21" i="71"/>
  <c r="G21" i="71"/>
  <c r="D21" i="71"/>
  <c r="EL20" i="71"/>
  <c r="EK20" i="71"/>
  <c r="EG20" i="71"/>
  <c r="EI20" i="71" s="1"/>
  <c r="EB20" i="71"/>
  <c r="DW20" i="71"/>
  <c r="DT20" i="71"/>
  <c r="DQ20" i="71"/>
  <c r="DN20" i="71"/>
  <c r="DK20" i="71"/>
  <c r="DH20" i="71"/>
  <c r="DE20" i="71"/>
  <c r="DB20" i="71"/>
  <c r="CY20" i="71"/>
  <c r="CV20" i="71"/>
  <c r="CS20" i="71"/>
  <c r="CP20" i="71"/>
  <c r="CM20" i="71"/>
  <c r="CJ20" i="71"/>
  <c r="CG20" i="71"/>
  <c r="CD20" i="71"/>
  <c r="CA20" i="71"/>
  <c r="BX20" i="71"/>
  <c r="BU20" i="71"/>
  <c r="BR20" i="71"/>
  <c r="BO20" i="71"/>
  <c r="BL20" i="71"/>
  <c r="BI20" i="71"/>
  <c r="BF20" i="71"/>
  <c r="BC20" i="71"/>
  <c r="AZ20" i="71"/>
  <c r="AW20" i="71"/>
  <c r="AT20" i="71"/>
  <c r="AQ20" i="71"/>
  <c r="AN20" i="71"/>
  <c r="AK20" i="71"/>
  <c r="AB20" i="71"/>
  <c r="Y20" i="71"/>
  <c r="V20" i="71"/>
  <c r="S20" i="71"/>
  <c r="P20" i="71"/>
  <c r="M20" i="71"/>
  <c r="J20" i="71"/>
  <c r="G20" i="71"/>
  <c r="D20" i="71"/>
  <c r="EL19" i="71"/>
  <c r="EG19" i="71"/>
  <c r="EI19" i="71" s="1"/>
  <c r="EB19" i="71"/>
  <c r="DW19" i="71"/>
  <c r="DT19" i="71"/>
  <c r="DQ19" i="71"/>
  <c r="DN19" i="71"/>
  <c r="DK19" i="71"/>
  <c r="DH19" i="71"/>
  <c r="DE19" i="71"/>
  <c r="DB19" i="71"/>
  <c r="CY19" i="71"/>
  <c r="CV19" i="71"/>
  <c r="CS19" i="71"/>
  <c r="CP19" i="71"/>
  <c r="CM19" i="71"/>
  <c r="CJ19" i="71"/>
  <c r="CG19" i="71"/>
  <c r="CD19" i="71"/>
  <c r="CA19" i="71"/>
  <c r="BX19" i="71"/>
  <c r="BU19" i="71"/>
  <c r="BR19" i="71"/>
  <c r="BO19" i="71"/>
  <c r="BL19" i="71"/>
  <c r="BI19" i="71"/>
  <c r="BF19" i="71"/>
  <c r="BC19" i="71"/>
  <c r="AZ19" i="71"/>
  <c r="AW19" i="71"/>
  <c r="AT19" i="71"/>
  <c r="AQ19" i="71"/>
  <c r="AN19" i="71"/>
  <c r="AI19" i="71"/>
  <c r="EK19" i="71" s="1"/>
  <c r="AB19" i="71"/>
  <c r="Y19" i="71"/>
  <c r="V19" i="71"/>
  <c r="S19" i="71"/>
  <c r="EH19" i="71" s="1"/>
  <c r="P19" i="71"/>
  <c r="M19" i="71"/>
  <c r="J19" i="71"/>
  <c r="G19" i="71"/>
  <c r="D19" i="71"/>
  <c r="EL18" i="71"/>
  <c r="EG18" i="71"/>
  <c r="EI18" i="71" s="1"/>
  <c r="DW18" i="71"/>
  <c r="DT18" i="71"/>
  <c r="DQ18" i="71"/>
  <c r="DN18" i="71"/>
  <c r="DK18" i="71"/>
  <c r="DH18" i="71"/>
  <c r="DE18" i="71"/>
  <c r="DB18" i="71"/>
  <c r="CY18" i="71"/>
  <c r="CV18" i="71"/>
  <c r="CS18" i="71"/>
  <c r="CP18" i="71"/>
  <c r="CM18" i="71"/>
  <c r="CJ18" i="71"/>
  <c r="CG18" i="71"/>
  <c r="CD18" i="71"/>
  <c r="CA18" i="71"/>
  <c r="BX18" i="71"/>
  <c r="BU18" i="71"/>
  <c r="BR18" i="71"/>
  <c r="BO18" i="71"/>
  <c r="BL18" i="71"/>
  <c r="BI18" i="71"/>
  <c r="BF18" i="71"/>
  <c r="BC18" i="71"/>
  <c r="AZ18" i="71"/>
  <c r="AW18" i="71"/>
  <c r="AT18" i="71"/>
  <c r="AQ18" i="71"/>
  <c r="AN18" i="71"/>
  <c r="AI18" i="71"/>
  <c r="AB18" i="71"/>
  <c r="Y18" i="71"/>
  <c r="V18" i="71"/>
  <c r="S18" i="71"/>
  <c r="P18" i="71"/>
  <c r="M18" i="71"/>
  <c r="J18" i="71"/>
  <c r="G18" i="71"/>
  <c r="D18" i="71"/>
  <c r="EL17" i="71"/>
  <c r="EK17" i="71"/>
  <c r="EG17" i="71"/>
  <c r="EI17" i="71" s="1"/>
  <c r="DW17" i="71"/>
  <c r="DT17" i="71"/>
  <c r="DQ17" i="71"/>
  <c r="DN17" i="71"/>
  <c r="DK17" i="71"/>
  <c r="DH17" i="71"/>
  <c r="DE17" i="71"/>
  <c r="DB17" i="71"/>
  <c r="CY17" i="71"/>
  <c r="CV17" i="71"/>
  <c r="CS17" i="71"/>
  <c r="CP17" i="71"/>
  <c r="CM17" i="71"/>
  <c r="CJ17" i="71"/>
  <c r="CG17" i="71"/>
  <c r="CD17" i="71"/>
  <c r="CA17" i="71"/>
  <c r="BX17" i="71"/>
  <c r="BU17" i="71"/>
  <c r="BR17" i="71"/>
  <c r="BO17" i="71"/>
  <c r="BL17" i="71"/>
  <c r="BI17" i="71"/>
  <c r="BF17" i="71"/>
  <c r="BC17" i="71"/>
  <c r="AZ17" i="71"/>
  <c r="AW17" i="71"/>
  <c r="AT17" i="71"/>
  <c r="AQ17" i="71"/>
  <c r="AN17" i="71"/>
  <c r="AI17" i="71"/>
  <c r="AK17" i="71" s="1"/>
  <c r="AB17" i="71"/>
  <c r="Y17" i="71"/>
  <c r="V17" i="71"/>
  <c r="S17" i="71"/>
  <c r="EH17" i="71" s="1"/>
  <c r="P17" i="71"/>
  <c r="M17" i="71"/>
  <c r="J17" i="71"/>
  <c r="G17" i="71"/>
  <c r="D17" i="71"/>
  <c r="EL16" i="71"/>
  <c r="EK16" i="71"/>
  <c r="EG16" i="71"/>
  <c r="EI16" i="71" s="1"/>
  <c r="EB16" i="71"/>
  <c r="EC16" i="71" s="1"/>
  <c r="DW16" i="71"/>
  <c r="DT16" i="71"/>
  <c r="DQ16" i="71"/>
  <c r="DN16" i="71"/>
  <c r="DK16" i="71"/>
  <c r="DH16" i="71"/>
  <c r="DE16" i="71"/>
  <c r="DB16" i="71"/>
  <c r="CY16" i="71"/>
  <c r="CV16" i="71"/>
  <c r="CS16" i="71"/>
  <c r="CP16" i="71"/>
  <c r="CM16" i="71"/>
  <c r="CJ16" i="71"/>
  <c r="CG16" i="71"/>
  <c r="CD16" i="71"/>
  <c r="CA16" i="71"/>
  <c r="BX16" i="71"/>
  <c r="BU16" i="71"/>
  <c r="BR16" i="71"/>
  <c r="BO16" i="71"/>
  <c r="BL16" i="71"/>
  <c r="BI16" i="71"/>
  <c r="BF16" i="71"/>
  <c r="BC16" i="71"/>
  <c r="AZ16" i="71"/>
  <c r="AW16" i="71"/>
  <c r="AT16" i="71"/>
  <c r="AQ16" i="71"/>
  <c r="AN16" i="71"/>
  <c r="AI16" i="71"/>
  <c r="AK16" i="71" s="1"/>
  <c r="AB16" i="71"/>
  <c r="Y16" i="71"/>
  <c r="V16" i="71"/>
  <c r="S16" i="71"/>
  <c r="EH16" i="71" s="1"/>
  <c r="P16" i="71"/>
  <c r="M16" i="71"/>
  <c r="J16" i="71"/>
  <c r="G16" i="71"/>
  <c r="D16" i="71"/>
  <c r="EL15" i="71"/>
  <c r="EG15" i="71"/>
  <c r="DW15" i="71"/>
  <c r="DT15" i="71"/>
  <c r="DQ15" i="71"/>
  <c r="DN15" i="71"/>
  <c r="DK15" i="71"/>
  <c r="DH15" i="71"/>
  <c r="DE15" i="71"/>
  <c r="DB15" i="71"/>
  <c r="CY15" i="71"/>
  <c r="CV15" i="71"/>
  <c r="CS15" i="71"/>
  <c r="CP15" i="71"/>
  <c r="CM15" i="71"/>
  <c r="CJ15" i="71"/>
  <c r="CG15" i="71"/>
  <c r="CD15" i="71"/>
  <c r="CA15" i="71"/>
  <c r="BX15" i="71"/>
  <c r="BU15" i="71"/>
  <c r="BR15" i="71"/>
  <c r="BO15" i="71"/>
  <c r="BL15" i="71"/>
  <c r="BI15" i="71"/>
  <c r="BF15" i="71"/>
  <c r="BC15" i="71"/>
  <c r="AZ15" i="71"/>
  <c r="AW15" i="71"/>
  <c r="AT15" i="71"/>
  <c r="AQ15" i="71"/>
  <c r="AN15" i="71"/>
  <c r="AI15" i="71"/>
  <c r="EB15" i="71" s="1"/>
  <c r="AB15" i="71"/>
  <c r="Y15" i="71"/>
  <c r="V15" i="71"/>
  <c r="S15" i="71"/>
  <c r="EH15" i="71" s="1"/>
  <c r="P15" i="71"/>
  <c r="M15" i="71"/>
  <c r="J15" i="71"/>
  <c r="G15" i="71"/>
  <c r="D15" i="71"/>
  <c r="EL14" i="71"/>
  <c r="EK14" i="71"/>
  <c r="EG14" i="71"/>
  <c r="EI14" i="71" s="1"/>
  <c r="EB14" i="71"/>
  <c r="DW14" i="71"/>
  <c r="DT14" i="71"/>
  <c r="DQ14" i="71"/>
  <c r="DN14" i="71"/>
  <c r="DK14" i="71"/>
  <c r="DH14" i="71"/>
  <c r="DE14" i="71"/>
  <c r="DB14" i="71"/>
  <c r="CY14" i="71"/>
  <c r="CV14" i="71"/>
  <c r="CS14" i="71"/>
  <c r="CP14" i="71"/>
  <c r="EM14" i="71" s="1"/>
  <c r="EN14" i="71" s="1"/>
  <c r="CM14" i="71"/>
  <c r="CJ14" i="71"/>
  <c r="CG14" i="71"/>
  <c r="CD14" i="71"/>
  <c r="CA14" i="71"/>
  <c r="BX14" i="71"/>
  <c r="BU14" i="71"/>
  <c r="BR14" i="71"/>
  <c r="BO14" i="71"/>
  <c r="BL14" i="71"/>
  <c r="BI14" i="71"/>
  <c r="BF14" i="71"/>
  <c r="BC14" i="71"/>
  <c r="AZ14" i="71"/>
  <c r="AW14" i="71"/>
  <c r="AT14" i="71"/>
  <c r="AQ14" i="71"/>
  <c r="AN14" i="71"/>
  <c r="AK14" i="71"/>
  <c r="AI14" i="71"/>
  <c r="AB14" i="71"/>
  <c r="Y14" i="71"/>
  <c r="V14" i="71"/>
  <c r="S14" i="71"/>
  <c r="EH14" i="71" s="1"/>
  <c r="P14" i="71"/>
  <c r="M14" i="71"/>
  <c r="J14" i="71"/>
  <c r="G14" i="71"/>
  <c r="D14" i="71"/>
  <c r="EL13" i="71"/>
  <c r="EG13" i="71"/>
  <c r="EI13" i="71" s="1"/>
  <c r="DW13" i="71"/>
  <c r="DT13" i="71"/>
  <c r="DQ13" i="71"/>
  <c r="DN13" i="71"/>
  <c r="DK13" i="71"/>
  <c r="DH13" i="71"/>
  <c r="DE13" i="71"/>
  <c r="DB13" i="71"/>
  <c r="CY13" i="71"/>
  <c r="CV13" i="71"/>
  <c r="CS13" i="71"/>
  <c r="CP13" i="71"/>
  <c r="CM13" i="71"/>
  <c r="CJ13" i="71"/>
  <c r="CG13" i="71"/>
  <c r="CD13" i="71"/>
  <c r="CA13" i="71"/>
  <c r="BX13" i="71"/>
  <c r="BU13" i="71"/>
  <c r="BR13" i="71"/>
  <c r="BO13" i="71"/>
  <c r="BL13" i="71"/>
  <c r="BI13" i="71"/>
  <c r="BF13" i="71"/>
  <c r="BC13" i="71"/>
  <c r="AZ13" i="71"/>
  <c r="AW13" i="71"/>
  <c r="AT13" i="71"/>
  <c r="AQ13" i="71"/>
  <c r="AN13" i="71"/>
  <c r="AI13" i="71"/>
  <c r="AB13" i="71"/>
  <c r="Y13" i="71"/>
  <c r="V13" i="71"/>
  <c r="S13" i="71"/>
  <c r="P13" i="71"/>
  <c r="M13" i="71"/>
  <c r="J13" i="71"/>
  <c r="G13" i="71"/>
  <c r="D13" i="71"/>
  <c r="A13" i="71"/>
  <c r="A14" i="71" s="1"/>
  <c r="A15" i="71" s="1"/>
  <c r="A16" i="71" s="1"/>
  <c r="A17" i="71" s="1"/>
  <c r="A18" i="71" s="1"/>
  <c r="A19" i="71" s="1"/>
  <c r="A20" i="71" s="1"/>
  <c r="A21" i="71" s="1"/>
  <c r="A22" i="71" s="1"/>
  <c r="A23" i="71" s="1"/>
  <c r="A24" i="71" s="1"/>
  <c r="A25" i="71" s="1"/>
  <c r="A26" i="71" s="1"/>
  <c r="A27" i="71" s="1"/>
  <c r="A28" i="71" s="1"/>
  <c r="A29" i="71" s="1"/>
  <c r="A30" i="71" s="1"/>
  <c r="A31" i="71" s="1"/>
  <c r="A32" i="71" s="1"/>
  <c r="A33" i="71" s="1"/>
  <c r="A34" i="71" s="1"/>
  <c r="A35" i="71" s="1"/>
  <c r="A36" i="71" s="1"/>
  <c r="A37" i="71" s="1"/>
  <c r="A38" i="71" s="1"/>
  <c r="A39" i="71" s="1"/>
  <c r="A40" i="71" s="1"/>
  <c r="EL12" i="71"/>
  <c r="EK12" i="71"/>
  <c r="EG12" i="71"/>
  <c r="EI12" i="71" s="1"/>
  <c r="EB12" i="71"/>
  <c r="DW12" i="71"/>
  <c r="DT12" i="71"/>
  <c r="DQ12" i="71"/>
  <c r="DN12" i="71"/>
  <c r="DK12" i="71"/>
  <c r="DH12" i="71"/>
  <c r="DE12" i="71"/>
  <c r="DB12" i="71"/>
  <c r="CY12" i="71"/>
  <c r="CV12" i="71"/>
  <c r="CS12" i="71"/>
  <c r="CP12" i="71"/>
  <c r="CM12" i="71"/>
  <c r="CJ12" i="71"/>
  <c r="CG12" i="71"/>
  <c r="CD12" i="71"/>
  <c r="CA12" i="71"/>
  <c r="BX12" i="71"/>
  <c r="BU12" i="71"/>
  <c r="BR12" i="71"/>
  <c r="BO12" i="71"/>
  <c r="BL12" i="71"/>
  <c r="BI12" i="71"/>
  <c r="BF12" i="71"/>
  <c r="BC12" i="71"/>
  <c r="AZ12" i="71"/>
  <c r="AW12" i="71"/>
  <c r="AT12" i="71"/>
  <c r="AQ12" i="71"/>
  <c r="AN12" i="71"/>
  <c r="AI12" i="71"/>
  <c r="AK12" i="71" s="1"/>
  <c r="AB12" i="71"/>
  <c r="Y12" i="71"/>
  <c r="V12" i="71"/>
  <c r="S12" i="71"/>
  <c r="P12" i="71"/>
  <c r="M12" i="71"/>
  <c r="J12" i="71"/>
  <c r="G12" i="71"/>
  <c r="D12" i="71"/>
  <c r="A12" i="71"/>
  <c r="EL11" i="71"/>
  <c r="EG11" i="71"/>
  <c r="EB11" i="71"/>
  <c r="DW11" i="71"/>
  <c r="DT11" i="71"/>
  <c r="DQ11" i="71"/>
  <c r="DN11" i="71"/>
  <c r="DK11" i="71"/>
  <c r="DH11" i="71"/>
  <c r="DE11" i="71"/>
  <c r="DB11" i="71"/>
  <c r="CY11" i="71"/>
  <c r="CV11" i="71"/>
  <c r="CS11" i="71"/>
  <c r="CP11" i="71"/>
  <c r="CM11" i="71"/>
  <c r="CJ11" i="71"/>
  <c r="CG11" i="71"/>
  <c r="CD11" i="71"/>
  <c r="CA11" i="71"/>
  <c r="BX11" i="71"/>
  <c r="BU11" i="71"/>
  <c r="BR11" i="71"/>
  <c r="BO11" i="71"/>
  <c r="BL11" i="71"/>
  <c r="BI11" i="71"/>
  <c r="BF11" i="71"/>
  <c r="BC11" i="71"/>
  <c r="AZ11" i="71"/>
  <c r="AW11" i="71"/>
  <c r="AT11" i="71"/>
  <c r="AQ11" i="71"/>
  <c r="AN11" i="71"/>
  <c r="AI11" i="71"/>
  <c r="EK11" i="71" s="1"/>
  <c r="AB11" i="71"/>
  <c r="Y11" i="71"/>
  <c r="Y41" i="71" s="1"/>
  <c r="V11" i="71"/>
  <c r="S11" i="71"/>
  <c r="P11" i="71"/>
  <c r="M11" i="71"/>
  <c r="J11" i="71"/>
  <c r="G11" i="71"/>
  <c r="D11" i="71"/>
  <c r="EN2" i="71"/>
  <c r="EP2" i="71" s="1"/>
  <c r="AT41" i="71" l="1"/>
  <c r="CD41" i="71"/>
  <c r="DN41" i="71"/>
  <c r="BO41" i="71"/>
  <c r="EH28" i="71"/>
  <c r="EH31" i="71"/>
  <c r="EH36" i="71"/>
  <c r="CV41" i="71"/>
  <c r="EH20" i="71"/>
  <c r="EM25" i="71"/>
  <c r="EN25" i="71" s="1"/>
  <c r="CY41" i="71"/>
  <c r="AW41" i="71"/>
  <c r="DQ41" i="71"/>
  <c r="CS41" i="71"/>
  <c r="AZ41" i="71"/>
  <c r="DT41" i="71"/>
  <c r="ED21" i="71"/>
  <c r="EE21" i="71" s="1"/>
  <c r="ED23" i="71"/>
  <c r="M41" i="71"/>
  <c r="EH12" i="71"/>
  <c r="EH13" i="71"/>
  <c r="EI5" i="71"/>
  <c r="EM17" i="71"/>
  <c r="EN17" i="71" s="1"/>
  <c r="EH24" i="71"/>
  <c r="ED26" i="71"/>
  <c r="EE26" i="71" s="1"/>
  <c r="BI41" i="71"/>
  <c r="EM26" i="71"/>
  <c r="EN26" i="71" s="1"/>
  <c r="EH30" i="71"/>
  <c r="EM35" i="71"/>
  <c r="EN35" i="71" s="1"/>
  <c r="ED25" i="71"/>
  <c r="EE25" i="71" s="1"/>
  <c r="BL41" i="71"/>
  <c r="EM37" i="71"/>
  <c r="EN37" i="71" s="1"/>
  <c r="CG41" i="71"/>
  <c r="EI2" i="71"/>
  <c r="CJ41" i="71"/>
  <c r="EH18" i="71"/>
  <c r="EH32" i="71"/>
  <c r="G41" i="71"/>
  <c r="AB41" i="71"/>
  <c r="J41" i="71"/>
  <c r="CM41" i="71"/>
  <c r="P41" i="71"/>
  <c r="EN16" i="71"/>
  <c r="BF41" i="71"/>
  <c r="CP41" i="71"/>
  <c r="EI15" i="71"/>
  <c r="EC33" i="71"/>
  <c r="ED40" i="71"/>
  <c r="EC32" i="71"/>
  <c r="EE32" i="71"/>
  <c r="ED16" i="71"/>
  <c r="EE16" i="71" s="1"/>
  <c r="EE20" i="71"/>
  <c r="EN23" i="71"/>
  <c r="ED27" i="71"/>
  <c r="EE27" i="71" s="1"/>
  <c r="BC41" i="71"/>
  <c r="DW41" i="71"/>
  <c r="EC12" i="71"/>
  <c r="EC27" i="71"/>
  <c r="ED35" i="71"/>
  <c r="EE35" i="71" s="1"/>
  <c r="S41" i="71"/>
  <c r="EH11" i="71"/>
  <c r="EC11" i="71"/>
  <c r="EK15" i="71"/>
  <c r="EM24" i="71"/>
  <c r="EN24" i="71" s="1"/>
  <c r="EM40" i="71"/>
  <c r="EN40" i="71" s="1"/>
  <c r="V41" i="71"/>
  <c r="ED17" i="71"/>
  <c r="EB38" i="71"/>
  <c r="EK38" i="71"/>
  <c r="EM12" i="71"/>
  <c r="EN12" i="71" s="1"/>
  <c r="EB13" i="71"/>
  <c r="EK13" i="71"/>
  <c r="BR41" i="71"/>
  <c r="DB41" i="71"/>
  <c r="AK15" i="71"/>
  <c r="ED15" i="71" s="1"/>
  <c r="EE15" i="71" s="1"/>
  <c r="ED22" i="71"/>
  <c r="EE22" i="71" s="1"/>
  <c r="EM23" i="71"/>
  <c r="EK31" i="71"/>
  <c r="EB31" i="71"/>
  <c r="ED33" i="71"/>
  <c r="EE33" i="71" s="1"/>
  <c r="EC35" i="71"/>
  <c r="AK38" i="71"/>
  <c r="ED38" i="71" s="1"/>
  <c r="EM39" i="71"/>
  <c r="EN39" i="71" s="1"/>
  <c r="EI3" i="71"/>
  <c r="EI4" i="71" s="1"/>
  <c r="AK13" i="71"/>
  <c r="ED13" i="71" s="1"/>
  <c r="BU41" i="71"/>
  <c r="DE41" i="71"/>
  <c r="EM16" i="71"/>
  <c r="EE24" i="71"/>
  <c r="ED28" i="71"/>
  <c r="EM28" i="71"/>
  <c r="EN28" i="71" s="1"/>
  <c r="AK31" i="71"/>
  <c r="ED31" i="71" s="1"/>
  <c r="AN41" i="71"/>
  <c r="DH41" i="71"/>
  <c r="EM33" i="71"/>
  <c r="EN33" i="71" s="1"/>
  <c r="AK36" i="71"/>
  <c r="EM36" i="71" s="1"/>
  <c r="EB36" i="71"/>
  <c r="EK36" i="71"/>
  <c r="ED14" i="71"/>
  <c r="EE14" i="71" s="1"/>
  <c r="ED20" i="71"/>
  <c r="EE23" i="71"/>
  <c r="ED24" i="71"/>
  <c r="EH29" i="71"/>
  <c r="ED32" i="71"/>
  <c r="EM32" i="71"/>
  <c r="EN32" i="71" s="1"/>
  <c r="ED37" i="71"/>
  <c r="EE37" i="71" s="1"/>
  <c r="ED39" i="71"/>
  <c r="EE39" i="71" s="1"/>
  <c r="EB18" i="71"/>
  <c r="EK18" i="71"/>
  <c r="AK18" i="71"/>
  <c r="ED18" i="71" s="1"/>
  <c r="EC14" i="71"/>
  <c r="BX41" i="71"/>
  <c r="EM21" i="71"/>
  <c r="EN21" i="71" s="1"/>
  <c r="AQ41" i="71"/>
  <c r="CA41" i="71"/>
  <c r="DK41" i="71"/>
  <c r="ED12" i="71"/>
  <c r="EE12" i="71" s="1"/>
  <c r="D41" i="71"/>
  <c r="EM20" i="71"/>
  <c r="EN20" i="71" s="1"/>
  <c r="EM27" i="71"/>
  <c r="EN27" i="71" s="1"/>
  <c r="EH34" i="71"/>
  <c r="EC34" i="71"/>
  <c r="EM38" i="71"/>
  <c r="EH39" i="71"/>
  <c r="EC39" i="71"/>
  <c r="AK11" i="71"/>
  <c r="EM11" i="71" s="1"/>
  <c r="EN11" i="71" s="1"/>
  <c r="EC19" i="71"/>
  <c r="EC22" i="71"/>
  <c r="EC25" i="71"/>
  <c r="EC30" i="71"/>
  <c r="AK34" i="71"/>
  <c r="EM34" i="71" s="1"/>
  <c r="EN34" i="71" s="1"/>
  <c r="EI11" i="71"/>
  <c r="EB17" i="71"/>
  <c r="EB28" i="71"/>
  <c r="EK29" i="71"/>
  <c r="EB40" i="71"/>
  <c r="EC23" i="71"/>
  <c r="AK30" i="71"/>
  <c r="EM30" i="71" s="1"/>
  <c r="EN30" i="71" s="1"/>
  <c r="AK29" i="71"/>
  <c r="EM29" i="71" s="1"/>
  <c r="AK19" i="71"/>
  <c r="EM19" i="71" s="1"/>
  <c r="EN19" i="71" s="1"/>
  <c r="EC20" i="71"/>
  <c r="EC26" i="71"/>
  <c r="ED11" i="71" l="1"/>
  <c r="ED30" i="71"/>
  <c r="EE30" i="71" s="1"/>
  <c r="EE3" i="71"/>
  <c r="EM18" i="71"/>
  <c r="EN18" i="71" s="1"/>
  <c r="ED34" i="71"/>
  <c r="EE34" i="71" s="1"/>
  <c r="EM15" i="71"/>
  <c r="EN15" i="71" s="1"/>
  <c r="G5" i="71"/>
  <c r="EN5" i="71"/>
  <c r="EC36" i="71"/>
  <c r="EN3" i="71"/>
  <c r="EC15" i="71"/>
  <c r="EH41" i="71"/>
  <c r="EM31" i="71"/>
  <c r="EN31" i="71" s="1"/>
  <c r="AK41" i="71"/>
  <c r="EN36" i="71"/>
  <c r="EC31" i="71"/>
  <c r="EE31" i="71"/>
  <c r="EE40" i="71"/>
  <c r="EC40" i="71"/>
  <c r="EE2" i="71"/>
  <c r="EQ2" i="71" s="1"/>
  <c r="G4" i="71" s="1"/>
  <c r="EM13" i="71"/>
  <c r="EN13" i="71" s="1"/>
  <c r="EE11" i="71"/>
  <c r="EN29" i="71"/>
  <c r="EE28" i="71"/>
  <c r="EC28" i="71"/>
  <c r="ED36" i="71"/>
  <c r="EE36" i="71" s="1"/>
  <c r="EE17" i="71"/>
  <c r="EC17" i="71"/>
  <c r="EE18" i="71"/>
  <c r="EC18" i="71"/>
  <c r="EC13" i="71"/>
  <c r="EE5" i="71"/>
  <c r="G7" i="71" s="1"/>
  <c r="EE13" i="71"/>
  <c r="ED29" i="71"/>
  <c r="EE29" i="71" s="1"/>
  <c r="EE38" i="71"/>
  <c r="EC38" i="71"/>
  <c r="ED19" i="71"/>
  <c r="EE19" i="71" s="1"/>
  <c r="EC29" i="71"/>
  <c r="EN38" i="71"/>
  <c r="EM41" i="71" l="1"/>
  <c r="ED41" i="71"/>
  <c r="EN4" i="71"/>
  <c r="EE4" i="71"/>
  <c r="G6" i="71" s="1"/>
  <c r="AH42" i="72" l="1"/>
  <c r="AE42" i="72"/>
  <c r="EL41" i="72"/>
  <c r="EG41" i="72"/>
  <c r="EI41" i="72" s="1"/>
  <c r="EB41" i="72"/>
  <c r="DW41" i="72"/>
  <c r="DT41" i="72"/>
  <c r="DQ41" i="72"/>
  <c r="DN41" i="72"/>
  <c r="DK41" i="72"/>
  <c r="DH41" i="72"/>
  <c r="DE41" i="72"/>
  <c r="DB41" i="72"/>
  <c r="CY41" i="72"/>
  <c r="CV41" i="72"/>
  <c r="CS41" i="72"/>
  <c r="CP41" i="72"/>
  <c r="CM41" i="72"/>
  <c r="CJ41" i="72"/>
  <c r="CG41" i="72"/>
  <c r="CD41" i="72"/>
  <c r="CA41" i="72"/>
  <c r="BX41" i="72"/>
  <c r="BU41" i="72"/>
  <c r="BR41" i="72"/>
  <c r="BO41" i="72"/>
  <c r="BL41" i="72"/>
  <c r="BI41" i="72"/>
  <c r="BF41" i="72"/>
  <c r="BC41" i="72"/>
  <c r="AZ41" i="72"/>
  <c r="AW41" i="72"/>
  <c r="AT41" i="72"/>
  <c r="AQ41" i="72"/>
  <c r="AN41" i="72"/>
  <c r="AL41" i="72"/>
  <c r="EK41" i="72" s="1"/>
  <c r="EN2" i="72" s="1"/>
  <c r="EP2" i="72" s="1"/>
  <c r="AI41" i="72"/>
  <c r="AK41" i="72" s="1"/>
  <c r="AB41" i="72"/>
  <c r="Y41" i="72"/>
  <c r="V41" i="72"/>
  <c r="S41" i="72"/>
  <c r="EH41" i="72" s="1"/>
  <c r="P41" i="72"/>
  <c r="M41" i="72"/>
  <c r="J41" i="72"/>
  <c r="G41" i="72"/>
  <c r="D41" i="72"/>
  <c r="EL40" i="72"/>
  <c r="EI40" i="72"/>
  <c r="EG40" i="72"/>
  <c r="DW40" i="72"/>
  <c r="DT40" i="72"/>
  <c r="DQ40" i="72"/>
  <c r="DN40" i="72"/>
  <c r="DK40" i="72"/>
  <c r="DH40" i="72"/>
  <c r="DE40" i="72"/>
  <c r="DB40" i="72"/>
  <c r="CY40" i="72"/>
  <c r="CV40" i="72"/>
  <c r="CS40" i="72"/>
  <c r="CP40" i="72"/>
  <c r="CM40" i="72"/>
  <c r="CJ40" i="72"/>
  <c r="CG40" i="72"/>
  <c r="CD40" i="72"/>
  <c r="CA40" i="72"/>
  <c r="BX40" i="72"/>
  <c r="BU40" i="72"/>
  <c r="BR40" i="72"/>
  <c r="BO40" i="72"/>
  <c r="BL40" i="72"/>
  <c r="BI40" i="72"/>
  <c r="BF40" i="72"/>
  <c r="BC40" i="72"/>
  <c r="AZ40" i="72"/>
  <c r="AW40" i="72"/>
  <c r="AT40" i="72"/>
  <c r="AQ40" i="72"/>
  <c r="AL40" i="72"/>
  <c r="AN40" i="72" s="1"/>
  <c r="AI40" i="72"/>
  <c r="AK40" i="72" s="1"/>
  <c r="AB40" i="72"/>
  <c r="Y40" i="72"/>
  <c r="V40" i="72"/>
  <c r="S40" i="72"/>
  <c r="EH40" i="72" s="1"/>
  <c r="P40" i="72"/>
  <c r="M40" i="72"/>
  <c r="J40" i="72"/>
  <c r="G40" i="72"/>
  <c r="D40" i="72"/>
  <c r="EL39" i="72"/>
  <c r="EG39" i="72"/>
  <c r="EI39" i="72" s="1"/>
  <c r="EB39" i="72"/>
  <c r="DW39" i="72"/>
  <c r="DT39" i="72"/>
  <c r="EM39" i="72" s="1"/>
  <c r="EN39" i="72" s="1"/>
  <c r="DQ39" i="72"/>
  <c r="DN39" i="72"/>
  <c r="DK39" i="72"/>
  <c r="DH39" i="72"/>
  <c r="DE39" i="72"/>
  <c r="DB39" i="72"/>
  <c r="CY39" i="72"/>
  <c r="CV39" i="72"/>
  <c r="CS39" i="72"/>
  <c r="CP39" i="72"/>
  <c r="CM39" i="72"/>
  <c r="CJ39" i="72"/>
  <c r="CG39" i="72"/>
  <c r="CD39" i="72"/>
  <c r="CA39" i="72"/>
  <c r="BX39" i="72"/>
  <c r="BU39" i="72"/>
  <c r="BR39" i="72"/>
  <c r="BO39" i="72"/>
  <c r="BL39" i="72"/>
  <c r="BI39" i="72"/>
  <c r="BF39" i="72"/>
  <c r="BC39" i="72"/>
  <c r="AZ39" i="72"/>
  <c r="AW39" i="72"/>
  <c r="AT39" i="72"/>
  <c r="AQ39" i="72"/>
  <c r="AN39" i="72"/>
  <c r="AL39" i="72"/>
  <c r="EK39" i="72" s="1"/>
  <c r="AI39" i="72"/>
  <c r="AK39" i="72" s="1"/>
  <c r="AB39" i="72"/>
  <c r="Y39" i="72"/>
  <c r="V39" i="72"/>
  <c r="S39" i="72"/>
  <c r="P39" i="72"/>
  <c r="M39" i="72"/>
  <c r="J39" i="72"/>
  <c r="G39" i="72"/>
  <c r="D39" i="72"/>
  <c r="EL38" i="72"/>
  <c r="EK38" i="72"/>
  <c r="EG38" i="72"/>
  <c r="EI38" i="72" s="1"/>
  <c r="DW38" i="72"/>
  <c r="DT38" i="72"/>
  <c r="DQ38" i="72"/>
  <c r="DN38" i="72"/>
  <c r="DK38" i="72"/>
  <c r="DH38" i="72"/>
  <c r="DE38" i="72"/>
  <c r="DB38" i="72"/>
  <c r="CY38" i="72"/>
  <c r="CV38" i="72"/>
  <c r="CS38" i="72"/>
  <c r="CP38" i="72"/>
  <c r="CM38" i="72"/>
  <c r="CJ38" i="72"/>
  <c r="CG38" i="72"/>
  <c r="CD38" i="72"/>
  <c r="CA38" i="72"/>
  <c r="BX38" i="72"/>
  <c r="BU38" i="72"/>
  <c r="BR38" i="72"/>
  <c r="BO38" i="72"/>
  <c r="BL38" i="72"/>
  <c r="BI38" i="72"/>
  <c r="BF38" i="72"/>
  <c r="BC38" i="72"/>
  <c r="AZ38" i="72"/>
  <c r="AW38" i="72"/>
  <c r="AT38" i="72"/>
  <c r="AO38" i="72"/>
  <c r="AQ38" i="72" s="1"/>
  <c r="AL38" i="72"/>
  <c r="AI38" i="72"/>
  <c r="AK38" i="72" s="1"/>
  <c r="AB38" i="72"/>
  <c r="Y38" i="72"/>
  <c r="V38" i="72"/>
  <c r="S38" i="72"/>
  <c r="EH38" i="72" s="1"/>
  <c r="P38" i="72"/>
  <c r="M38" i="72"/>
  <c r="J38" i="72"/>
  <c r="G38" i="72"/>
  <c r="D38" i="72"/>
  <c r="EL37" i="72"/>
  <c r="EG37" i="72"/>
  <c r="EI37" i="72" s="1"/>
  <c r="EB37" i="72"/>
  <c r="DW37" i="72"/>
  <c r="DT37" i="72"/>
  <c r="DQ37" i="72"/>
  <c r="DN37" i="72"/>
  <c r="DK37" i="72"/>
  <c r="DH37" i="72"/>
  <c r="DE37" i="72"/>
  <c r="DB37" i="72"/>
  <c r="CY37" i="72"/>
  <c r="CV37" i="72"/>
  <c r="CS37" i="72"/>
  <c r="CP37" i="72"/>
  <c r="CM37" i="72"/>
  <c r="CJ37" i="72"/>
  <c r="CG37" i="72"/>
  <c r="CD37" i="72"/>
  <c r="CA37" i="72"/>
  <c r="BX37" i="72"/>
  <c r="BU37" i="72"/>
  <c r="BR37" i="72"/>
  <c r="BO37" i="72"/>
  <c r="BL37" i="72"/>
  <c r="BI37" i="72"/>
  <c r="BF37" i="72"/>
  <c r="BC37" i="72"/>
  <c r="AZ37" i="72"/>
  <c r="AW37" i="72"/>
  <c r="AT37" i="72"/>
  <c r="AQ37" i="72"/>
  <c r="AO37" i="72"/>
  <c r="AL37" i="72"/>
  <c r="AN37" i="72" s="1"/>
  <c r="AI37" i="72"/>
  <c r="AK37" i="72" s="1"/>
  <c r="AB37" i="72"/>
  <c r="Y37" i="72"/>
  <c r="V37" i="72"/>
  <c r="S37" i="72"/>
  <c r="P37" i="72"/>
  <c r="M37" i="72"/>
  <c r="J37" i="72"/>
  <c r="G37" i="72"/>
  <c r="D37" i="72"/>
  <c r="EL36" i="72"/>
  <c r="EG36" i="72"/>
  <c r="EI36" i="72" s="1"/>
  <c r="DW36" i="72"/>
  <c r="DT36" i="72"/>
  <c r="DQ36" i="72"/>
  <c r="DN36" i="72"/>
  <c r="DK36" i="72"/>
  <c r="DH36" i="72"/>
  <c r="DE36" i="72"/>
  <c r="DB36" i="72"/>
  <c r="CY36" i="72"/>
  <c r="CV36" i="72"/>
  <c r="CS36" i="72"/>
  <c r="CP36" i="72"/>
  <c r="CM36" i="72"/>
  <c r="CJ36" i="72"/>
  <c r="CG36" i="72"/>
  <c r="CD36" i="72"/>
  <c r="CA36" i="72"/>
  <c r="BX36" i="72"/>
  <c r="BU36" i="72"/>
  <c r="BR36" i="72"/>
  <c r="BO36" i="72"/>
  <c r="BL36" i="72"/>
  <c r="BI36" i="72"/>
  <c r="BF36" i="72"/>
  <c r="BC36" i="72"/>
  <c r="AZ36" i="72"/>
  <c r="AW36" i="72"/>
  <c r="AT36" i="72"/>
  <c r="AO36" i="72"/>
  <c r="EK36" i="72" s="1"/>
  <c r="AL36" i="72"/>
  <c r="AI36" i="72"/>
  <c r="AK36" i="72" s="1"/>
  <c r="AB36" i="72"/>
  <c r="Y36" i="72"/>
  <c r="V36" i="72"/>
  <c r="S36" i="72"/>
  <c r="EH36" i="72" s="1"/>
  <c r="P36" i="72"/>
  <c r="M36" i="72"/>
  <c r="J36" i="72"/>
  <c r="G36" i="72"/>
  <c r="D36" i="72"/>
  <c r="EL35" i="72"/>
  <c r="EG35" i="72"/>
  <c r="EI35" i="72" s="1"/>
  <c r="EB35" i="72"/>
  <c r="DW35" i="72"/>
  <c r="DT35" i="72"/>
  <c r="DQ35" i="72"/>
  <c r="DN35" i="72"/>
  <c r="DK35" i="72"/>
  <c r="DH35" i="72"/>
  <c r="DE35" i="72"/>
  <c r="DB35" i="72"/>
  <c r="CY35" i="72"/>
  <c r="CV35" i="72"/>
  <c r="CS35" i="72"/>
  <c r="CP35" i="72"/>
  <c r="CM35" i="72"/>
  <c r="CJ35" i="72"/>
  <c r="CG35" i="72"/>
  <c r="CD35" i="72"/>
  <c r="CA35" i="72"/>
  <c r="BX35" i="72"/>
  <c r="BU35" i="72"/>
  <c r="BR35" i="72"/>
  <c r="BO35" i="72"/>
  <c r="BL35" i="72"/>
  <c r="BI35" i="72"/>
  <c r="BF35" i="72"/>
  <c r="BC35" i="72"/>
  <c r="AZ35" i="72"/>
  <c r="AW35" i="72"/>
  <c r="AT35" i="72"/>
  <c r="AO35" i="72"/>
  <c r="AQ35" i="72" s="1"/>
  <c r="AL35" i="72"/>
  <c r="AN35" i="72" s="1"/>
  <c r="AI35" i="72"/>
  <c r="AK35" i="72" s="1"/>
  <c r="AB35" i="72"/>
  <c r="Y35" i="72"/>
  <c r="V35" i="72"/>
  <c r="S35" i="72"/>
  <c r="P35" i="72"/>
  <c r="M35" i="72"/>
  <c r="J35" i="72"/>
  <c r="G35" i="72"/>
  <c r="D35" i="72"/>
  <c r="EL34" i="72"/>
  <c r="EK34" i="72"/>
  <c r="EI34" i="72"/>
  <c r="EG34" i="72"/>
  <c r="DW34" i="72"/>
  <c r="DT34" i="72"/>
  <c r="DQ34" i="72"/>
  <c r="DN34" i="72"/>
  <c r="DK34" i="72"/>
  <c r="DH34" i="72"/>
  <c r="DE34" i="72"/>
  <c r="DB34" i="72"/>
  <c r="CY34" i="72"/>
  <c r="CV34" i="72"/>
  <c r="CS34" i="72"/>
  <c r="CP34" i="72"/>
  <c r="CM34" i="72"/>
  <c r="CJ34" i="72"/>
  <c r="CG34" i="72"/>
  <c r="CD34" i="72"/>
  <c r="CA34" i="72"/>
  <c r="BX34" i="72"/>
  <c r="BU34" i="72"/>
  <c r="BR34" i="72"/>
  <c r="BO34" i="72"/>
  <c r="BL34" i="72"/>
  <c r="BI34" i="72"/>
  <c r="BF34" i="72"/>
  <c r="BC34" i="72"/>
  <c r="AZ34" i="72"/>
  <c r="AW34" i="72"/>
  <c r="AT34" i="72"/>
  <c r="AQ34" i="72"/>
  <c r="AO34" i="72"/>
  <c r="EB34" i="72" s="1"/>
  <c r="AL34" i="72"/>
  <c r="AN34" i="72" s="1"/>
  <c r="AI34" i="72"/>
  <c r="AK34" i="72" s="1"/>
  <c r="AB34" i="72"/>
  <c r="Y34" i="72"/>
  <c r="V34" i="72"/>
  <c r="S34" i="72"/>
  <c r="P34" i="72"/>
  <c r="M34" i="72"/>
  <c r="J34" i="72"/>
  <c r="G34" i="72"/>
  <c r="D34" i="72"/>
  <c r="EL33" i="72"/>
  <c r="EG33" i="72"/>
  <c r="EI33" i="72" s="1"/>
  <c r="DW33" i="72"/>
  <c r="DT33" i="72"/>
  <c r="DQ33" i="72"/>
  <c r="DN33" i="72"/>
  <c r="DK33" i="72"/>
  <c r="DH33" i="72"/>
  <c r="DE33" i="72"/>
  <c r="DB33" i="72"/>
  <c r="CY33" i="72"/>
  <c r="CV33" i="72"/>
  <c r="CS33" i="72"/>
  <c r="CP33" i="72"/>
  <c r="CM33" i="72"/>
  <c r="CJ33" i="72"/>
  <c r="CG33" i="72"/>
  <c r="CD33" i="72"/>
  <c r="CA33" i="72"/>
  <c r="BX33" i="72"/>
  <c r="BU33" i="72"/>
  <c r="BR33" i="72"/>
  <c r="BO33" i="72"/>
  <c r="BL33" i="72"/>
  <c r="BI33" i="72"/>
  <c r="BF33" i="72"/>
  <c r="BC33" i="72"/>
  <c r="AZ33" i="72"/>
  <c r="AW33" i="72"/>
  <c r="AT33" i="72"/>
  <c r="AQ33" i="72"/>
  <c r="AO33" i="72"/>
  <c r="AL33" i="72"/>
  <c r="EB33" i="72" s="1"/>
  <c r="AK33" i="72"/>
  <c r="AB33" i="72"/>
  <c r="Y33" i="72"/>
  <c r="V33" i="72"/>
  <c r="S33" i="72"/>
  <c r="P33" i="72"/>
  <c r="M33" i="72"/>
  <c r="J33" i="72"/>
  <c r="G33" i="72"/>
  <c r="D33" i="72"/>
  <c r="EL32" i="72"/>
  <c r="EK32" i="72"/>
  <c r="EG32" i="72"/>
  <c r="EI32" i="72" s="1"/>
  <c r="EB32" i="72"/>
  <c r="DW32" i="72"/>
  <c r="DT32" i="72"/>
  <c r="DQ32" i="72"/>
  <c r="DN32" i="72"/>
  <c r="DK32" i="72"/>
  <c r="DH32" i="72"/>
  <c r="DE32" i="72"/>
  <c r="DB32" i="72"/>
  <c r="CY32" i="72"/>
  <c r="CV32" i="72"/>
  <c r="CS32" i="72"/>
  <c r="CP32" i="72"/>
  <c r="CM32" i="72"/>
  <c r="CJ32" i="72"/>
  <c r="CG32" i="72"/>
  <c r="CD32" i="72"/>
  <c r="CA32" i="72"/>
  <c r="BX32" i="72"/>
  <c r="BU32" i="72"/>
  <c r="BR32" i="72"/>
  <c r="BO32" i="72"/>
  <c r="BL32" i="72"/>
  <c r="BI32" i="72"/>
  <c r="BF32" i="72"/>
  <c r="BC32" i="72"/>
  <c r="AZ32" i="72"/>
  <c r="AW32" i="72"/>
  <c r="AT32" i="72"/>
  <c r="AQ32" i="72"/>
  <c r="AL32" i="72"/>
  <c r="AN32" i="72" s="1"/>
  <c r="AI32" i="72"/>
  <c r="AK32" i="72" s="1"/>
  <c r="AB32" i="72"/>
  <c r="Y32" i="72"/>
  <c r="V32" i="72"/>
  <c r="S32" i="72"/>
  <c r="P32" i="72"/>
  <c r="M32" i="72"/>
  <c r="J32" i="72"/>
  <c r="G32" i="72"/>
  <c r="D32" i="72"/>
  <c r="EL31" i="72"/>
  <c r="EG31" i="72"/>
  <c r="EI31" i="72" s="1"/>
  <c r="DW31" i="72"/>
  <c r="DT31" i="72"/>
  <c r="DQ31" i="72"/>
  <c r="DN31" i="72"/>
  <c r="DK31" i="72"/>
  <c r="DH31" i="72"/>
  <c r="DE31" i="72"/>
  <c r="DB31" i="72"/>
  <c r="CY31" i="72"/>
  <c r="CV31" i="72"/>
  <c r="CS31" i="72"/>
  <c r="CP31" i="72"/>
  <c r="CM31" i="72"/>
  <c r="CJ31" i="72"/>
  <c r="CG31" i="72"/>
  <c r="CD31" i="72"/>
  <c r="CA31" i="72"/>
  <c r="BX31" i="72"/>
  <c r="BU31" i="72"/>
  <c r="BR31" i="72"/>
  <c r="BO31" i="72"/>
  <c r="BL31" i="72"/>
  <c r="BI31" i="72"/>
  <c r="BF31" i="72"/>
  <c r="BC31" i="72"/>
  <c r="AZ31" i="72"/>
  <c r="AW31" i="72"/>
  <c r="AT31" i="72"/>
  <c r="AQ31" i="72"/>
  <c r="AN31" i="72"/>
  <c r="AI31" i="72"/>
  <c r="EB31" i="72" s="1"/>
  <c r="AB31" i="72"/>
  <c r="Y31" i="72"/>
  <c r="V31" i="72"/>
  <c r="S31" i="72"/>
  <c r="P31" i="72"/>
  <c r="M31" i="72"/>
  <c r="J31" i="72"/>
  <c r="G31" i="72"/>
  <c r="D31" i="72"/>
  <c r="EL30" i="72"/>
  <c r="EK30" i="72"/>
  <c r="EG30" i="72"/>
  <c r="EI30" i="72" s="1"/>
  <c r="EB30" i="72"/>
  <c r="DW30" i="72"/>
  <c r="DT30" i="72"/>
  <c r="DQ30" i="72"/>
  <c r="DN30" i="72"/>
  <c r="DK30" i="72"/>
  <c r="DH30" i="72"/>
  <c r="DE30" i="72"/>
  <c r="DB30" i="72"/>
  <c r="CY30" i="72"/>
  <c r="CV30" i="72"/>
  <c r="CS30" i="72"/>
  <c r="CP30" i="72"/>
  <c r="CM30" i="72"/>
  <c r="CJ30" i="72"/>
  <c r="CG30" i="72"/>
  <c r="CD30" i="72"/>
  <c r="CA30" i="72"/>
  <c r="BX30" i="72"/>
  <c r="BU30" i="72"/>
  <c r="BR30" i="72"/>
  <c r="BO30" i="72"/>
  <c r="BL30" i="72"/>
  <c r="BI30" i="72"/>
  <c r="BF30" i="72"/>
  <c r="BC30" i="72"/>
  <c r="AZ30" i="72"/>
  <c r="AW30" i="72"/>
  <c r="AT30" i="72"/>
  <c r="AQ30" i="72"/>
  <c r="AN30" i="72"/>
  <c r="AI30" i="72"/>
  <c r="AK30" i="72" s="1"/>
  <c r="AB30" i="72"/>
  <c r="Y30" i="72"/>
  <c r="V30" i="72"/>
  <c r="S30" i="72"/>
  <c r="EH30" i="72" s="1"/>
  <c r="P30" i="72"/>
  <c r="M30" i="72"/>
  <c r="J30" i="72"/>
  <c r="G30" i="72"/>
  <c r="D30" i="72"/>
  <c r="EL29" i="72"/>
  <c r="EG29" i="72"/>
  <c r="EI29" i="72" s="1"/>
  <c r="EB29" i="72"/>
  <c r="DW29" i="72"/>
  <c r="DT29" i="72"/>
  <c r="DQ29" i="72"/>
  <c r="DN29" i="72"/>
  <c r="DK29" i="72"/>
  <c r="DH29" i="72"/>
  <c r="DE29" i="72"/>
  <c r="DB29" i="72"/>
  <c r="CY29" i="72"/>
  <c r="CV29" i="72"/>
  <c r="CS29" i="72"/>
  <c r="CP29" i="72"/>
  <c r="CM29" i="72"/>
  <c r="CJ29" i="72"/>
  <c r="CG29" i="72"/>
  <c r="CD29" i="72"/>
  <c r="CA29" i="72"/>
  <c r="BX29" i="72"/>
  <c r="BU29" i="72"/>
  <c r="BR29" i="72"/>
  <c r="BO29" i="72"/>
  <c r="BL29" i="72"/>
  <c r="BI29" i="72"/>
  <c r="BF29" i="72"/>
  <c r="BC29" i="72"/>
  <c r="AZ29" i="72"/>
  <c r="AW29" i="72"/>
  <c r="AT29" i="72"/>
  <c r="AQ29" i="72"/>
  <c r="AN29" i="72"/>
  <c r="AI29" i="72"/>
  <c r="EK29" i="72" s="1"/>
  <c r="AB29" i="72"/>
  <c r="Y29" i="72"/>
  <c r="V29" i="72"/>
  <c r="S29" i="72"/>
  <c r="P29" i="72"/>
  <c r="M29" i="72"/>
  <c r="J29" i="72"/>
  <c r="G29" i="72"/>
  <c r="D29" i="72"/>
  <c r="EL28" i="72"/>
  <c r="EK28" i="72"/>
  <c r="EG28" i="72"/>
  <c r="EI28" i="72" s="1"/>
  <c r="DW28" i="72"/>
  <c r="DT28" i="72"/>
  <c r="DQ28" i="72"/>
  <c r="DN28" i="72"/>
  <c r="DK28" i="72"/>
  <c r="DH28" i="72"/>
  <c r="DE28" i="72"/>
  <c r="DB28" i="72"/>
  <c r="CY28" i="72"/>
  <c r="CV28" i="72"/>
  <c r="CS28" i="72"/>
  <c r="CP28" i="72"/>
  <c r="CM28" i="72"/>
  <c r="CJ28" i="72"/>
  <c r="CG28" i="72"/>
  <c r="CD28" i="72"/>
  <c r="CA28" i="72"/>
  <c r="BX28" i="72"/>
  <c r="BU28" i="72"/>
  <c r="BR28" i="72"/>
  <c r="BO28" i="72"/>
  <c r="BL28" i="72"/>
  <c r="BI28" i="72"/>
  <c r="BF28" i="72"/>
  <c r="BC28" i="72"/>
  <c r="AZ28" i="72"/>
  <c r="AW28" i="72"/>
  <c r="AT28" i="72"/>
  <c r="AQ28" i="72"/>
  <c r="AN28" i="72"/>
  <c r="AI28" i="72"/>
  <c r="EB28" i="72" s="1"/>
  <c r="AB28" i="72"/>
  <c r="Y28" i="72"/>
  <c r="V28" i="72"/>
  <c r="S28" i="72"/>
  <c r="EH28" i="72" s="1"/>
  <c r="P28" i="72"/>
  <c r="M28" i="72"/>
  <c r="J28" i="72"/>
  <c r="G28" i="72"/>
  <c r="D28" i="72"/>
  <c r="EL27" i="72"/>
  <c r="EG27" i="72"/>
  <c r="EI27" i="72" s="1"/>
  <c r="EB27" i="72"/>
  <c r="DW27" i="72"/>
  <c r="DT27" i="72"/>
  <c r="DQ27" i="72"/>
  <c r="DN27" i="72"/>
  <c r="DK27" i="72"/>
  <c r="DH27" i="72"/>
  <c r="DE27" i="72"/>
  <c r="DB27" i="72"/>
  <c r="CY27" i="72"/>
  <c r="CV27" i="72"/>
  <c r="CS27" i="72"/>
  <c r="CP27" i="72"/>
  <c r="CM27" i="72"/>
  <c r="CJ27" i="72"/>
  <c r="CG27" i="72"/>
  <c r="CD27" i="72"/>
  <c r="CA27" i="72"/>
  <c r="BX27" i="72"/>
  <c r="BU27" i="72"/>
  <c r="BR27" i="72"/>
  <c r="BO27" i="72"/>
  <c r="BL27" i="72"/>
  <c r="BI27" i="72"/>
  <c r="BF27" i="72"/>
  <c r="BC27" i="72"/>
  <c r="AZ27" i="72"/>
  <c r="AW27" i="72"/>
  <c r="AT27" i="72"/>
  <c r="AQ27" i="72"/>
  <c r="AN27" i="72"/>
  <c r="AI27" i="72"/>
  <c r="AK27" i="72" s="1"/>
  <c r="AB27" i="72"/>
  <c r="Y27" i="72"/>
  <c r="V27" i="72"/>
  <c r="S27" i="72"/>
  <c r="EH27" i="72" s="1"/>
  <c r="P27" i="72"/>
  <c r="M27" i="72"/>
  <c r="J27" i="72"/>
  <c r="G27" i="72"/>
  <c r="D27" i="72"/>
  <c r="EL26" i="72"/>
  <c r="EG26" i="72"/>
  <c r="EI26" i="72" s="1"/>
  <c r="DW26" i="72"/>
  <c r="DT26" i="72"/>
  <c r="DQ26" i="72"/>
  <c r="DN26" i="72"/>
  <c r="DK26" i="72"/>
  <c r="DH26" i="72"/>
  <c r="DE26" i="72"/>
  <c r="DB26" i="72"/>
  <c r="CY26" i="72"/>
  <c r="CV26" i="72"/>
  <c r="CS26" i="72"/>
  <c r="CP26" i="72"/>
  <c r="CM26" i="72"/>
  <c r="CJ26" i="72"/>
  <c r="CG26" i="72"/>
  <c r="CD26" i="72"/>
  <c r="CA26" i="72"/>
  <c r="BX26" i="72"/>
  <c r="BU26" i="72"/>
  <c r="BR26" i="72"/>
  <c r="BO26" i="72"/>
  <c r="BL26" i="72"/>
  <c r="BI26" i="72"/>
  <c r="BF26" i="72"/>
  <c r="BC26" i="72"/>
  <c r="AZ26" i="72"/>
  <c r="AW26" i="72"/>
  <c r="AT26" i="72"/>
  <c r="AQ26" i="72"/>
  <c r="AN26" i="72"/>
  <c r="AI26" i="72"/>
  <c r="EB26" i="72" s="1"/>
  <c r="AB26" i="72"/>
  <c r="Y26" i="72"/>
  <c r="V26" i="72"/>
  <c r="S26" i="72"/>
  <c r="P26" i="72"/>
  <c r="M26" i="72"/>
  <c r="J26" i="72"/>
  <c r="G26" i="72"/>
  <c r="D26" i="72"/>
  <c r="EL25" i="72"/>
  <c r="EK25" i="72"/>
  <c r="EG25" i="72"/>
  <c r="EI25" i="72" s="1"/>
  <c r="EB25" i="72"/>
  <c r="DW25" i="72"/>
  <c r="DT25" i="72"/>
  <c r="DQ25" i="72"/>
  <c r="DN25" i="72"/>
  <c r="DK25" i="72"/>
  <c r="DH25" i="72"/>
  <c r="DE25" i="72"/>
  <c r="DB25" i="72"/>
  <c r="CY25" i="72"/>
  <c r="CV25" i="72"/>
  <c r="CS25" i="72"/>
  <c r="CP25" i="72"/>
  <c r="CM25" i="72"/>
  <c r="CJ25" i="72"/>
  <c r="CG25" i="72"/>
  <c r="CD25" i="72"/>
  <c r="CA25" i="72"/>
  <c r="BX25" i="72"/>
  <c r="BU25" i="72"/>
  <c r="BR25" i="72"/>
  <c r="BO25" i="72"/>
  <c r="BL25" i="72"/>
  <c r="BI25" i="72"/>
  <c r="BF25" i="72"/>
  <c r="BC25" i="72"/>
  <c r="AZ25" i="72"/>
  <c r="AW25" i="72"/>
  <c r="AT25" i="72"/>
  <c r="AQ25" i="72"/>
  <c r="AN25" i="72"/>
  <c r="AK25" i="72"/>
  <c r="AI25" i="72"/>
  <c r="AB25" i="72"/>
  <c r="Y25" i="72"/>
  <c r="V25" i="72"/>
  <c r="S25" i="72"/>
  <c r="EH25" i="72" s="1"/>
  <c r="P25" i="72"/>
  <c r="M25" i="72"/>
  <c r="J25" i="72"/>
  <c r="G25" i="72"/>
  <c r="D25" i="72"/>
  <c r="EL24" i="72"/>
  <c r="EG24" i="72"/>
  <c r="EI24" i="72" s="1"/>
  <c r="DW24" i="72"/>
  <c r="DT24" i="72"/>
  <c r="DQ24" i="72"/>
  <c r="DN24" i="72"/>
  <c r="DK24" i="72"/>
  <c r="DH24" i="72"/>
  <c r="DE24" i="72"/>
  <c r="DB24" i="72"/>
  <c r="CY24" i="72"/>
  <c r="CV24" i="72"/>
  <c r="CS24" i="72"/>
  <c r="CP24" i="72"/>
  <c r="CM24" i="72"/>
  <c r="CJ24" i="72"/>
  <c r="CG24" i="72"/>
  <c r="CD24" i="72"/>
  <c r="CA24" i="72"/>
  <c r="BX24" i="72"/>
  <c r="BU24" i="72"/>
  <c r="BR24" i="72"/>
  <c r="BO24" i="72"/>
  <c r="BL24" i="72"/>
  <c r="BI24" i="72"/>
  <c r="BF24" i="72"/>
  <c r="BC24" i="72"/>
  <c r="AZ24" i="72"/>
  <c r="AW24" i="72"/>
  <c r="AT24" i="72"/>
  <c r="AQ24" i="72"/>
  <c r="AN24" i="72"/>
  <c r="AK24" i="72"/>
  <c r="AI24" i="72"/>
  <c r="AB24" i="72"/>
  <c r="Y24" i="72"/>
  <c r="V24" i="72"/>
  <c r="S24" i="72"/>
  <c r="EH24" i="72" s="1"/>
  <c r="P24" i="72"/>
  <c r="M24" i="72"/>
  <c r="J24" i="72"/>
  <c r="G24" i="72"/>
  <c r="D24" i="72"/>
  <c r="EL23" i="72"/>
  <c r="EK23" i="72"/>
  <c r="EG23" i="72"/>
  <c r="EI23" i="72" s="1"/>
  <c r="EB23" i="72"/>
  <c r="DW23" i="72"/>
  <c r="DT23" i="72"/>
  <c r="DQ23" i="72"/>
  <c r="DN23" i="72"/>
  <c r="DK23" i="72"/>
  <c r="DH23" i="72"/>
  <c r="DE23" i="72"/>
  <c r="DB23" i="72"/>
  <c r="CY23" i="72"/>
  <c r="CV23" i="72"/>
  <c r="CS23" i="72"/>
  <c r="CP23" i="72"/>
  <c r="CM23" i="72"/>
  <c r="CJ23" i="72"/>
  <c r="CG23" i="72"/>
  <c r="CD23" i="72"/>
  <c r="CA23" i="72"/>
  <c r="BX23" i="72"/>
  <c r="BU23" i="72"/>
  <c r="BR23" i="72"/>
  <c r="BO23" i="72"/>
  <c r="BL23" i="72"/>
  <c r="BI23" i="72"/>
  <c r="BF23" i="72"/>
  <c r="BC23" i="72"/>
  <c r="AZ23" i="72"/>
  <c r="AW23" i="72"/>
  <c r="AT23" i="72"/>
  <c r="AQ23" i="72"/>
  <c r="AN23" i="72"/>
  <c r="AK23" i="72"/>
  <c r="AI23" i="72"/>
  <c r="AB23" i="72"/>
  <c r="Y23" i="72"/>
  <c r="V23" i="72"/>
  <c r="S23" i="72"/>
  <c r="EH23" i="72" s="1"/>
  <c r="P23" i="72"/>
  <c r="M23" i="72"/>
  <c r="J23" i="72"/>
  <c r="G23" i="72"/>
  <c r="D23" i="72"/>
  <c r="EL22" i="72"/>
  <c r="EG22" i="72"/>
  <c r="EI22" i="72" s="1"/>
  <c r="EB22" i="72"/>
  <c r="DW22" i="72"/>
  <c r="DT22" i="72"/>
  <c r="DQ22" i="72"/>
  <c r="DN22" i="72"/>
  <c r="DK22" i="72"/>
  <c r="DH22" i="72"/>
  <c r="DE22" i="72"/>
  <c r="DB22" i="72"/>
  <c r="CY22" i="72"/>
  <c r="CV22" i="72"/>
  <c r="CS22" i="72"/>
  <c r="CP22" i="72"/>
  <c r="CM22" i="72"/>
  <c r="CJ22" i="72"/>
  <c r="CG22" i="72"/>
  <c r="CD22" i="72"/>
  <c r="CA22" i="72"/>
  <c r="BX22" i="72"/>
  <c r="BU22" i="72"/>
  <c r="BR22" i="72"/>
  <c r="BO22" i="72"/>
  <c r="BL22" i="72"/>
  <c r="BI22" i="72"/>
  <c r="BF22" i="72"/>
  <c r="BC22" i="72"/>
  <c r="AZ22" i="72"/>
  <c r="AW22" i="72"/>
  <c r="AT22" i="72"/>
  <c r="AQ22" i="72"/>
  <c r="AN22" i="72"/>
  <c r="AI22" i="72"/>
  <c r="AB22" i="72"/>
  <c r="Y22" i="72"/>
  <c r="V22" i="72"/>
  <c r="S22" i="72"/>
  <c r="P22" i="72"/>
  <c r="M22" i="72"/>
  <c r="J22" i="72"/>
  <c r="G22" i="72"/>
  <c r="D22" i="72"/>
  <c r="EL21" i="72"/>
  <c r="EG21" i="72"/>
  <c r="EI21" i="72" s="1"/>
  <c r="DW21" i="72"/>
  <c r="DT21" i="72"/>
  <c r="DQ21" i="72"/>
  <c r="DN21" i="72"/>
  <c r="DK21" i="72"/>
  <c r="DH21" i="72"/>
  <c r="DE21" i="72"/>
  <c r="DB21" i="72"/>
  <c r="CY21" i="72"/>
  <c r="CV21" i="72"/>
  <c r="CS21" i="72"/>
  <c r="CP21" i="72"/>
  <c r="CM21" i="72"/>
  <c r="CJ21" i="72"/>
  <c r="CG21" i="72"/>
  <c r="CD21" i="72"/>
  <c r="CA21" i="72"/>
  <c r="BX21" i="72"/>
  <c r="BU21" i="72"/>
  <c r="BR21" i="72"/>
  <c r="BO21" i="72"/>
  <c r="BL21" i="72"/>
  <c r="BI21" i="72"/>
  <c r="BF21" i="72"/>
  <c r="BC21" i="72"/>
  <c r="AZ21" i="72"/>
  <c r="AW21" i="72"/>
  <c r="AT21" i="72"/>
  <c r="AQ21" i="72"/>
  <c r="AN21" i="72"/>
  <c r="AK21" i="72"/>
  <c r="AI21" i="72"/>
  <c r="EB21" i="72" s="1"/>
  <c r="AB21" i="72"/>
  <c r="Y21" i="72"/>
  <c r="V21" i="72"/>
  <c r="S21" i="72"/>
  <c r="EH21" i="72" s="1"/>
  <c r="P21" i="72"/>
  <c r="M21" i="72"/>
  <c r="J21" i="72"/>
  <c r="G21" i="72"/>
  <c r="D21" i="72"/>
  <c r="EL20" i="72"/>
  <c r="EG20" i="72"/>
  <c r="EI20" i="72" s="1"/>
  <c r="EB20" i="72"/>
  <c r="DW20" i="72"/>
  <c r="DT20" i="72"/>
  <c r="DQ20" i="72"/>
  <c r="DN20" i="72"/>
  <c r="DK20" i="72"/>
  <c r="DH20" i="72"/>
  <c r="DE20" i="72"/>
  <c r="DB20" i="72"/>
  <c r="CY20" i="72"/>
  <c r="CV20" i="72"/>
  <c r="CS20" i="72"/>
  <c r="CP20" i="72"/>
  <c r="CM20" i="72"/>
  <c r="CJ20" i="72"/>
  <c r="CG20" i="72"/>
  <c r="CD20" i="72"/>
  <c r="CA20" i="72"/>
  <c r="BX20" i="72"/>
  <c r="BU20" i="72"/>
  <c r="BR20" i="72"/>
  <c r="BO20" i="72"/>
  <c r="BL20" i="72"/>
  <c r="BI20" i="72"/>
  <c r="BF20" i="72"/>
  <c r="BC20" i="72"/>
  <c r="AZ20" i="72"/>
  <c r="AW20" i="72"/>
  <c r="AT20" i="72"/>
  <c r="AQ20" i="72"/>
  <c r="AN20" i="72"/>
  <c r="AI20" i="72"/>
  <c r="EK20" i="72" s="1"/>
  <c r="AB20" i="72"/>
  <c r="Y20" i="72"/>
  <c r="V20" i="72"/>
  <c r="S20" i="72"/>
  <c r="EH20" i="72" s="1"/>
  <c r="P20" i="72"/>
  <c r="M20" i="72"/>
  <c r="J20" i="72"/>
  <c r="G20" i="72"/>
  <c r="D20" i="72"/>
  <c r="EL19" i="72"/>
  <c r="EK19" i="72"/>
  <c r="EG19" i="72"/>
  <c r="EI19" i="72" s="1"/>
  <c r="DW19" i="72"/>
  <c r="DT19" i="72"/>
  <c r="DQ19" i="72"/>
  <c r="DN19" i="72"/>
  <c r="DK19" i="72"/>
  <c r="DH19" i="72"/>
  <c r="DE19" i="72"/>
  <c r="DB19" i="72"/>
  <c r="CY19" i="72"/>
  <c r="CV19" i="72"/>
  <c r="CS19" i="72"/>
  <c r="CP19" i="72"/>
  <c r="CM19" i="72"/>
  <c r="CJ19" i="72"/>
  <c r="CG19" i="72"/>
  <c r="CD19" i="72"/>
  <c r="CA19" i="72"/>
  <c r="BX19" i="72"/>
  <c r="BU19" i="72"/>
  <c r="BR19" i="72"/>
  <c r="BO19" i="72"/>
  <c r="BL19" i="72"/>
  <c r="BI19" i="72"/>
  <c r="BF19" i="72"/>
  <c r="BC19" i="72"/>
  <c r="AZ19" i="72"/>
  <c r="AW19" i="72"/>
  <c r="AT19" i="72"/>
  <c r="AQ19" i="72"/>
  <c r="AN19" i="72"/>
  <c r="AI19" i="72"/>
  <c r="EB19" i="72" s="1"/>
  <c r="EC19" i="72" s="1"/>
  <c r="AB19" i="72"/>
  <c r="Y19" i="72"/>
  <c r="V19" i="72"/>
  <c r="S19" i="72"/>
  <c r="P19" i="72"/>
  <c r="M19" i="72"/>
  <c r="J19" i="72"/>
  <c r="G19" i="72"/>
  <c r="D19" i="72"/>
  <c r="EL18" i="72"/>
  <c r="EK18" i="72"/>
  <c r="EG18" i="72"/>
  <c r="EI18" i="72" s="1"/>
  <c r="EB18" i="72"/>
  <c r="DW18" i="72"/>
  <c r="DT18" i="72"/>
  <c r="DQ18" i="72"/>
  <c r="DN18" i="72"/>
  <c r="DK18" i="72"/>
  <c r="DH18" i="72"/>
  <c r="DE18" i="72"/>
  <c r="DB18" i="72"/>
  <c r="CY18" i="72"/>
  <c r="CV18" i="72"/>
  <c r="CS18" i="72"/>
  <c r="CP18" i="72"/>
  <c r="CM18" i="72"/>
  <c r="CJ18" i="72"/>
  <c r="CG18" i="72"/>
  <c r="CD18" i="72"/>
  <c r="CA18" i="72"/>
  <c r="BX18" i="72"/>
  <c r="BU18" i="72"/>
  <c r="BR18" i="72"/>
  <c r="BO18" i="72"/>
  <c r="BL18" i="72"/>
  <c r="BI18" i="72"/>
  <c r="BF18" i="72"/>
  <c r="BC18" i="72"/>
  <c r="AZ18" i="72"/>
  <c r="AW18" i="72"/>
  <c r="AT18" i="72"/>
  <c r="AQ18" i="72"/>
  <c r="AN18" i="72"/>
  <c r="AK18" i="72"/>
  <c r="AB18" i="72"/>
  <c r="Y18" i="72"/>
  <c r="V18" i="72"/>
  <c r="S18" i="72"/>
  <c r="EH18" i="72" s="1"/>
  <c r="P18" i="72"/>
  <c r="M18" i="72"/>
  <c r="J18" i="72"/>
  <c r="G18" i="72"/>
  <c r="D18" i="72"/>
  <c r="EL17" i="72"/>
  <c r="EK17" i="72"/>
  <c r="EG17" i="72"/>
  <c r="EI17" i="72" s="1"/>
  <c r="EB17" i="72"/>
  <c r="EC17" i="72" s="1"/>
  <c r="DW17" i="72"/>
  <c r="DT17" i="72"/>
  <c r="DQ17" i="72"/>
  <c r="DN17" i="72"/>
  <c r="DK17" i="72"/>
  <c r="DH17" i="72"/>
  <c r="DE17" i="72"/>
  <c r="DB17" i="72"/>
  <c r="CY17" i="72"/>
  <c r="CV17" i="72"/>
  <c r="CS17" i="72"/>
  <c r="CP17" i="72"/>
  <c r="CM17" i="72"/>
  <c r="CJ17" i="72"/>
  <c r="CG17" i="72"/>
  <c r="CD17" i="72"/>
  <c r="CA17" i="72"/>
  <c r="BX17" i="72"/>
  <c r="BU17" i="72"/>
  <c r="BR17" i="72"/>
  <c r="BO17" i="72"/>
  <c r="BL17" i="72"/>
  <c r="BI17" i="72"/>
  <c r="BF17" i="72"/>
  <c r="BC17" i="72"/>
  <c r="AZ17" i="72"/>
  <c r="AW17" i="72"/>
  <c r="AT17" i="72"/>
  <c r="AQ17" i="72"/>
  <c r="AN17" i="72"/>
  <c r="AK17" i="72"/>
  <c r="AB17" i="72"/>
  <c r="Y17" i="72"/>
  <c r="V17" i="72"/>
  <c r="S17" i="72"/>
  <c r="EH17" i="72" s="1"/>
  <c r="P17" i="72"/>
  <c r="M17" i="72"/>
  <c r="J17" i="72"/>
  <c r="G17" i="72"/>
  <c r="D17" i="72"/>
  <c r="EL16" i="72"/>
  <c r="EK16" i="72"/>
  <c r="EG16" i="72"/>
  <c r="EI16" i="72" s="1"/>
  <c r="EB16" i="72"/>
  <c r="EC16" i="72" s="1"/>
  <c r="DW16" i="72"/>
  <c r="DT16" i="72"/>
  <c r="DQ16" i="72"/>
  <c r="DN16" i="72"/>
  <c r="DK16" i="72"/>
  <c r="DH16" i="72"/>
  <c r="DE16" i="72"/>
  <c r="DB16" i="72"/>
  <c r="CY16" i="72"/>
  <c r="CV16" i="72"/>
  <c r="CS16" i="72"/>
  <c r="CP16" i="72"/>
  <c r="CM16" i="72"/>
  <c r="CJ16" i="72"/>
  <c r="CG16" i="72"/>
  <c r="CD16" i="72"/>
  <c r="CA16" i="72"/>
  <c r="BX16" i="72"/>
  <c r="BU16" i="72"/>
  <c r="BR16" i="72"/>
  <c r="BO16" i="72"/>
  <c r="BL16" i="72"/>
  <c r="BI16" i="72"/>
  <c r="BF16" i="72"/>
  <c r="BC16" i="72"/>
  <c r="AZ16" i="72"/>
  <c r="AW16" i="72"/>
  <c r="AT16" i="72"/>
  <c r="AQ16" i="72"/>
  <c r="AN16" i="72"/>
  <c r="AK16" i="72"/>
  <c r="AB16" i="72"/>
  <c r="Y16" i="72"/>
  <c r="V16" i="72"/>
  <c r="EH16" i="72" s="1"/>
  <c r="S16" i="72"/>
  <c r="P16" i="72"/>
  <c r="M16" i="72"/>
  <c r="J16" i="72"/>
  <c r="G16" i="72"/>
  <c r="D16" i="72"/>
  <c r="EL15" i="72"/>
  <c r="EK15" i="72"/>
  <c r="EI15" i="72"/>
  <c r="EG15" i="72"/>
  <c r="EB15" i="72"/>
  <c r="DW15" i="72"/>
  <c r="DT15" i="72"/>
  <c r="DQ15" i="72"/>
  <c r="DN15" i="72"/>
  <c r="DK15" i="72"/>
  <c r="DH15" i="72"/>
  <c r="DE15" i="72"/>
  <c r="DB15" i="72"/>
  <c r="CY15" i="72"/>
  <c r="CV15" i="72"/>
  <c r="CS15" i="72"/>
  <c r="CP15" i="72"/>
  <c r="CM15" i="72"/>
  <c r="CJ15" i="72"/>
  <c r="CG15" i="72"/>
  <c r="CD15" i="72"/>
  <c r="CA15" i="72"/>
  <c r="BX15" i="72"/>
  <c r="BU15" i="72"/>
  <c r="BR15" i="72"/>
  <c r="BO15" i="72"/>
  <c r="BL15" i="72"/>
  <c r="BI15" i="72"/>
  <c r="BF15" i="72"/>
  <c r="BC15" i="72"/>
  <c r="AZ15" i="72"/>
  <c r="AW15" i="72"/>
  <c r="AT15" i="72"/>
  <c r="AQ15" i="72"/>
  <c r="AN15" i="72"/>
  <c r="AK15" i="72"/>
  <c r="AB15" i="72"/>
  <c r="Y15" i="72"/>
  <c r="V15" i="72"/>
  <c r="S15" i="72"/>
  <c r="P15" i="72"/>
  <c r="M15" i="72"/>
  <c r="J15" i="72"/>
  <c r="G15" i="72"/>
  <c r="D15" i="72"/>
  <c r="EL14" i="72"/>
  <c r="EK14" i="72"/>
  <c r="EG14" i="72"/>
  <c r="EI14" i="72" s="1"/>
  <c r="EB14" i="72"/>
  <c r="EC14" i="72" s="1"/>
  <c r="DW14" i="72"/>
  <c r="DT14" i="72"/>
  <c r="DQ14" i="72"/>
  <c r="DN14" i="72"/>
  <c r="DK14" i="72"/>
  <c r="DH14" i="72"/>
  <c r="DE14" i="72"/>
  <c r="DB14" i="72"/>
  <c r="CY14" i="72"/>
  <c r="CV14" i="72"/>
  <c r="CS14" i="72"/>
  <c r="CP14" i="72"/>
  <c r="CM14" i="72"/>
  <c r="CJ14" i="72"/>
  <c r="CG14" i="72"/>
  <c r="CD14" i="72"/>
  <c r="CA14" i="72"/>
  <c r="BX14" i="72"/>
  <c r="BU14" i="72"/>
  <c r="BR14" i="72"/>
  <c r="BO14" i="72"/>
  <c r="BL14" i="72"/>
  <c r="BI14" i="72"/>
  <c r="BF14" i="72"/>
  <c r="BC14" i="72"/>
  <c r="AZ14" i="72"/>
  <c r="AW14" i="72"/>
  <c r="AT14" i="72"/>
  <c r="AQ14" i="72"/>
  <c r="AN14" i="72"/>
  <c r="AK14" i="72"/>
  <c r="AB14" i="72"/>
  <c r="Y14" i="72"/>
  <c r="V14" i="72"/>
  <c r="S14" i="72"/>
  <c r="EH14" i="72" s="1"/>
  <c r="P14" i="72"/>
  <c r="M14" i="72"/>
  <c r="J14" i="72"/>
  <c r="G14" i="72"/>
  <c r="D14" i="72"/>
  <c r="EL13" i="72"/>
  <c r="EK13" i="72"/>
  <c r="EG13" i="72"/>
  <c r="EI13" i="72" s="1"/>
  <c r="EB13" i="72"/>
  <c r="EC13" i="72" s="1"/>
  <c r="DW13" i="72"/>
  <c r="DT13" i="72"/>
  <c r="DQ13" i="72"/>
  <c r="DN13" i="72"/>
  <c r="DK13" i="72"/>
  <c r="DH13" i="72"/>
  <c r="DE13" i="72"/>
  <c r="DB13" i="72"/>
  <c r="CY13" i="72"/>
  <c r="CV13" i="72"/>
  <c r="CS13" i="72"/>
  <c r="CP13" i="72"/>
  <c r="CM13" i="72"/>
  <c r="CJ13" i="72"/>
  <c r="CG13" i="72"/>
  <c r="CD13" i="72"/>
  <c r="CA13" i="72"/>
  <c r="BX13" i="72"/>
  <c r="BU13" i="72"/>
  <c r="BR13" i="72"/>
  <c r="BO13" i="72"/>
  <c r="BL13" i="72"/>
  <c r="BI13" i="72"/>
  <c r="BF13" i="72"/>
  <c r="BC13" i="72"/>
  <c r="AZ13" i="72"/>
  <c r="AW13" i="72"/>
  <c r="AT13" i="72"/>
  <c r="AQ13" i="72"/>
  <c r="AN13" i="72"/>
  <c r="AK13" i="72"/>
  <c r="AB13" i="72"/>
  <c r="Y13" i="72"/>
  <c r="V13" i="72"/>
  <c r="S13" i="72"/>
  <c r="P13" i="72"/>
  <c r="M13" i="72"/>
  <c r="J13" i="72"/>
  <c r="G13" i="72"/>
  <c r="D13" i="72"/>
  <c r="ED13" i="72" s="1"/>
  <c r="EE13" i="72" s="1"/>
  <c r="EL12" i="72"/>
  <c r="EK12" i="72"/>
  <c r="EI12" i="72"/>
  <c r="EG12" i="72"/>
  <c r="EB12" i="72"/>
  <c r="DW12" i="72"/>
  <c r="DT12" i="72"/>
  <c r="DQ12" i="72"/>
  <c r="DN12" i="72"/>
  <c r="DK12" i="72"/>
  <c r="DH12" i="72"/>
  <c r="DE12" i="72"/>
  <c r="DB12" i="72"/>
  <c r="CY12" i="72"/>
  <c r="CV12" i="72"/>
  <c r="CS12" i="72"/>
  <c r="CP12" i="72"/>
  <c r="CM12" i="72"/>
  <c r="CJ12" i="72"/>
  <c r="CG12" i="72"/>
  <c r="CD12" i="72"/>
  <c r="CA12" i="72"/>
  <c r="BX12" i="72"/>
  <c r="BU12" i="72"/>
  <c r="BR12" i="72"/>
  <c r="BO12" i="72"/>
  <c r="BL12" i="72"/>
  <c r="BI12" i="72"/>
  <c r="BF12" i="72"/>
  <c r="BC12" i="72"/>
  <c r="AZ12" i="72"/>
  <c r="AW12" i="72"/>
  <c r="AT12" i="72"/>
  <c r="AQ12" i="72"/>
  <c r="AN12" i="72"/>
  <c r="AK12" i="72"/>
  <c r="AB12" i="72"/>
  <c r="Y12" i="72"/>
  <c r="V12" i="72"/>
  <c r="S12" i="72"/>
  <c r="P12" i="72"/>
  <c r="M12" i="72"/>
  <c r="J12" i="72"/>
  <c r="G12" i="72"/>
  <c r="D12" i="72"/>
  <c r="A12" i="72"/>
  <c r="A13" i="72" s="1"/>
  <c r="A14" i="72" s="1"/>
  <c r="A15" i="72" s="1"/>
  <c r="A16" i="72" s="1"/>
  <c r="A17" i="72" s="1"/>
  <c r="A18" i="72" s="1"/>
  <c r="A19" i="72" s="1"/>
  <c r="A20" i="72" s="1"/>
  <c r="A21" i="72" s="1"/>
  <c r="A22" i="72" s="1"/>
  <c r="A23" i="72" s="1"/>
  <c r="A24" i="72" s="1"/>
  <c r="A25" i="72" s="1"/>
  <c r="A26" i="72" s="1"/>
  <c r="A27" i="72" s="1"/>
  <c r="A28" i="72" s="1"/>
  <c r="A29" i="72" s="1"/>
  <c r="A30" i="72" s="1"/>
  <c r="A31" i="72" s="1"/>
  <c r="A32" i="72" s="1"/>
  <c r="A33" i="72" s="1"/>
  <c r="A34" i="72" s="1"/>
  <c r="A35" i="72" s="1"/>
  <c r="A36" i="72" s="1"/>
  <c r="A37" i="72" s="1"/>
  <c r="A38" i="72" s="1"/>
  <c r="A39" i="72" s="1"/>
  <c r="A40" i="72" s="1"/>
  <c r="EL11" i="72"/>
  <c r="EG11" i="72"/>
  <c r="EB11" i="72"/>
  <c r="DW11" i="72"/>
  <c r="DT11" i="72"/>
  <c r="DQ11" i="72"/>
  <c r="DN11" i="72"/>
  <c r="DK11" i="72"/>
  <c r="DH11" i="72"/>
  <c r="DE11" i="72"/>
  <c r="DB11" i="72"/>
  <c r="CY11" i="72"/>
  <c r="CV11" i="72"/>
  <c r="CS11" i="72"/>
  <c r="CP11" i="72"/>
  <c r="CM11" i="72"/>
  <c r="CJ11" i="72"/>
  <c r="CG11" i="72"/>
  <c r="CD11" i="72"/>
  <c r="CA11" i="72"/>
  <c r="BX11" i="72"/>
  <c r="BU11" i="72"/>
  <c r="BR11" i="72"/>
  <c r="BO11" i="72"/>
  <c r="BL11" i="72"/>
  <c r="BI11" i="72"/>
  <c r="BF11" i="72"/>
  <c r="BC11" i="72"/>
  <c r="AZ11" i="72"/>
  <c r="AW11" i="72"/>
  <c r="AT11" i="72"/>
  <c r="AQ11" i="72"/>
  <c r="AN11" i="72"/>
  <c r="AI11" i="72"/>
  <c r="AB11" i="72"/>
  <c r="Y11" i="72"/>
  <c r="V11" i="72"/>
  <c r="S11" i="72"/>
  <c r="P11" i="72"/>
  <c r="M11" i="72"/>
  <c r="J11" i="72"/>
  <c r="G11" i="72"/>
  <c r="D11" i="72"/>
  <c r="EI2" i="72"/>
  <c r="EE2" i="72"/>
  <c r="EQ2" i="72" s="1"/>
  <c r="G4" i="72" s="1"/>
  <c r="EH26" i="72" l="1"/>
  <c r="EH31" i="72"/>
  <c r="DN42" i="72"/>
  <c r="DQ42" i="72"/>
  <c r="BO42" i="72"/>
  <c r="BX42" i="72"/>
  <c r="ED25" i="72"/>
  <c r="EM25" i="72"/>
  <c r="EN25" i="72" s="1"/>
  <c r="EM27" i="72"/>
  <c r="EC39" i="72"/>
  <c r="EH12" i="72"/>
  <c r="ED18" i="72"/>
  <c r="EE18" i="72" s="1"/>
  <c r="EH29" i="72"/>
  <c r="EM34" i="72"/>
  <c r="EH35" i="72"/>
  <c r="AT42" i="72"/>
  <c r="G42" i="72"/>
  <c r="AW42" i="72"/>
  <c r="CG42" i="72"/>
  <c r="CA42" i="72"/>
  <c r="J42" i="72"/>
  <c r="EH13" i="72"/>
  <c r="CD42" i="72"/>
  <c r="BU42" i="72"/>
  <c r="EM21" i="72"/>
  <c r="EH34" i="72"/>
  <c r="ED17" i="72"/>
  <c r="BR42" i="72"/>
  <c r="EM23" i="72"/>
  <c r="EN23" i="72" s="1"/>
  <c r="ED16" i="72"/>
  <c r="EE16" i="72" s="1"/>
  <c r="ED24" i="72"/>
  <c r="EM41" i="72"/>
  <c r="EN41" i="72" s="1"/>
  <c r="EH33" i="72"/>
  <c r="ED15" i="72"/>
  <c r="EE15" i="72" s="1"/>
  <c r="EH22" i="72"/>
  <c r="EH37" i="72"/>
  <c r="EH15" i="72"/>
  <c r="EH19" i="72"/>
  <c r="EM30" i="72"/>
  <c r="EM18" i="72"/>
  <c r="EN18" i="72" s="1"/>
  <c r="AZ42" i="72"/>
  <c r="DT42" i="72"/>
  <c r="EM17" i="72"/>
  <c r="EN17" i="72" s="1"/>
  <c r="ED21" i="72"/>
  <c r="EE21" i="72" s="1"/>
  <c r="ED22" i="72"/>
  <c r="EE22" i="72" s="1"/>
  <c r="EC29" i="72"/>
  <c r="M42" i="72"/>
  <c r="BC42" i="72"/>
  <c r="CM42" i="72"/>
  <c r="DW42" i="72"/>
  <c r="EC12" i="72"/>
  <c r="EM16" i="72"/>
  <c r="EN16" i="72" s="1"/>
  <c r="EC18" i="72"/>
  <c r="ED27" i="72"/>
  <c r="EE27" i="72" s="1"/>
  <c r="EN30" i="72"/>
  <c r="EN34" i="72"/>
  <c r="EB38" i="72"/>
  <c r="ED40" i="72"/>
  <c r="P42" i="72"/>
  <c r="BF42" i="72"/>
  <c r="CP42" i="72"/>
  <c r="EE17" i="72"/>
  <c r="EM32" i="72"/>
  <c r="EN32" i="72" s="1"/>
  <c r="AN38" i="72"/>
  <c r="EM38" i="72" s="1"/>
  <c r="EN38" i="72" s="1"/>
  <c r="D42" i="72"/>
  <c r="V42" i="72"/>
  <c r="BL42" i="72"/>
  <c r="CV42" i="72"/>
  <c r="ED11" i="72"/>
  <c r="EE11" i="72" s="1"/>
  <c r="EC28" i="72"/>
  <c r="AK29" i="72"/>
  <c r="EM29" i="72" s="1"/>
  <c r="EN29" i="72" s="1"/>
  <c r="EM35" i="72"/>
  <c r="ED39" i="72"/>
  <c r="Y42" i="72"/>
  <c r="CY42" i="72"/>
  <c r="EM15" i="72"/>
  <c r="EN15" i="72" s="1"/>
  <c r="EK24" i="72"/>
  <c r="EB24" i="72"/>
  <c r="AK26" i="72"/>
  <c r="ED26" i="72" s="1"/>
  <c r="EE26" i="72" s="1"/>
  <c r="EK26" i="72"/>
  <c r="AK28" i="72"/>
  <c r="EM28" i="72" s="1"/>
  <c r="EN28" i="72" s="1"/>
  <c r="EH32" i="72"/>
  <c r="EC32" i="72"/>
  <c r="EM37" i="72"/>
  <c r="ED14" i="72"/>
  <c r="EE14" i="72" s="1"/>
  <c r="EC30" i="72"/>
  <c r="AQ36" i="72"/>
  <c r="ED37" i="72"/>
  <c r="EE37" i="72" s="1"/>
  <c r="EK40" i="72"/>
  <c r="EN40" i="72" s="1"/>
  <c r="EM12" i="72"/>
  <c r="EN12" i="72" s="1"/>
  <c r="CJ42" i="72"/>
  <c r="EB40" i="72"/>
  <c r="S42" i="72"/>
  <c r="EH11" i="72"/>
  <c r="BI42" i="72"/>
  <c r="CS42" i="72"/>
  <c r="DE42" i="72"/>
  <c r="ED38" i="72"/>
  <c r="DB42" i="72"/>
  <c r="EM14" i="72"/>
  <c r="EN14" i="72" s="1"/>
  <c r="ED23" i="72"/>
  <c r="EE23" i="72" s="1"/>
  <c r="DH42" i="72"/>
  <c r="EM13" i="72"/>
  <c r="EC15" i="72"/>
  <c r="EC20" i="72"/>
  <c r="ED34" i="72"/>
  <c r="EE34" i="72" s="1"/>
  <c r="EE35" i="72"/>
  <c r="EC35" i="72"/>
  <c r="AQ42" i="72"/>
  <c r="DK42" i="72"/>
  <c r="EM40" i="72"/>
  <c r="ED41" i="72"/>
  <c r="EK11" i="72"/>
  <c r="AK11" i="72"/>
  <c r="EM11" i="72" s="1"/>
  <c r="ED28" i="72"/>
  <c r="EE28" i="72" s="1"/>
  <c r="EK31" i="72"/>
  <c r="EH39" i="72"/>
  <c r="EE39" i="72"/>
  <c r="AB42" i="72"/>
  <c r="EI3" i="72"/>
  <c r="EI4" i="72" s="1"/>
  <c r="EI11" i="72"/>
  <c r="EM24" i="72"/>
  <c r="AK31" i="72"/>
  <c r="EM31" i="72" s="1"/>
  <c r="ED35" i="72"/>
  <c r="EI5" i="72"/>
  <c r="EN13" i="72"/>
  <c r="EM26" i="72"/>
  <c r="ED30" i="72"/>
  <c r="EE30" i="72" s="1"/>
  <c r="EE41" i="72"/>
  <c r="EE25" i="72"/>
  <c r="AN33" i="72"/>
  <c r="EM33" i="72" s="1"/>
  <c r="EB36" i="72"/>
  <c r="EC41" i="72"/>
  <c r="ED12" i="72"/>
  <c r="EE12" i="72" s="1"/>
  <c r="AK19" i="72"/>
  <c r="ED19" i="72" s="1"/>
  <c r="EE19" i="72" s="1"/>
  <c r="EK21" i="72"/>
  <c r="EN21" i="72" s="1"/>
  <c r="EK22" i="72"/>
  <c r="EC22" i="72" s="1"/>
  <c r="AK22" i="72"/>
  <c r="EM22" i="72" s="1"/>
  <c r="EC25" i="72"/>
  <c r="ED32" i="72"/>
  <c r="EE32" i="72" s="1"/>
  <c r="EK33" i="72"/>
  <c r="EC34" i="72"/>
  <c r="AN36" i="72"/>
  <c r="AN42" i="72" s="1"/>
  <c r="EC23" i="72"/>
  <c r="EK35" i="72"/>
  <c r="EN35" i="72" s="1"/>
  <c r="AK20" i="72"/>
  <c r="ED20" i="72" s="1"/>
  <c r="EE20" i="72" s="1"/>
  <c r="EK27" i="72"/>
  <c r="EK37" i="72"/>
  <c r="EM36" i="72" l="1"/>
  <c r="EN36" i="72" s="1"/>
  <c r="EN37" i="72"/>
  <c r="ED33" i="72"/>
  <c r="EE33" i="72" s="1"/>
  <c r="EC40" i="72"/>
  <c r="EE40" i="72"/>
  <c r="EE3" i="72"/>
  <c r="EN27" i="72"/>
  <c r="EC27" i="72"/>
  <c r="EN31" i="72"/>
  <c r="EC31" i="72"/>
  <c r="EN3" i="72"/>
  <c r="EN5" i="72"/>
  <c r="EN11" i="72"/>
  <c r="EC11" i="72"/>
  <c r="EM19" i="72"/>
  <c r="EN19" i="72" s="1"/>
  <c r="EC38" i="72"/>
  <c r="EE38" i="72"/>
  <c r="EN26" i="72"/>
  <c r="EE36" i="72"/>
  <c r="EC36" i="72"/>
  <c r="ED31" i="72"/>
  <c r="EE31" i="72" s="1"/>
  <c r="EC24" i="72"/>
  <c r="EE24" i="72"/>
  <c r="EN22" i="72"/>
  <c r="EC21" i="72"/>
  <c r="AK42" i="72"/>
  <c r="ED36" i="72"/>
  <c r="EH42" i="72"/>
  <c r="EN24" i="72"/>
  <c r="EC26" i="72"/>
  <c r="ED29" i="72"/>
  <c r="EE29" i="72" s="1"/>
  <c r="EC37" i="72"/>
  <c r="EN33" i="72"/>
  <c r="EC33" i="72"/>
  <c r="EM20" i="72"/>
  <c r="EN20" i="72" s="1"/>
  <c r="EE5" i="72"/>
  <c r="G7" i="72" s="1"/>
  <c r="EN4" i="72" l="1"/>
  <c r="ED42" i="72"/>
  <c r="G5" i="72"/>
  <c r="EE4" i="72"/>
  <c r="G6" i="72" s="1"/>
  <c r="EM42" i="72"/>
  <c r="AH42" i="73"/>
  <c r="AE42" i="73"/>
  <c r="EL41" i="73"/>
  <c r="EG41" i="73"/>
  <c r="EI41" i="73" s="1"/>
  <c r="EB41" i="73"/>
  <c r="DW41" i="73"/>
  <c r="DT41" i="73"/>
  <c r="DQ41" i="73"/>
  <c r="DN41" i="73"/>
  <c r="DK41" i="73"/>
  <c r="DH41" i="73"/>
  <c r="DE41" i="73"/>
  <c r="DB41" i="73"/>
  <c r="CY41" i="73"/>
  <c r="CV41" i="73"/>
  <c r="CS41" i="73"/>
  <c r="CP41" i="73"/>
  <c r="CM41" i="73"/>
  <c r="CJ41" i="73"/>
  <c r="CG41" i="73"/>
  <c r="CD41" i="73"/>
  <c r="CA41" i="73"/>
  <c r="BX41" i="73"/>
  <c r="BU41" i="73"/>
  <c r="BR41" i="73"/>
  <c r="BO41" i="73"/>
  <c r="BL41" i="73"/>
  <c r="BI41" i="73"/>
  <c r="BF41" i="73"/>
  <c r="BC41" i="73"/>
  <c r="AZ41" i="73"/>
  <c r="AX41" i="73"/>
  <c r="AW41" i="73"/>
  <c r="AU41" i="73"/>
  <c r="AT41" i="73"/>
  <c r="AO41" i="73"/>
  <c r="AQ41" i="73" s="1"/>
  <c r="AL41" i="73"/>
  <c r="AN41" i="73" s="1"/>
  <c r="AI41" i="73"/>
  <c r="AK41" i="73" s="1"/>
  <c r="AB41" i="73"/>
  <c r="Y41" i="73"/>
  <c r="V41" i="73"/>
  <c r="S41" i="73"/>
  <c r="P41" i="73"/>
  <c r="M41" i="73"/>
  <c r="J41" i="73"/>
  <c r="G41" i="73"/>
  <c r="D41" i="73"/>
  <c r="EL40" i="73"/>
  <c r="EK40" i="73"/>
  <c r="EI40" i="73"/>
  <c r="EG40" i="73"/>
  <c r="DW40" i="73"/>
  <c r="DT40" i="73"/>
  <c r="DQ40" i="73"/>
  <c r="DN40" i="73"/>
  <c r="DK40" i="73"/>
  <c r="DH40" i="73"/>
  <c r="DE40" i="73"/>
  <c r="DB40" i="73"/>
  <c r="CY40" i="73"/>
  <c r="CV40" i="73"/>
  <c r="CS40" i="73"/>
  <c r="CP40" i="73"/>
  <c r="CM40" i="73"/>
  <c r="CJ40" i="73"/>
  <c r="CG40" i="73"/>
  <c r="CD40" i="73"/>
  <c r="CA40" i="73"/>
  <c r="BX40" i="73"/>
  <c r="BU40" i="73"/>
  <c r="BR40" i="73"/>
  <c r="BO40" i="73"/>
  <c r="BL40" i="73"/>
  <c r="BI40" i="73"/>
  <c r="BF40" i="73"/>
  <c r="BC40" i="73"/>
  <c r="AZ40" i="73"/>
  <c r="AX40" i="73"/>
  <c r="AU40" i="73"/>
  <c r="EB40" i="73" s="1"/>
  <c r="AT40" i="73"/>
  <c r="AQ40" i="73"/>
  <c r="AO40" i="73"/>
  <c r="AN40" i="73"/>
  <c r="AL40" i="73"/>
  <c r="AI40" i="73"/>
  <c r="AK40" i="73" s="1"/>
  <c r="AB40" i="73"/>
  <c r="EH40" i="73" s="1"/>
  <c r="Y40" i="73"/>
  <c r="V40" i="73"/>
  <c r="S40" i="73"/>
  <c r="P40" i="73"/>
  <c r="M40" i="73"/>
  <c r="J40" i="73"/>
  <c r="G40" i="73"/>
  <c r="D40" i="73"/>
  <c r="EL39" i="73"/>
  <c r="EK39" i="73"/>
  <c r="EG39" i="73"/>
  <c r="EI39" i="73" s="1"/>
  <c r="DW39" i="73"/>
  <c r="DT39" i="73"/>
  <c r="DQ39" i="73"/>
  <c r="DN39" i="73"/>
  <c r="DK39" i="73"/>
  <c r="DH39" i="73"/>
  <c r="DE39" i="73"/>
  <c r="DB39" i="73"/>
  <c r="CY39" i="73"/>
  <c r="CV39" i="73"/>
  <c r="CS39" i="73"/>
  <c r="CP39" i="73"/>
  <c r="CM39" i="73"/>
  <c r="CJ39" i="73"/>
  <c r="CG39" i="73"/>
  <c r="CD39" i="73"/>
  <c r="CA39" i="73"/>
  <c r="BX39" i="73"/>
  <c r="BU39" i="73"/>
  <c r="BR39" i="73"/>
  <c r="BO39" i="73"/>
  <c r="BL39" i="73"/>
  <c r="BI39" i="73"/>
  <c r="BF39" i="73"/>
  <c r="BC39" i="73"/>
  <c r="AX39" i="73"/>
  <c r="AZ39" i="73" s="1"/>
  <c r="AU39" i="73"/>
  <c r="AW39" i="73" s="1"/>
  <c r="AT39" i="73"/>
  <c r="AO39" i="73"/>
  <c r="AQ39" i="73" s="1"/>
  <c r="AN39" i="73"/>
  <c r="AL39" i="73"/>
  <c r="AI39" i="73"/>
  <c r="AK39" i="73" s="1"/>
  <c r="AB39" i="73"/>
  <c r="Y39" i="73"/>
  <c r="V39" i="73"/>
  <c r="S39" i="73"/>
  <c r="P39" i="73"/>
  <c r="M39" i="73"/>
  <c r="J39" i="73"/>
  <c r="G39" i="73"/>
  <c r="D39" i="73"/>
  <c r="EL38" i="73"/>
  <c r="EG38" i="73"/>
  <c r="EI38" i="73" s="1"/>
  <c r="DW38" i="73"/>
  <c r="DT38" i="73"/>
  <c r="DQ38" i="73"/>
  <c r="DN38" i="73"/>
  <c r="DK38" i="73"/>
  <c r="DH38" i="73"/>
  <c r="DE38" i="73"/>
  <c r="DB38" i="73"/>
  <c r="CY38" i="73"/>
  <c r="CV38" i="73"/>
  <c r="CS38" i="73"/>
  <c r="CP38" i="73"/>
  <c r="CM38" i="73"/>
  <c r="CJ38" i="73"/>
  <c r="CG38" i="73"/>
  <c r="CD38" i="73"/>
  <c r="CA38" i="73"/>
  <c r="BX38" i="73"/>
  <c r="BU38" i="73"/>
  <c r="BR38" i="73"/>
  <c r="BO38" i="73"/>
  <c r="BL38" i="73"/>
  <c r="BI38" i="73"/>
  <c r="BF38" i="73"/>
  <c r="BC38" i="73"/>
  <c r="AX38" i="73"/>
  <c r="AZ38" i="73" s="1"/>
  <c r="AU38" i="73"/>
  <c r="AW38" i="73" s="1"/>
  <c r="AR38" i="73"/>
  <c r="AQ38" i="73"/>
  <c r="AO38" i="73"/>
  <c r="AL38" i="73"/>
  <c r="AN38" i="73" s="1"/>
  <c r="AI38" i="73"/>
  <c r="AK38" i="73" s="1"/>
  <c r="AB38" i="73"/>
  <c r="Y38" i="73"/>
  <c r="V38" i="73"/>
  <c r="S38" i="73"/>
  <c r="EH38" i="73" s="1"/>
  <c r="P38" i="73"/>
  <c r="M38" i="73"/>
  <c r="J38" i="73"/>
  <c r="G38" i="73"/>
  <c r="D38" i="73"/>
  <c r="EL37" i="73"/>
  <c r="EG37" i="73"/>
  <c r="EI37" i="73" s="1"/>
  <c r="EB37" i="73"/>
  <c r="DW37" i="73"/>
  <c r="DT37" i="73"/>
  <c r="DQ37" i="73"/>
  <c r="DN37" i="73"/>
  <c r="DK37" i="73"/>
  <c r="DH37" i="73"/>
  <c r="DE37" i="73"/>
  <c r="DB37" i="73"/>
  <c r="CY37" i="73"/>
  <c r="CV37" i="73"/>
  <c r="CS37" i="73"/>
  <c r="CP37" i="73"/>
  <c r="CM37" i="73"/>
  <c r="CJ37" i="73"/>
  <c r="CG37" i="73"/>
  <c r="CD37" i="73"/>
  <c r="CA37" i="73"/>
  <c r="BX37" i="73"/>
  <c r="BU37" i="73"/>
  <c r="BR37" i="73"/>
  <c r="BO37" i="73"/>
  <c r="BL37" i="73"/>
  <c r="BI37" i="73"/>
  <c r="BF37" i="73"/>
  <c r="BC37" i="73"/>
  <c r="AZ37" i="73"/>
  <c r="AW37" i="73"/>
  <c r="AR37" i="73"/>
  <c r="AT37" i="73" s="1"/>
  <c r="AQ37" i="73"/>
  <c r="AN37" i="73"/>
  <c r="AI37" i="73"/>
  <c r="AK37" i="73" s="1"/>
  <c r="AB37" i="73"/>
  <c r="Y37" i="73"/>
  <c r="V37" i="73"/>
  <c r="S37" i="73"/>
  <c r="P37" i="73"/>
  <c r="M37" i="73"/>
  <c r="J37" i="73"/>
  <c r="G37" i="73"/>
  <c r="D37" i="73"/>
  <c r="EL36" i="73"/>
  <c r="EG36" i="73"/>
  <c r="EI36" i="73" s="1"/>
  <c r="DW36" i="73"/>
  <c r="DT36" i="73"/>
  <c r="DQ36" i="73"/>
  <c r="DN36" i="73"/>
  <c r="DK36" i="73"/>
  <c r="DH36" i="73"/>
  <c r="DE36" i="73"/>
  <c r="DB36" i="73"/>
  <c r="CY36" i="73"/>
  <c r="CV36" i="73"/>
  <c r="CS36" i="73"/>
  <c r="CP36" i="73"/>
  <c r="CM36" i="73"/>
  <c r="CJ36" i="73"/>
  <c r="CG36" i="73"/>
  <c r="CD36" i="73"/>
  <c r="CA36" i="73"/>
  <c r="BX36" i="73"/>
  <c r="BU36" i="73"/>
  <c r="BR36" i="73"/>
  <c r="BO36" i="73"/>
  <c r="BL36" i="73"/>
  <c r="BI36" i="73"/>
  <c r="BF36" i="73"/>
  <c r="BC36" i="73"/>
  <c r="AZ36" i="73"/>
  <c r="AW36" i="73"/>
  <c r="AR36" i="73"/>
  <c r="AQ36" i="73"/>
  <c r="AN36" i="73"/>
  <c r="AI36" i="73"/>
  <c r="EK36" i="73" s="1"/>
  <c r="AB36" i="73"/>
  <c r="Y36" i="73"/>
  <c r="V36" i="73"/>
  <c r="S36" i="73"/>
  <c r="EH36" i="73" s="1"/>
  <c r="P36" i="73"/>
  <c r="M36" i="73"/>
  <c r="J36" i="73"/>
  <c r="G36" i="73"/>
  <c r="D36" i="73"/>
  <c r="EL35" i="73"/>
  <c r="EG35" i="73"/>
  <c r="EI35" i="73" s="1"/>
  <c r="DW35" i="73"/>
  <c r="DT35" i="73"/>
  <c r="DQ35" i="73"/>
  <c r="DN35" i="73"/>
  <c r="DK35" i="73"/>
  <c r="DH35" i="73"/>
  <c r="DE35" i="73"/>
  <c r="DB35" i="73"/>
  <c r="CY35" i="73"/>
  <c r="CV35" i="73"/>
  <c r="CS35" i="73"/>
  <c r="CP35" i="73"/>
  <c r="CM35" i="73"/>
  <c r="CJ35" i="73"/>
  <c r="CG35" i="73"/>
  <c r="CD35" i="73"/>
  <c r="CA35" i="73"/>
  <c r="BX35" i="73"/>
  <c r="BU35" i="73"/>
  <c r="BR35" i="73"/>
  <c r="BO35" i="73"/>
  <c r="BL35" i="73"/>
  <c r="BI35" i="73"/>
  <c r="BF35" i="73"/>
  <c r="BC35" i="73"/>
  <c r="AZ35" i="73"/>
  <c r="AW35" i="73"/>
  <c r="AR35" i="73"/>
  <c r="AT35" i="73" s="1"/>
  <c r="AO35" i="73"/>
  <c r="AQ35" i="73" s="1"/>
  <c r="AL35" i="73"/>
  <c r="AN35" i="73" s="1"/>
  <c r="AK35" i="73"/>
  <c r="AB35" i="73"/>
  <c r="Y35" i="73"/>
  <c r="V35" i="73"/>
  <c r="S35" i="73"/>
  <c r="EH35" i="73" s="1"/>
  <c r="P35" i="73"/>
  <c r="M35" i="73"/>
  <c r="J35" i="73"/>
  <c r="G35" i="73"/>
  <c r="D35" i="73"/>
  <c r="EL34" i="73"/>
  <c r="EK34" i="73"/>
  <c r="EG34" i="73"/>
  <c r="EI34" i="73" s="1"/>
  <c r="DW34" i="73"/>
  <c r="DT34" i="73"/>
  <c r="DQ34" i="73"/>
  <c r="DN34" i="73"/>
  <c r="DK34" i="73"/>
  <c r="DH34" i="73"/>
  <c r="DE34" i="73"/>
  <c r="DB34" i="73"/>
  <c r="CY34" i="73"/>
  <c r="CV34" i="73"/>
  <c r="CS34" i="73"/>
  <c r="CP34" i="73"/>
  <c r="CM34" i="73"/>
  <c r="CJ34" i="73"/>
  <c r="CG34" i="73"/>
  <c r="CD34" i="73"/>
  <c r="CA34" i="73"/>
  <c r="BX34" i="73"/>
  <c r="BU34" i="73"/>
  <c r="BR34" i="73"/>
  <c r="BO34" i="73"/>
  <c r="BL34" i="73"/>
  <c r="BI34" i="73"/>
  <c r="BF34" i="73"/>
  <c r="BC34" i="73"/>
  <c r="AZ34" i="73"/>
  <c r="AW34" i="73"/>
  <c r="AR34" i="73"/>
  <c r="AT34" i="73" s="1"/>
  <c r="AO34" i="73"/>
  <c r="EB34" i="73" s="1"/>
  <c r="AN34" i="73"/>
  <c r="AL34" i="73"/>
  <c r="AK34" i="73"/>
  <c r="AB34" i="73"/>
  <c r="Y34" i="73"/>
  <c r="V34" i="73"/>
  <c r="EH34" i="73" s="1"/>
  <c r="S34" i="73"/>
  <c r="P34" i="73"/>
  <c r="M34" i="73"/>
  <c r="J34" i="73"/>
  <c r="G34" i="73"/>
  <c r="D34" i="73"/>
  <c r="EL33" i="73"/>
  <c r="EG33" i="73"/>
  <c r="EI33" i="73" s="1"/>
  <c r="DW33" i="73"/>
  <c r="DT33" i="73"/>
  <c r="DQ33" i="73"/>
  <c r="DN33" i="73"/>
  <c r="DK33" i="73"/>
  <c r="DH33" i="73"/>
  <c r="DE33" i="73"/>
  <c r="DB33" i="73"/>
  <c r="CY33" i="73"/>
  <c r="CV33" i="73"/>
  <c r="CS33" i="73"/>
  <c r="CP33" i="73"/>
  <c r="CM33" i="73"/>
  <c r="CJ33" i="73"/>
  <c r="CG33" i="73"/>
  <c r="CD33" i="73"/>
  <c r="CA33" i="73"/>
  <c r="BX33" i="73"/>
  <c r="BU33" i="73"/>
  <c r="BR33" i="73"/>
  <c r="BO33" i="73"/>
  <c r="BL33" i="73"/>
  <c r="BI33" i="73"/>
  <c r="BF33" i="73"/>
  <c r="BC33" i="73"/>
  <c r="AZ33" i="73"/>
  <c r="AW33" i="73"/>
  <c r="AR33" i="73"/>
  <c r="AT33" i="73" s="1"/>
  <c r="AO33" i="73"/>
  <c r="AQ33" i="73" s="1"/>
  <c r="AL33" i="73"/>
  <c r="EB33" i="73" s="1"/>
  <c r="AK33" i="73"/>
  <c r="AI33" i="73"/>
  <c r="AB33" i="73"/>
  <c r="Y33" i="73"/>
  <c r="V33" i="73"/>
  <c r="S33" i="73"/>
  <c r="EH33" i="73" s="1"/>
  <c r="P33" i="73"/>
  <c r="M33" i="73"/>
  <c r="J33" i="73"/>
  <c r="G33" i="73"/>
  <c r="D33" i="73"/>
  <c r="EL32" i="73"/>
  <c r="EG32" i="73"/>
  <c r="EI32" i="73" s="1"/>
  <c r="DW32" i="73"/>
  <c r="DT32" i="73"/>
  <c r="DQ32" i="73"/>
  <c r="DN32" i="73"/>
  <c r="DK32" i="73"/>
  <c r="DH32" i="73"/>
  <c r="DE32" i="73"/>
  <c r="DB32" i="73"/>
  <c r="CY32" i="73"/>
  <c r="CV32" i="73"/>
  <c r="CS32" i="73"/>
  <c r="CP32" i="73"/>
  <c r="CM32" i="73"/>
  <c r="CJ32" i="73"/>
  <c r="CG32" i="73"/>
  <c r="CD32" i="73"/>
  <c r="CA32" i="73"/>
  <c r="BX32" i="73"/>
  <c r="BU32" i="73"/>
  <c r="BR32" i="73"/>
  <c r="BO32" i="73"/>
  <c r="BL32" i="73"/>
  <c r="BI32" i="73"/>
  <c r="BF32" i="73"/>
  <c r="BC32" i="73"/>
  <c r="AZ32" i="73"/>
  <c r="AW32" i="73"/>
  <c r="AR32" i="73"/>
  <c r="AQ32" i="73"/>
  <c r="AN32" i="73"/>
  <c r="AI32" i="73"/>
  <c r="AK32" i="73" s="1"/>
  <c r="AB32" i="73"/>
  <c r="Y32" i="73"/>
  <c r="V32" i="73"/>
  <c r="S32" i="73"/>
  <c r="EH32" i="73" s="1"/>
  <c r="P32" i="73"/>
  <c r="M32" i="73"/>
  <c r="J32" i="73"/>
  <c r="G32" i="73"/>
  <c r="D32" i="73"/>
  <c r="EL31" i="73"/>
  <c r="EK31" i="73"/>
  <c r="EG31" i="73"/>
  <c r="EI31" i="73" s="1"/>
  <c r="DW31" i="73"/>
  <c r="DT31" i="73"/>
  <c r="DQ31" i="73"/>
  <c r="DN31" i="73"/>
  <c r="DK31" i="73"/>
  <c r="DH31" i="73"/>
  <c r="DE31" i="73"/>
  <c r="DB31" i="73"/>
  <c r="CY31" i="73"/>
  <c r="CV31" i="73"/>
  <c r="CS31" i="73"/>
  <c r="CP31" i="73"/>
  <c r="CM31" i="73"/>
  <c r="CJ31" i="73"/>
  <c r="CG31" i="73"/>
  <c r="CD31" i="73"/>
  <c r="CA31" i="73"/>
  <c r="BX31" i="73"/>
  <c r="BU31" i="73"/>
  <c r="BR31" i="73"/>
  <c r="BO31" i="73"/>
  <c r="BL31" i="73"/>
  <c r="BI31" i="73"/>
  <c r="BF31" i="73"/>
  <c r="BC31" i="73"/>
  <c r="AZ31" i="73"/>
  <c r="AW31" i="73"/>
  <c r="AT31" i="73"/>
  <c r="AQ31" i="73"/>
  <c r="AN31" i="73"/>
  <c r="AL31" i="73"/>
  <c r="AK31" i="73"/>
  <c r="AI31" i="73"/>
  <c r="AB31" i="73"/>
  <c r="Y31" i="73"/>
  <c r="EH31" i="73" s="1"/>
  <c r="V31" i="73"/>
  <c r="S31" i="73"/>
  <c r="P31" i="73"/>
  <c r="M31" i="73"/>
  <c r="J31" i="73"/>
  <c r="G31" i="73"/>
  <c r="D31" i="73"/>
  <c r="EL30" i="73"/>
  <c r="EK30" i="73"/>
  <c r="EC30" i="73" s="1"/>
  <c r="EI30" i="73"/>
  <c r="EG30" i="73"/>
  <c r="EB30" i="73"/>
  <c r="DW30" i="73"/>
  <c r="DT30" i="73"/>
  <c r="DQ30" i="73"/>
  <c r="DN30" i="73"/>
  <c r="DK30" i="73"/>
  <c r="DH30" i="73"/>
  <c r="DE30" i="73"/>
  <c r="DB30" i="73"/>
  <c r="CY30" i="73"/>
  <c r="CV30" i="73"/>
  <c r="CS30" i="73"/>
  <c r="CP30" i="73"/>
  <c r="CM30" i="73"/>
  <c r="CJ30" i="73"/>
  <c r="CG30" i="73"/>
  <c r="CD30" i="73"/>
  <c r="CA30" i="73"/>
  <c r="BX30" i="73"/>
  <c r="BU30" i="73"/>
  <c r="BR30" i="73"/>
  <c r="BO30" i="73"/>
  <c r="BL30" i="73"/>
  <c r="BI30" i="73"/>
  <c r="BF30" i="73"/>
  <c r="BC30" i="73"/>
  <c r="AZ30" i="73"/>
  <c r="AW30" i="73"/>
  <c r="AT30" i="73"/>
  <c r="AQ30" i="73"/>
  <c r="AN30" i="73"/>
  <c r="AK30" i="73"/>
  <c r="AI30" i="73"/>
  <c r="AB30" i="73"/>
  <c r="Y30" i="73"/>
  <c r="V30" i="73"/>
  <c r="S30" i="73"/>
  <c r="P30" i="73"/>
  <c r="M30" i="73"/>
  <c r="J30" i="73"/>
  <c r="G30" i="73"/>
  <c r="D30" i="73"/>
  <c r="EL29" i="73"/>
  <c r="EG29" i="73"/>
  <c r="EI29" i="73" s="1"/>
  <c r="EB29" i="73"/>
  <c r="DW29" i="73"/>
  <c r="DT29" i="73"/>
  <c r="DQ29" i="73"/>
  <c r="DN29" i="73"/>
  <c r="DK29" i="73"/>
  <c r="DH29" i="73"/>
  <c r="DE29" i="73"/>
  <c r="DB29" i="73"/>
  <c r="CY29" i="73"/>
  <c r="CV29" i="73"/>
  <c r="CS29" i="73"/>
  <c r="CP29" i="73"/>
  <c r="CM29" i="73"/>
  <c r="CJ29" i="73"/>
  <c r="CG29" i="73"/>
  <c r="CD29" i="73"/>
  <c r="CA29" i="73"/>
  <c r="BX29" i="73"/>
  <c r="BU29" i="73"/>
  <c r="BR29" i="73"/>
  <c r="BO29" i="73"/>
  <c r="BL29" i="73"/>
  <c r="BI29" i="73"/>
  <c r="BF29" i="73"/>
  <c r="BC29" i="73"/>
  <c r="AZ29" i="73"/>
  <c r="AW29" i="73"/>
  <c r="AT29" i="73"/>
  <c r="AO29" i="73"/>
  <c r="AN29" i="73"/>
  <c r="AI29" i="73"/>
  <c r="AK29" i="73" s="1"/>
  <c r="AB29" i="73"/>
  <c r="Y29" i="73"/>
  <c r="V29" i="73"/>
  <c r="S29" i="73"/>
  <c r="P29" i="73"/>
  <c r="M29" i="73"/>
  <c r="J29" i="73"/>
  <c r="G29" i="73"/>
  <c r="D29" i="73"/>
  <c r="EL28" i="73"/>
  <c r="EK28" i="73"/>
  <c r="EG28" i="73"/>
  <c r="EI28" i="73" s="1"/>
  <c r="EB28" i="73"/>
  <c r="DW28" i="73"/>
  <c r="DT28" i="73"/>
  <c r="DQ28" i="73"/>
  <c r="DN28" i="73"/>
  <c r="DK28" i="73"/>
  <c r="DH28" i="73"/>
  <c r="DE28" i="73"/>
  <c r="DB28" i="73"/>
  <c r="CY28" i="73"/>
  <c r="CV28" i="73"/>
  <c r="CS28" i="73"/>
  <c r="CP28" i="73"/>
  <c r="CM28" i="73"/>
  <c r="CJ28" i="73"/>
  <c r="CG28" i="73"/>
  <c r="CD28" i="73"/>
  <c r="CA28" i="73"/>
  <c r="BX28" i="73"/>
  <c r="BU28" i="73"/>
  <c r="BR28" i="73"/>
  <c r="BO28" i="73"/>
  <c r="BL28" i="73"/>
  <c r="BI28" i="73"/>
  <c r="BF28" i="73"/>
  <c r="BC28" i="73"/>
  <c r="AZ28" i="73"/>
  <c r="AW28" i="73"/>
  <c r="AT28" i="73"/>
  <c r="AO28" i="73"/>
  <c r="AQ28" i="73" s="1"/>
  <c r="AN28" i="73"/>
  <c r="AK28" i="73"/>
  <c r="AI28" i="73"/>
  <c r="AB28" i="73"/>
  <c r="Y28" i="73"/>
  <c r="V28" i="73"/>
  <c r="S28" i="73"/>
  <c r="P28" i="73"/>
  <c r="M28" i="73"/>
  <c r="J28" i="73"/>
  <c r="G28" i="73"/>
  <c r="D28" i="73"/>
  <c r="EL27" i="73"/>
  <c r="EG27" i="73"/>
  <c r="EI27" i="73" s="1"/>
  <c r="DW27" i="73"/>
  <c r="DT27" i="73"/>
  <c r="DQ27" i="73"/>
  <c r="DN27" i="73"/>
  <c r="DK27" i="73"/>
  <c r="DH27" i="73"/>
  <c r="DE27" i="73"/>
  <c r="DB27" i="73"/>
  <c r="CY27" i="73"/>
  <c r="CV27" i="73"/>
  <c r="CS27" i="73"/>
  <c r="CP27" i="73"/>
  <c r="CM27" i="73"/>
  <c r="CJ27" i="73"/>
  <c r="CG27" i="73"/>
  <c r="CD27" i="73"/>
  <c r="CA27" i="73"/>
  <c r="BX27" i="73"/>
  <c r="BU27" i="73"/>
  <c r="BR27" i="73"/>
  <c r="BO27" i="73"/>
  <c r="BL27" i="73"/>
  <c r="BI27" i="73"/>
  <c r="BF27" i="73"/>
  <c r="BC27" i="73"/>
  <c r="AZ27" i="73"/>
  <c r="AW27" i="73"/>
  <c r="AT27" i="73"/>
  <c r="AO27" i="73"/>
  <c r="EB27" i="73" s="1"/>
  <c r="AN27" i="73"/>
  <c r="AK27" i="73"/>
  <c r="AI27" i="73"/>
  <c r="AB27" i="73"/>
  <c r="Y27" i="73"/>
  <c r="V27" i="73"/>
  <c r="S27" i="73"/>
  <c r="P27" i="73"/>
  <c r="M27" i="73"/>
  <c r="J27" i="73"/>
  <c r="G27" i="73"/>
  <c r="D27" i="73"/>
  <c r="EL26" i="73"/>
  <c r="EG26" i="73"/>
  <c r="EI26" i="73" s="1"/>
  <c r="DW26" i="73"/>
  <c r="DT26" i="73"/>
  <c r="DQ26" i="73"/>
  <c r="DN26" i="73"/>
  <c r="DK26" i="73"/>
  <c r="DH26" i="73"/>
  <c r="DE26" i="73"/>
  <c r="DB26" i="73"/>
  <c r="CY26" i="73"/>
  <c r="CV26" i="73"/>
  <c r="CS26" i="73"/>
  <c r="CP26" i="73"/>
  <c r="CM26" i="73"/>
  <c r="CJ26" i="73"/>
  <c r="CG26" i="73"/>
  <c r="CD26" i="73"/>
  <c r="CA26" i="73"/>
  <c r="BX26" i="73"/>
  <c r="BU26" i="73"/>
  <c r="BR26" i="73"/>
  <c r="BO26" i="73"/>
  <c r="BL26" i="73"/>
  <c r="BI26" i="73"/>
  <c r="BF26" i="73"/>
  <c r="BC26" i="73"/>
  <c r="AZ26" i="73"/>
  <c r="AW26" i="73"/>
  <c r="AT26" i="73"/>
  <c r="AO26" i="73"/>
  <c r="EB26" i="73" s="1"/>
  <c r="AN26" i="73"/>
  <c r="AK26" i="73"/>
  <c r="AI26" i="73"/>
  <c r="AB26" i="73"/>
  <c r="Y26" i="73"/>
  <c r="V26" i="73"/>
  <c r="S26" i="73"/>
  <c r="EH26" i="73" s="1"/>
  <c r="P26" i="73"/>
  <c r="M26" i="73"/>
  <c r="J26" i="73"/>
  <c r="G26" i="73"/>
  <c r="D26" i="73"/>
  <c r="EL25" i="73"/>
  <c r="EK25" i="73"/>
  <c r="EG25" i="73"/>
  <c r="EI25" i="73" s="1"/>
  <c r="EB25" i="73"/>
  <c r="EC25" i="73" s="1"/>
  <c r="DW25" i="73"/>
  <c r="DT25" i="73"/>
  <c r="DQ25" i="73"/>
  <c r="DN25" i="73"/>
  <c r="DK25" i="73"/>
  <c r="DH25" i="73"/>
  <c r="DE25" i="73"/>
  <c r="DB25" i="73"/>
  <c r="CY25" i="73"/>
  <c r="CV25" i="73"/>
  <c r="CS25" i="73"/>
  <c r="CP25" i="73"/>
  <c r="CM25" i="73"/>
  <c r="CJ25" i="73"/>
  <c r="CG25" i="73"/>
  <c r="CD25" i="73"/>
  <c r="CA25" i="73"/>
  <c r="BX25" i="73"/>
  <c r="BU25" i="73"/>
  <c r="BR25" i="73"/>
  <c r="BO25" i="73"/>
  <c r="BL25" i="73"/>
  <c r="BI25" i="73"/>
  <c r="BF25" i="73"/>
  <c r="BC25" i="73"/>
  <c r="AZ25" i="73"/>
  <c r="AW25" i="73"/>
  <c r="AT25" i="73"/>
  <c r="AQ25" i="73"/>
  <c r="AO25" i="73"/>
  <c r="AN25" i="73"/>
  <c r="AK25" i="73"/>
  <c r="AI25" i="73"/>
  <c r="AB25" i="73"/>
  <c r="Y25" i="73"/>
  <c r="V25" i="73"/>
  <c r="S25" i="73"/>
  <c r="P25" i="73"/>
  <c r="M25" i="73"/>
  <c r="J25" i="73"/>
  <c r="G25" i="73"/>
  <c r="D25" i="73"/>
  <c r="EL24" i="73"/>
  <c r="EK24" i="73"/>
  <c r="EG24" i="73"/>
  <c r="EI24" i="73" s="1"/>
  <c r="EB24" i="73"/>
  <c r="DW24" i="73"/>
  <c r="DT24" i="73"/>
  <c r="DQ24" i="73"/>
  <c r="DN24" i="73"/>
  <c r="DK24" i="73"/>
  <c r="DH24" i="73"/>
  <c r="DE24" i="73"/>
  <c r="DB24" i="73"/>
  <c r="CY24" i="73"/>
  <c r="CV24" i="73"/>
  <c r="CS24" i="73"/>
  <c r="CP24" i="73"/>
  <c r="CM24" i="73"/>
  <c r="CJ24" i="73"/>
  <c r="CG24" i="73"/>
  <c r="CD24" i="73"/>
  <c r="CA24" i="73"/>
  <c r="BX24" i="73"/>
  <c r="BU24" i="73"/>
  <c r="BR24" i="73"/>
  <c r="BO24" i="73"/>
  <c r="BL24" i="73"/>
  <c r="BI24" i="73"/>
  <c r="BF24" i="73"/>
  <c r="BC24" i="73"/>
  <c r="AZ24" i="73"/>
  <c r="AW24" i="73"/>
  <c r="AT24" i="73"/>
  <c r="AQ24" i="73"/>
  <c r="AO24" i="73"/>
  <c r="AN24" i="73"/>
  <c r="AK24" i="73"/>
  <c r="AI24" i="73"/>
  <c r="AB24" i="73"/>
  <c r="Y24" i="73"/>
  <c r="V24" i="73"/>
  <c r="S24" i="73"/>
  <c r="EH24" i="73" s="1"/>
  <c r="P24" i="73"/>
  <c r="M24" i="73"/>
  <c r="J24" i="73"/>
  <c r="G24" i="73"/>
  <c r="D24" i="73"/>
  <c r="EL23" i="73"/>
  <c r="EG23" i="73"/>
  <c r="EI23" i="73" s="1"/>
  <c r="DW23" i="73"/>
  <c r="DT23" i="73"/>
  <c r="DQ23" i="73"/>
  <c r="DN23" i="73"/>
  <c r="DK23" i="73"/>
  <c r="DH23" i="73"/>
  <c r="DE23" i="73"/>
  <c r="DB23" i="73"/>
  <c r="CY23" i="73"/>
  <c r="CV23" i="73"/>
  <c r="CS23" i="73"/>
  <c r="CP23" i="73"/>
  <c r="CM23" i="73"/>
  <c r="CJ23" i="73"/>
  <c r="CG23" i="73"/>
  <c r="CD23" i="73"/>
  <c r="CA23" i="73"/>
  <c r="BX23" i="73"/>
  <c r="BU23" i="73"/>
  <c r="BR23" i="73"/>
  <c r="BO23" i="73"/>
  <c r="BL23" i="73"/>
  <c r="BI23" i="73"/>
  <c r="BF23" i="73"/>
  <c r="BC23" i="73"/>
  <c r="AZ23" i="73"/>
  <c r="AW23" i="73"/>
  <c r="AT23" i="73"/>
  <c r="AO23" i="73"/>
  <c r="AN23" i="73"/>
  <c r="AI23" i="73"/>
  <c r="AK23" i="73" s="1"/>
  <c r="AB23" i="73"/>
  <c r="Y23" i="73"/>
  <c r="V23" i="73"/>
  <c r="S23" i="73"/>
  <c r="P23" i="73"/>
  <c r="M23" i="73"/>
  <c r="J23" i="73"/>
  <c r="G23" i="73"/>
  <c r="D23" i="73"/>
  <c r="EL22" i="73"/>
  <c r="EK22" i="73"/>
  <c r="EC22" i="73" s="1"/>
  <c r="EG22" i="73"/>
  <c r="EI22" i="73" s="1"/>
  <c r="EB22" i="73"/>
  <c r="DW22" i="73"/>
  <c r="DT22" i="73"/>
  <c r="DQ22" i="73"/>
  <c r="DN22" i="73"/>
  <c r="DK22" i="73"/>
  <c r="DH22" i="73"/>
  <c r="DE22" i="73"/>
  <c r="EM22" i="73" s="1"/>
  <c r="DB22" i="73"/>
  <c r="CY22" i="73"/>
  <c r="CV22" i="73"/>
  <c r="CS22" i="73"/>
  <c r="CP22" i="73"/>
  <c r="CM22" i="73"/>
  <c r="CJ22" i="73"/>
  <c r="CG22" i="73"/>
  <c r="CD22" i="73"/>
  <c r="CA22" i="73"/>
  <c r="BX22" i="73"/>
  <c r="BU22" i="73"/>
  <c r="BR22" i="73"/>
  <c r="BO22" i="73"/>
  <c r="BL22" i="73"/>
  <c r="BI22" i="73"/>
  <c r="BF22" i="73"/>
  <c r="BC22" i="73"/>
  <c r="AZ22" i="73"/>
  <c r="AW22" i="73"/>
  <c r="AT22" i="73"/>
  <c r="AQ22" i="73"/>
  <c r="AN22" i="73"/>
  <c r="AL22" i="73"/>
  <c r="AK22" i="73"/>
  <c r="AI22" i="73"/>
  <c r="AB22" i="73"/>
  <c r="Y22" i="73"/>
  <c r="V22" i="73"/>
  <c r="S22" i="73"/>
  <c r="P22" i="73"/>
  <c r="M22" i="73"/>
  <c r="J22" i="73"/>
  <c r="G22" i="73"/>
  <c r="D22" i="73"/>
  <c r="EL21" i="73"/>
  <c r="EK21" i="73"/>
  <c r="EI21" i="73"/>
  <c r="EG21" i="73"/>
  <c r="EB21" i="73"/>
  <c r="DW21" i="73"/>
  <c r="DT21" i="73"/>
  <c r="DQ21" i="73"/>
  <c r="DN21" i="73"/>
  <c r="DK21" i="73"/>
  <c r="DH21" i="73"/>
  <c r="DE21" i="73"/>
  <c r="DB21" i="73"/>
  <c r="CY21" i="73"/>
  <c r="CV21" i="73"/>
  <c r="CS21" i="73"/>
  <c r="CP21" i="73"/>
  <c r="CM21" i="73"/>
  <c r="CJ21" i="73"/>
  <c r="CG21" i="73"/>
  <c r="CD21" i="73"/>
  <c r="CA21" i="73"/>
  <c r="BX21" i="73"/>
  <c r="BU21" i="73"/>
  <c r="BR21" i="73"/>
  <c r="BO21" i="73"/>
  <c r="BL21" i="73"/>
  <c r="BI21" i="73"/>
  <c r="BF21" i="73"/>
  <c r="BC21" i="73"/>
  <c r="AZ21" i="73"/>
  <c r="AW21" i="73"/>
  <c r="AT21" i="73"/>
  <c r="AQ21" i="73"/>
  <c r="AN21" i="73"/>
  <c r="AL21" i="73"/>
  <c r="AK21" i="73"/>
  <c r="AI21" i="73"/>
  <c r="AB21" i="73"/>
  <c r="Y21" i="73"/>
  <c r="V21" i="73"/>
  <c r="S21" i="73"/>
  <c r="P21" i="73"/>
  <c r="M21" i="73"/>
  <c r="J21" i="73"/>
  <c r="G21" i="73"/>
  <c r="D21" i="73"/>
  <c r="EL20" i="73"/>
  <c r="EK20" i="73"/>
  <c r="EG20" i="73"/>
  <c r="EI20" i="73" s="1"/>
  <c r="EB20" i="73"/>
  <c r="EC20" i="73" s="1"/>
  <c r="DW20" i="73"/>
  <c r="DT20" i="73"/>
  <c r="DQ20" i="73"/>
  <c r="DN20" i="73"/>
  <c r="DK20" i="73"/>
  <c r="DH20" i="73"/>
  <c r="DE20" i="73"/>
  <c r="DB20" i="73"/>
  <c r="CY20" i="73"/>
  <c r="CV20" i="73"/>
  <c r="CS20" i="73"/>
  <c r="CP20" i="73"/>
  <c r="CM20" i="73"/>
  <c r="CJ20" i="73"/>
  <c r="CG20" i="73"/>
  <c r="CD20" i="73"/>
  <c r="CA20" i="73"/>
  <c r="BX20" i="73"/>
  <c r="BU20" i="73"/>
  <c r="BR20" i="73"/>
  <c r="BO20" i="73"/>
  <c r="BL20" i="73"/>
  <c r="BI20" i="73"/>
  <c r="BF20" i="73"/>
  <c r="BC20" i="73"/>
  <c r="AZ20" i="73"/>
  <c r="AW20" i="73"/>
  <c r="AT20" i="73"/>
  <c r="AQ20" i="73"/>
  <c r="AN20" i="73"/>
  <c r="AL20" i="73"/>
  <c r="AK20" i="73"/>
  <c r="AI20" i="73"/>
  <c r="AB20" i="73"/>
  <c r="Y20" i="73"/>
  <c r="V20" i="73"/>
  <c r="S20" i="73"/>
  <c r="P20" i="73"/>
  <c r="M20" i="73"/>
  <c r="J20" i="73"/>
  <c r="G20" i="73"/>
  <c r="D20" i="73"/>
  <c r="EL19" i="73"/>
  <c r="EG19" i="73"/>
  <c r="EI19" i="73" s="1"/>
  <c r="DW19" i="73"/>
  <c r="DT19" i="73"/>
  <c r="DQ19" i="73"/>
  <c r="DN19" i="73"/>
  <c r="DK19" i="73"/>
  <c r="DH19" i="73"/>
  <c r="DE19" i="73"/>
  <c r="DB19" i="73"/>
  <c r="CY19" i="73"/>
  <c r="CV19" i="73"/>
  <c r="CS19" i="73"/>
  <c r="CP19" i="73"/>
  <c r="CM19" i="73"/>
  <c r="CJ19" i="73"/>
  <c r="CG19" i="73"/>
  <c r="CD19" i="73"/>
  <c r="CA19" i="73"/>
  <c r="BX19" i="73"/>
  <c r="BU19" i="73"/>
  <c r="BR19" i="73"/>
  <c r="BO19" i="73"/>
  <c r="BL19" i="73"/>
  <c r="BI19" i="73"/>
  <c r="BF19" i="73"/>
  <c r="BC19" i="73"/>
  <c r="AZ19" i="73"/>
  <c r="AW19" i="73"/>
  <c r="AT19" i="73"/>
  <c r="AQ19" i="73"/>
  <c r="AL19" i="73"/>
  <c r="AI19" i="73"/>
  <c r="AK19" i="73" s="1"/>
  <c r="AB19" i="73"/>
  <c r="Y19" i="73"/>
  <c r="V19" i="73"/>
  <c r="S19" i="73"/>
  <c r="P19" i="73"/>
  <c r="M19" i="73"/>
  <c r="J19" i="73"/>
  <c r="G19" i="73"/>
  <c r="D19" i="73"/>
  <c r="EL18" i="73"/>
  <c r="EK18" i="73"/>
  <c r="EG18" i="73"/>
  <c r="EI18" i="73" s="1"/>
  <c r="EB18" i="73"/>
  <c r="DW18" i="73"/>
  <c r="DT18" i="73"/>
  <c r="EM18" i="73" s="1"/>
  <c r="DQ18" i="73"/>
  <c r="DN18" i="73"/>
  <c r="DK18" i="73"/>
  <c r="DH18" i="73"/>
  <c r="DE18" i="73"/>
  <c r="DB18" i="73"/>
  <c r="CY18" i="73"/>
  <c r="CV18" i="73"/>
  <c r="CS18" i="73"/>
  <c r="CP18" i="73"/>
  <c r="CM18" i="73"/>
  <c r="CJ18" i="73"/>
  <c r="CG18" i="73"/>
  <c r="CD18" i="73"/>
  <c r="CA18" i="73"/>
  <c r="BX18" i="73"/>
  <c r="BU18" i="73"/>
  <c r="BR18" i="73"/>
  <c r="BO18" i="73"/>
  <c r="BL18" i="73"/>
  <c r="BI18" i="73"/>
  <c r="BF18" i="73"/>
  <c r="BC18" i="73"/>
  <c r="AZ18" i="73"/>
  <c r="AW18" i="73"/>
  <c r="AT18" i="73"/>
  <c r="AQ18" i="73"/>
  <c r="AN18" i="73"/>
  <c r="AL18" i="73"/>
  <c r="AK18" i="73"/>
  <c r="AI18" i="73"/>
  <c r="AB18" i="73"/>
  <c r="Y18" i="73"/>
  <c r="V18" i="73"/>
  <c r="S18" i="73"/>
  <c r="EH18" i="73" s="1"/>
  <c r="P18" i="73"/>
  <c r="M18" i="73"/>
  <c r="J18" i="73"/>
  <c r="G18" i="73"/>
  <c r="D18" i="73"/>
  <c r="EL17" i="73"/>
  <c r="EK17" i="73"/>
  <c r="EG17" i="73"/>
  <c r="EI17" i="73" s="1"/>
  <c r="EB17" i="73"/>
  <c r="DW17" i="73"/>
  <c r="DT17" i="73"/>
  <c r="DQ17" i="73"/>
  <c r="DN17" i="73"/>
  <c r="DK17" i="73"/>
  <c r="DH17" i="73"/>
  <c r="DE17" i="73"/>
  <c r="DB17" i="73"/>
  <c r="CY17" i="73"/>
  <c r="CV17" i="73"/>
  <c r="CS17" i="73"/>
  <c r="CP17" i="73"/>
  <c r="CM17" i="73"/>
  <c r="CJ17" i="73"/>
  <c r="CG17" i="73"/>
  <c r="CD17" i="73"/>
  <c r="CA17" i="73"/>
  <c r="BX17" i="73"/>
  <c r="BU17" i="73"/>
  <c r="BR17" i="73"/>
  <c r="BO17" i="73"/>
  <c r="BL17" i="73"/>
  <c r="BI17" i="73"/>
  <c r="BF17" i="73"/>
  <c r="BC17" i="73"/>
  <c r="AZ17" i="73"/>
  <c r="AW17" i="73"/>
  <c r="AT17" i="73"/>
  <c r="AQ17" i="73"/>
  <c r="AN17" i="73"/>
  <c r="AL17" i="73"/>
  <c r="AK17" i="73"/>
  <c r="AI17" i="73"/>
  <c r="AB17" i="73"/>
  <c r="Y17" i="73"/>
  <c r="V17" i="73"/>
  <c r="S17" i="73"/>
  <c r="P17" i="73"/>
  <c r="M17" i="73"/>
  <c r="J17" i="73"/>
  <c r="G17" i="73"/>
  <c r="ED17" i="73" s="1"/>
  <c r="D17" i="73"/>
  <c r="EL16" i="73"/>
  <c r="EK16" i="73"/>
  <c r="EG16" i="73"/>
  <c r="EI16" i="73" s="1"/>
  <c r="EB16" i="73"/>
  <c r="DW16" i="73"/>
  <c r="DT16" i="73"/>
  <c r="DQ16" i="73"/>
  <c r="DN16" i="73"/>
  <c r="DK16" i="73"/>
  <c r="DH16" i="73"/>
  <c r="DE16" i="73"/>
  <c r="DB16" i="73"/>
  <c r="CY16" i="73"/>
  <c r="CV16" i="73"/>
  <c r="CS16" i="73"/>
  <c r="CP16" i="73"/>
  <c r="CM16" i="73"/>
  <c r="CJ16" i="73"/>
  <c r="CG16" i="73"/>
  <c r="CD16" i="73"/>
  <c r="CA16" i="73"/>
  <c r="BX16" i="73"/>
  <c r="BU16" i="73"/>
  <c r="BR16" i="73"/>
  <c r="BO16" i="73"/>
  <c r="BL16" i="73"/>
  <c r="BI16" i="73"/>
  <c r="BF16" i="73"/>
  <c r="BC16" i="73"/>
  <c r="AZ16" i="73"/>
  <c r="AW16" i="73"/>
  <c r="AT16" i="73"/>
  <c r="AQ16" i="73"/>
  <c r="AN16" i="73"/>
  <c r="AL16" i="73"/>
  <c r="AK16" i="73"/>
  <c r="AI16" i="73"/>
  <c r="AB16" i="73"/>
  <c r="Y16" i="73"/>
  <c r="V16" i="73"/>
  <c r="S16" i="73"/>
  <c r="P16" i="73"/>
  <c r="M16" i="73"/>
  <c r="J16" i="73"/>
  <c r="G16" i="73"/>
  <c r="D16" i="73"/>
  <c r="EL15" i="73"/>
  <c r="EG15" i="73"/>
  <c r="EI15" i="73" s="1"/>
  <c r="DW15" i="73"/>
  <c r="DT15" i="73"/>
  <c r="DQ15" i="73"/>
  <c r="DN15" i="73"/>
  <c r="DK15" i="73"/>
  <c r="DH15" i="73"/>
  <c r="DE15" i="73"/>
  <c r="DB15" i="73"/>
  <c r="CY15" i="73"/>
  <c r="CV15" i="73"/>
  <c r="CS15" i="73"/>
  <c r="CP15" i="73"/>
  <c r="CM15" i="73"/>
  <c r="CJ15" i="73"/>
  <c r="CG15" i="73"/>
  <c r="CD15" i="73"/>
  <c r="CA15" i="73"/>
  <c r="BX15" i="73"/>
  <c r="BU15" i="73"/>
  <c r="BR15" i="73"/>
  <c r="BO15" i="73"/>
  <c r="BL15" i="73"/>
  <c r="BI15" i="73"/>
  <c r="BF15" i="73"/>
  <c r="BC15" i="73"/>
  <c r="AZ15" i="73"/>
  <c r="AW15" i="73"/>
  <c r="AT15" i="73"/>
  <c r="AQ15" i="73"/>
  <c r="AN15" i="73"/>
  <c r="AI15" i="73"/>
  <c r="AB15" i="73"/>
  <c r="Y15" i="73"/>
  <c r="V15" i="73"/>
  <c r="EH15" i="73" s="1"/>
  <c r="S15" i="73"/>
  <c r="P15" i="73"/>
  <c r="M15" i="73"/>
  <c r="J15" i="73"/>
  <c r="G15" i="73"/>
  <c r="D15" i="73"/>
  <c r="EL14" i="73"/>
  <c r="EK14" i="73"/>
  <c r="EG14" i="73"/>
  <c r="EI14" i="73" s="1"/>
  <c r="DW14" i="73"/>
  <c r="DT14" i="73"/>
  <c r="DQ14" i="73"/>
  <c r="DN14" i="73"/>
  <c r="DK14" i="73"/>
  <c r="DH14" i="73"/>
  <c r="DE14" i="73"/>
  <c r="DB14" i="73"/>
  <c r="CY14" i="73"/>
  <c r="CV14" i="73"/>
  <c r="CS14" i="73"/>
  <c r="CP14" i="73"/>
  <c r="CM14" i="73"/>
  <c r="CJ14" i="73"/>
  <c r="CG14" i="73"/>
  <c r="CD14" i="73"/>
  <c r="CA14" i="73"/>
  <c r="BX14" i="73"/>
  <c r="BU14" i="73"/>
  <c r="BR14" i="73"/>
  <c r="BO14" i="73"/>
  <c r="BL14" i="73"/>
  <c r="BI14" i="73"/>
  <c r="BF14" i="73"/>
  <c r="BC14" i="73"/>
  <c r="AZ14" i="73"/>
  <c r="AW14" i="73"/>
  <c r="AT14" i="73"/>
  <c r="AQ14" i="73"/>
  <c r="AL14" i="73"/>
  <c r="EB14" i="73" s="1"/>
  <c r="AI14" i="73"/>
  <c r="AK14" i="73" s="1"/>
  <c r="AB14" i="73"/>
  <c r="Y14" i="73"/>
  <c r="V14" i="73"/>
  <c r="S14" i="73"/>
  <c r="EH14" i="73" s="1"/>
  <c r="P14" i="73"/>
  <c r="M14" i="73"/>
  <c r="J14" i="73"/>
  <c r="G14" i="73"/>
  <c r="D14" i="73"/>
  <c r="EL13" i="73"/>
  <c r="EG13" i="73"/>
  <c r="EI13" i="73" s="1"/>
  <c r="DW13" i="73"/>
  <c r="DT13" i="73"/>
  <c r="DQ13" i="73"/>
  <c r="DN13" i="73"/>
  <c r="DK13" i="73"/>
  <c r="DH13" i="73"/>
  <c r="DE13" i="73"/>
  <c r="DB13" i="73"/>
  <c r="CY13" i="73"/>
  <c r="CV13" i="73"/>
  <c r="CS13" i="73"/>
  <c r="CP13" i="73"/>
  <c r="CM13" i="73"/>
  <c r="CJ13" i="73"/>
  <c r="CG13" i="73"/>
  <c r="CD13" i="73"/>
  <c r="CA13" i="73"/>
  <c r="BX13" i="73"/>
  <c r="BU13" i="73"/>
  <c r="BR13" i="73"/>
  <c r="BO13" i="73"/>
  <c r="BL13" i="73"/>
  <c r="BI13" i="73"/>
  <c r="BF13" i="73"/>
  <c r="BC13" i="73"/>
  <c r="AZ13" i="73"/>
  <c r="AW13" i="73"/>
  <c r="AT13" i="73"/>
  <c r="AQ13" i="73"/>
  <c r="AN13" i="73"/>
  <c r="AL13" i="73"/>
  <c r="AK13" i="73"/>
  <c r="AI13" i="73"/>
  <c r="AB13" i="73"/>
  <c r="Y13" i="73"/>
  <c r="V13" i="73"/>
  <c r="S13" i="73"/>
  <c r="EH13" i="73" s="1"/>
  <c r="P13" i="73"/>
  <c r="M13" i="73"/>
  <c r="J13" i="73"/>
  <c r="G13" i="73"/>
  <c r="D13" i="73"/>
  <c r="EL12" i="73"/>
  <c r="EG12" i="73"/>
  <c r="EI12" i="73" s="1"/>
  <c r="EB12" i="73"/>
  <c r="DW12" i="73"/>
  <c r="DT12" i="73"/>
  <c r="DQ12" i="73"/>
  <c r="DN12" i="73"/>
  <c r="DK12" i="73"/>
  <c r="DK42" i="73" s="1"/>
  <c r="DH12" i="73"/>
  <c r="DE12" i="73"/>
  <c r="DB12" i="73"/>
  <c r="CY12" i="73"/>
  <c r="CV12" i="73"/>
  <c r="CS12" i="73"/>
  <c r="CP12" i="73"/>
  <c r="CM12" i="73"/>
  <c r="CJ12" i="73"/>
  <c r="CG12" i="73"/>
  <c r="CD12" i="73"/>
  <c r="CA12" i="73"/>
  <c r="BX12" i="73"/>
  <c r="BU12" i="73"/>
  <c r="BR12" i="73"/>
  <c r="BO12" i="73"/>
  <c r="BL12" i="73"/>
  <c r="BI12" i="73"/>
  <c r="BF12" i="73"/>
  <c r="BC12" i="73"/>
  <c r="AZ12" i="73"/>
  <c r="AW12" i="73"/>
  <c r="AT12" i="73"/>
  <c r="AQ12" i="73"/>
  <c r="AL12" i="73"/>
  <c r="AN12" i="73" s="1"/>
  <c r="AI12" i="73"/>
  <c r="AK12" i="73" s="1"/>
  <c r="AB12" i="73"/>
  <c r="Y12" i="73"/>
  <c r="V12" i="73"/>
  <c r="S12" i="73"/>
  <c r="P12" i="73"/>
  <c r="M12" i="73"/>
  <c r="J12" i="73"/>
  <c r="G12" i="73"/>
  <c r="D12" i="73"/>
  <c r="A12" i="73"/>
  <c r="A13" i="73" s="1"/>
  <c r="A14" i="73" s="1"/>
  <c r="A15" i="73" s="1"/>
  <c r="A16" i="73" s="1"/>
  <c r="A17" i="73" s="1"/>
  <c r="A18" i="73" s="1"/>
  <c r="A19" i="73" s="1"/>
  <c r="A20" i="73" s="1"/>
  <c r="A21" i="73" s="1"/>
  <c r="A22" i="73" s="1"/>
  <c r="A23" i="73" s="1"/>
  <c r="A24" i="73" s="1"/>
  <c r="A25" i="73" s="1"/>
  <c r="A26" i="73" s="1"/>
  <c r="A27" i="73" s="1"/>
  <c r="A28" i="73" s="1"/>
  <c r="A29" i="73" s="1"/>
  <c r="A30" i="73" s="1"/>
  <c r="A31" i="73" s="1"/>
  <c r="A32" i="73" s="1"/>
  <c r="A33" i="73" s="1"/>
  <c r="A34" i="73" s="1"/>
  <c r="A35" i="73" s="1"/>
  <c r="A36" i="73" s="1"/>
  <c r="A37" i="73" s="1"/>
  <c r="A38" i="73" s="1"/>
  <c r="A39" i="73" s="1"/>
  <c r="A40" i="73" s="1"/>
  <c r="EL11" i="73"/>
  <c r="EG11" i="73"/>
  <c r="EI11" i="73" s="1"/>
  <c r="EB11" i="73"/>
  <c r="DW11" i="73"/>
  <c r="DT11" i="73"/>
  <c r="DQ11" i="73"/>
  <c r="DN11" i="73"/>
  <c r="DK11" i="73"/>
  <c r="DH11" i="73"/>
  <c r="DE11" i="73"/>
  <c r="DB11" i="73"/>
  <c r="CY11" i="73"/>
  <c r="CV11" i="73"/>
  <c r="CS11" i="73"/>
  <c r="CP11" i="73"/>
  <c r="CM11" i="73"/>
  <c r="CJ11" i="73"/>
  <c r="CG11" i="73"/>
  <c r="CD11" i="73"/>
  <c r="CA11" i="73"/>
  <c r="BX11" i="73"/>
  <c r="BU11" i="73"/>
  <c r="BR11" i="73"/>
  <c r="BO11" i="73"/>
  <c r="BL11" i="73"/>
  <c r="BI11" i="73"/>
  <c r="BF11" i="73"/>
  <c r="BC11" i="73"/>
  <c r="AZ11" i="73"/>
  <c r="AW11" i="73"/>
  <c r="AT11" i="73"/>
  <c r="AQ11" i="73"/>
  <c r="AL11" i="73"/>
  <c r="AN11" i="73" s="1"/>
  <c r="AI11" i="73"/>
  <c r="AK11" i="73" s="1"/>
  <c r="AB11" i="73"/>
  <c r="Y11" i="73"/>
  <c r="V11" i="73"/>
  <c r="S11" i="73"/>
  <c r="P11" i="73"/>
  <c r="P42" i="73" s="1"/>
  <c r="M11" i="73"/>
  <c r="J11" i="73"/>
  <c r="G11" i="73"/>
  <c r="D11" i="73"/>
  <c r="EI2" i="73"/>
  <c r="AB42" i="73" l="1"/>
  <c r="BR42" i="73"/>
  <c r="DB42" i="73"/>
  <c r="DN42" i="73"/>
  <c r="CA42" i="73"/>
  <c r="CD42" i="73"/>
  <c r="CG42" i="73"/>
  <c r="DQ42" i="73"/>
  <c r="EH25" i="73"/>
  <c r="EH29" i="73"/>
  <c r="CJ42" i="73"/>
  <c r="ED31" i="73"/>
  <c r="ED37" i="73"/>
  <c r="EE37" i="73" s="1"/>
  <c r="EH17" i="73"/>
  <c r="EE17" i="73"/>
  <c r="EH19" i="73"/>
  <c r="ED21" i="73"/>
  <c r="EH12" i="73"/>
  <c r="EH37" i="73"/>
  <c r="EC18" i="73"/>
  <c r="EH22" i="73"/>
  <c r="ED13" i="73"/>
  <c r="ED18" i="73"/>
  <c r="EE18" i="73" s="1"/>
  <c r="BX42" i="73"/>
  <c r="EH21" i="73"/>
  <c r="EH27" i="73"/>
  <c r="ED25" i="73"/>
  <c r="EH39" i="73"/>
  <c r="M42" i="73"/>
  <c r="ED19" i="73"/>
  <c r="EE16" i="73"/>
  <c r="EC16" i="73"/>
  <c r="ED26" i="73"/>
  <c r="EE26" i="73" s="1"/>
  <c r="AW42" i="73"/>
  <c r="EN22" i="73"/>
  <c r="AT38" i="73"/>
  <c r="ED38" i="73" s="1"/>
  <c r="EB38" i="73"/>
  <c r="BU42" i="73"/>
  <c r="AN33" i="73"/>
  <c r="EM33" i="73" s="1"/>
  <c r="DH42" i="73"/>
  <c r="AQ26" i="73"/>
  <c r="EM26" i="73" s="1"/>
  <c r="EK32" i="73"/>
  <c r="EB32" i="73"/>
  <c r="ED35" i="73"/>
  <c r="EI5" i="73"/>
  <c r="ED22" i="73"/>
  <c r="EE22" i="73" s="1"/>
  <c r="AT32" i="73"/>
  <c r="AT42" i="73" s="1"/>
  <c r="J42" i="73"/>
  <c r="AZ42" i="73"/>
  <c r="DT42" i="73"/>
  <c r="EM12" i="73"/>
  <c r="EB23" i="73"/>
  <c r="EM28" i="73"/>
  <c r="EC28" i="73"/>
  <c r="EM35" i="73"/>
  <c r="EN39" i="73"/>
  <c r="EN18" i="73"/>
  <c r="EB19" i="73"/>
  <c r="EM24" i="73"/>
  <c r="EN24" i="73" s="1"/>
  <c r="EM25" i="73"/>
  <c r="EN25" i="73" s="1"/>
  <c r="BC42" i="73"/>
  <c r="CM42" i="73"/>
  <c r="DW42" i="73"/>
  <c r="EN28" i="73"/>
  <c r="BF42" i="73"/>
  <c r="CP42" i="73"/>
  <c r="EE11" i="73"/>
  <c r="EC14" i="73"/>
  <c r="EM20" i="73"/>
  <c r="EN20" i="73" s="1"/>
  <c r="EM21" i="73"/>
  <c r="EN21" i="73" s="1"/>
  <c r="EM31" i="73"/>
  <c r="EN31" i="73" s="1"/>
  <c r="ED39" i="73"/>
  <c r="S42" i="73"/>
  <c r="EH11" i="73"/>
  <c r="BI42" i="73"/>
  <c r="CS42" i="73"/>
  <c r="AN14" i="73"/>
  <c r="EM14" i="73" s="1"/>
  <c r="EN14" i="73" s="1"/>
  <c r="EH20" i="73"/>
  <c r="EC24" i="73"/>
  <c r="EK26" i="73"/>
  <c r="EC26" i="73" s="1"/>
  <c r="EM30" i="73"/>
  <c r="EN30" i="73" s="1"/>
  <c r="EM37" i="73"/>
  <c r="V42" i="73"/>
  <c r="BL42" i="73"/>
  <c r="CV42" i="73"/>
  <c r="ED11" i="73"/>
  <c r="EK13" i="73"/>
  <c r="EB13" i="73"/>
  <c r="EM16" i="73"/>
  <c r="EN16" i="73" s="1"/>
  <c r="EM17" i="73"/>
  <c r="EN17" i="73" s="1"/>
  <c r="EE20" i="73"/>
  <c r="EC21" i="73"/>
  <c r="EM41" i="73"/>
  <c r="EE2" i="73"/>
  <c r="EQ2" i="73" s="1"/>
  <c r="G4" i="73" s="1"/>
  <c r="DE42" i="73"/>
  <c r="D42" i="73"/>
  <c r="G42" i="73"/>
  <c r="EB15" i="73"/>
  <c r="EK15" i="73"/>
  <c r="AK15" i="73"/>
  <c r="ED15" i="73" s="1"/>
  <c r="EI3" i="73"/>
  <c r="EI4" i="73" s="1"/>
  <c r="Y42" i="73"/>
  <c r="BO42" i="73"/>
  <c r="CY42" i="73"/>
  <c r="EH16" i="73"/>
  <c r="EH23" i="73"/>
  <c r="EH30" i="73"/>
  <c r="EH41" i="73"/>
  <c r="ED41" i="73"/>
  <c r="EE41" i="73" s="1"/>
  <c r="EM13" i="73"/>
  <c r="EC17" i="73"/>
  <c r="EK19" i="73"/>
  <c r="AQ23" i="73"/>
  <c r="EM23" i="73" s="1"/>
  <c r="AW40" i="73"/>
  <c r="ED40" i="73" s="1"/>
  <c r="EE40" i="73" s="1"/>
  <c r="EK12" i="73"/>
  <c r="ED16" i="73"/>
  <c r="ED20" i="73"/>
  <c r="EE21" i="73"/>
  <c r="ED24" i="73"/>
  <c r="EE24" i="73" s="1"/>
  <c r="EE25" i="73"/>
  <c r="EK29" i="73"/>
  <c r="AQ29" i="73"/>
  <c r="ED29" i="73" s="1"/>
  <c r="EE29" i="73" s="1"/>
  <c r="AN19" i="73"/>
  <c r="EC34" i="73"/>
  <c r="EM39" i="73"/>
  <c r="EK23" i="73"/>
  <c r="ED28" i="73"/>
  <c r="EE28" i="73" s="1"/>
  <c r="AQ34" i="73"/>
  <c r="EM34" i="73" s="1"/>
  <c r="EN34" i="73" s="1"/>
  <c r="AK36" i="73"/>
  <c r="EC40" i="73"/>
  <c r="EK11" i="73"/>
  <c r="EM19" i="73"/>
  <c r="ED30" i="73"/>
  <c r="EE30" i="73" s="1"/>
  <c r="EB36" i="73"/>
  <c r="EB31" i="73"/>
  <c r="AT36" i="73"/>
  <c r="EK27" i="73"/>
  <c r="AQ27" i="73"/>
  <c r="ED27" i="73" s="1"/>
  <c r="EE27" i="73" s="1"/>
  <c r="ED34" i="73"/>
  <c r="EE34" i="73" s="1"/>
  <c r="EM11" i="73"/>
  <c r="ED12" i="73"/>
  <c r="EE12" i="73" s="1"/>
  <c r="EH28" i="73"/>
  <c r="EB35" i="73"/>
  <c r="EB39" i="73"/>
  <c r="EK41" i="73"/>
  <c r="EK33" i="73"/>
  <c r="EK38" i="73"/>
  <c r="EK35" i="73"/>
  <c r="EK37" i="73"/>
  <c r="EN37" i="73" s="1"/>
  <c r="AK42" i="73" l="1"/>
  <c r="EM36" i="73"/>
  <c r="EN36" i="73" s="1"/>
  <c r="EM32" i="73"/>
  <c r="EN32" i="73" s="1"/>
  <c r="EN35" i="73"/>
  <c r="EN12" i="73"/>
  <c r="EN19" i="73"/>
  <c r="ED14" i="73"/>
  <c r="EE14" i="73" s="1"/>
  <c r="ED36" i="73"/>
  <c r="EN11" i="73"/>
  <c r="EN3" i="73"/>
  <c r="EN5" i="73"/>
  <c r="EH42" i="73"/>
  <c r="EC37" i="73"/>
  <c r="ED33" i="73"/>
  <c r="EE33" i="73" s="1"/>
  <c r="EN38" i="73"/>
  <c r="EC32" i="73"/>
  <c r="EN33" i="73"/>
  <c r="EC12" i="73"/>
  <c r="EC19" i="73"/>
  <c r="EE19" i="73"/>
  <c r="EN41" i="73"/>
  <c r="EN2" i="73"/>
  <c r="EP2" i="73" s="1"/>
  <c r="EM27" i="73"/>
  <c r="EN27" i="73" s="1"/>
  <c r="EC29" i="73"/>
  <c r="EC39" i="73"/>
  <c r="EE39" i="73"/>
  <c r="EN26" i="73"/>
  <c r="EE35" i="73"/>
  <c r="EC35" i="73"/>
  <c r="EE31" i="73"/>
  <c r="EC31" i="73"/>
  <c r="ED23" i="73"/>
  <c r="ED42" i="73" s="1"/>
  <c r="EC36" i="73"/>
  <c r="EE36" i="73"/>
  <c r="EN23" i="73"/>
  <c r="EE15" i="73"/>
  <c r="EC15" i="73"/>
  <c r="AQ42" i="73"/>
  <c r="ED32" i="73"/>
  <c r="EE32" i="73" s="1"/>
  <c r="EC38" i="73"/>
  <c r="EE38" i="73"/>
  <c r="EM29" i="73"/>
  <c r="EN29" i="73" s="1"/>
  <c r="EE13" i="73"/>
  <c r="EC13" i="73"/>
  <c r="EE5" i="73"/>
  <c r="G7" i="73" s="1"/>
  <c r="EC41" i="73"/>
  <c r="EN13" i="73"/>
  <c r="EC11" i="73"/>
  <c r="EM40" i="73"/>
  <c r="EN40" i="73" s="1"/>
  <c r="AN42" i="73"/>
  <c r="EC33" i="73"/>
  <c r="EC27" i="73"/>
  <c r="EE3" i="73"/>
  <c r="EM38" i="73"/>
  <c r="EM15" i="73"/>
  <c r="EN15" i="73" s="1"/>
  <c r="EE23" i="73"/>
  <c r="EC23" i="73"/>
  <c r="EM42" i="73" l="1"/>
  <c r="EE4" i="73"/>
  <c r="G6" i="73" s="1"/>
  <c r="G5" i="73"/>
  <c r="EN4" i="73"/>
  <c r="AH39" i="74"/>
  <c r="AE39" i="74"/>
  <c r="EL38" i="74"/>
  <c r="EG38" i="74"/>
  <c r="EI38" i="74" s="1"/>
  <c r="DW38" i="74"/>
  <c r="DT38" i="74"/>
  <c r="DQ38" i="74"/>
  <c r="DN38" i="74"/>
  <c r="DK38" i="74"/>
  <c r="DH38" i="74"/>
  <c r="DE38" i="74"/>
  <c r="DB38" i="74"/>
  <c r="CY38" i="74"/>
  <c r="CV38" i="74"/>
  <c r="CS38" i="74"/>
  <c r="CP38" i="74"/>
  <c r="CM38" i="74"/>
  <c r="CJ38" i="74"/>
  <c r="CG38" i="74"/>
  <c r="CD38" i="74"/>
  <c r="CA38" i="74"/>
  <c r="BX38" i="74"/>
  <c r="BU38" i="74"/>
  <c r="BR38" i="74"/>
  <c r="BO38" i="74"/>
  <c r="BL38" i="74"/>
  <c r="BI38" i="74"/>
  <c r="BF38" i="74"/>
  <c r="BC38" i="74"/>
  <c r="AZ38" i="74"/>
  <c r="AW38" i="74"/>
  <c r="AT38" i="74"/>
  <c r="AQ38" i="74"/>
  <c r="AN38" i="74"/>
  <c r="AI38" i="74"/>
  <c r="EK38" i="74" s="1"/>
  <c r="AB38" i="74"/>
  <c r="Y38" i="74"/>
  <c r="V38" i="74"/>
  <c r="S38" i="74"/>
  <c r="P38" i="74"/>
  <c r="M38" i="74"/>
  <c r="J38" i="74"/>
  <c r="G38" i="74"/>
  <c r="D38" i="74"/>
  <c r="EL37" i="74"/>
  <c r="EG37" i="74"/>
  <c r="EI37" i="74" s="1"/>
  <c r="DW37" i="74"/>
  <c r="DT37" i="74"/>
  <c r="DQ37" i="74"/>
  <c r="DN37" i="74"/>
  <c r="DK37" i="74"/>
  <c r="DH37" i="74"/>
  <c r="DE37" i="74"/>
  <c r="DB37" i="74"/>
  <c r="CY37" i="74"/>
  <c r="CV37" i="74"/>
  <c r="CS37" i="74"/>
  <c r="CP37" i="74"/>
  <c r="CM37" i="74"/>
  <c r="CJ37" i="74"/>
  <c r="CG37" i="74"/>
  <c r="CD37" i="74"/>
  <c r="CA37" i="74"/>
  <c r="BX37" i="74"/>
  <c r="BU37" i="74"/>
  <c r="BR37" i="74"/>
  <c r="BO37" i="74"/>
  <c r="BL37" i="74"/>
  <c r="BI37" i="74"/>
  <c r="BF37" i="74"/>
  <c r="BC37" i="74"/>
  <c r="AZ37" i="74"/>
  <c r="AW37" i="74"/>
  <c r="AT37" i="74"/>
  <c r="AQ37" i="74"/>
  <c r="AN37" i="74"/>
  <c r="AI37" i="74"/>
  <c r="EB37" i="74" s="1"/>
  <c r="AB37" i="74"/>
  <c r="Y37" i="74"/>
  <c r="V37" i="74"/>
  <c r="S37" i="74"/>
  <c r="P37" i="74"/>
  <c r="M37" i="74"/>
  <c r="J37" i="74"/>
  <c r="G37" i="74"/>
  <c r="D37" i="74"/>
  <c r="EL36" i="74"/>
  <c r="EK36" i="74"/>
  <c r="EG36" i="74"/>
  <c r="EI36" i="74" s="1"/>
  <c r="EB36" i="74"/>
  <c r="DW36" i="74"/>
  <c r="DT36" i="74"/>
  <c r="DQ36" i="74"/>
  <c r="DN36" i="74"/>
  <c r="DK36" i="74"/>
  <c r="DH36" i="74"/>
  <c r="DE36" i="74"/>
  <c r="DB36" i="74"/>
  <c r="CY36" i="74"/>
  <c r="CV36" i="74"/>
  <c r="CS36" i="74"/>
  <c r="CP36" i="74"/>
  <c r="CM36" i="74"/>
  <c r="CJ36" i="74"/>
  <c r="CG36" i="74"/>
  <c r="CD36" i="74"/>
  <c r="CA36" i="74"/>
  <c r="BX36" i="74"/>
  <c r="BU36" i="74"/>
  <c r="BR36" i="74"/>
  <c r="BO36" i="74"/>
  <c r="BL36" i="74"/>
  <c r="BI36" i="74"/>
  <c r="BF36" i="74"/>
  <c r="BC36" i="74"/>
  <c r="AZ36" i="74"/>
  <c r="AW36" i="74"/>
  <c r="AT36" i="74"/>
  <c r="AQ36" i="74"/>
  <c r="AN36" i="74"/>
  <c r="AL36" i="74"/>
  <c r="AI36" i="74"/>
  <c r="AK36" i="74" s="1"/>
  <c r="AB36" i="74"/>
  <c r="Y36" i="74"/>
  <c r="V36" i="74"/>
  <c r="EH36" i="74" s="1"/>
  <c r="S36" i="74"/>
  <c r="P36" i="74"/>
  <c r="M36" i="74"/>
  <c r="J36" i="74"/>
  <c r="G36" i="74"/>
  <c r="D36" i="74"/>
  <c r="ED36" i="74" s="1"/>
  <c r="EL35" i="74"/>
  <c r="EG35" i="74"/>
  <c r="EI35" i="74" s="1"/>
  <c r="EB35" i="74"/>
  <c r="DW35" i="74"/>
  <c r="DT35" i="74"/>
  <c r="DQ35" i="74"/>
  <c r="DN35" i="74"/>
  <c r="DK35" i="74"/>
  <c r="DH35" i="74"/>
  <c r="DE35" i="74"/>
  <c r="DB35" i="74"/>
  <c r="CY35" i="74"/>
  <c r="CV35" i="74"/>
  <c r="CS35" i="74"/>
  <c r="CP35" i="74"/>
  <c r="CM35" i="74"/>
  <c r="CJ35" i="74"/>
  <c r="CG35" i="74"/>
  <c r="CD35" i="74"/>
  <c r="CA35" i="74"/>
  <c r="BX35" i="74"/>
  <c r="BU35" i="74"/>
  <c r="BR35" i="74"/>
  <c r="BO35" i="74"/>
  <c r="BL35" i="74"/>
  <c r="BI35" i="74"/>
  <c r="BF35" i="74"/>
  <c r="BC35" i="74"/>
  <c r="AZ35" i="74"/>
  <c r="AW35" i="74"/>
  <c r="AT35" i="74"/>
  <c r="AQ35" i="74"/>
  <c r="AN35" i="74"/>
  <c r="AL35" i="74"/>
  <c r="EK35" i="74" s="1"/>
  <c r="AI35" i="74"/>
  <c r="AK35" i="74" s="1"/>
  <c r="AB35" i="74"/>
  <c r="Y35" i="74"/>
  <c r="V35" i="74"/>
  <c r="S35" i="74"/>
  <c r="EH35" i="74" s="1"/>
  <c r="P35" i="74"/>
  <c r="M35" i="74"/>
  <c r="J35" i="74"/>
  <c r="G35" i="74"/>
  <c r="D35" i="74"/>
  <c r="EL34" i="74"/>
  <c r="EK34" i="74"/>
  <c r="EI34" i="74"/>
  <c r="EG34" i="74"/>
  <c r="DW34" i="74"/>
  <c r="DT34" i="74"/>
  <c r="DQ34" i="74"/>
  <c r="DN34" i="74"/>
  <c r="DK34" i="74"/>
  <c r="DH34" i="74"/>
  <c r="DE34" i="74"/>
  <c r="DB34" i="74"/>
  <c r="CY34" i="74"/>
  <c r="CV34" i="74"/>
  <c r="CS34" i="74"/>
  <c r="CP34" i="74"/>
  <c r="CM34" i="74"/>
  <c r="CJ34" i="74"/>
  <c r="CG34" i="74"/>
  <c r="CD34" i="74"/>
  <c r="CA34" i="74"/>
  <c r="BX34" i="74"/>
  <c r="BU34" i="74"/>
  <c r="BR34" i="74"/>
  <c r="BO34" i="74"/>
  <c r="BL34" i="74"/>
  <c r="BJ34" i="74"/>
  <c r="BI34" i="74"/>
  <c r="BF34" i="74"/>
  <c r="BA34" i="74"/>
  <c r="EB34" i="74" s="1"/>
  <c r="AZ34" i="74"/>
  <c r="AW34" i="74"/>
  <c r="AT34" i="74"/>
  <c r="AQ34" i="74"/>
  <c r="AL34" i="74"/>
  <c r="AN34" i="74" s="1"/>
  <c r="AK34" i="74"/>
  <c r="AI34" i="74"/>
  <c r="AB34" i="74"/>
  <c r="Y34" i="74"/>
  <c r="V34" i="74"/>
  <c r="S34" i="74"/>
  <c r="P34" i="74"/>
  <c r="M34" i="74"/>
  <c r="J34" i="74"/>
  <c r="G34" i="74"/>
  <c r="D34" i="74"/>
  <c r="EL33" i="74"/>
  <c r="EG33" i="74"/>
  <c r="EI33" i="74" s="1"/>
  <c r="DW33" i="74"/>
  <c r="DT33" i="74"/>
  <c r="DQ33" i="74"/>
  <c r="DN33" i="74"/>
  <c r="DK33" i="74"/>
  <c r="DH33" i="74"/>
  <c r="DE33" i="74"/>
  <c r="DB33" i="74"/>
  <c r="CY33" i="74"/>
  <c r="CV33" i="74"/>
  <c r="CS33" i="74"/>
  <c r="CP33" i="74"/>
  <c r="CM33" i="74"/>
  <c r="CJ33" i="74"/>
  <c r="CG33" i="74"/>
  <c r="CD33" i="74"/>
  <c r="CA33" i="74"/>
  <c r="BX33" i="74"/>
  <c r="BU33" i="74"/>
  <c r="BR33" i="74"/>
  <c r="BO33" i="74"/>
  <c r="BL33" i="74"/>
  <c r="BJ33" i="74"/>
  <c r="EK33" i="74" s="1"/>
  <c r="BI33" i="74"/>
  <c r="BD33" i="74"/>
  <c r="BF33" i="74" s="1"/>
  <c r="BC33" i="74"/>
  <c r="AZ33" i="74"/>
  <c r="AW33" i="74"/>
  <c r="AR33" i="74"/>
  <c r="EB33" i="74" s="1"/>
  <c r="AQ33" i="74"/>
  <c r="AN33" i="74"/>
  <c r="AK33" i="74"/>
  <c r="AI33" i="74"/>
  <c r="AB33" i="74"/>
  <c r="Y33" i="74"/>
  <c r="V33" i="74"/>
  <c r="S33" i="74"/>
  <c r="EH33" i="74" s="1"/>
  <c r="P33" i="74"/>
  <c r="M33" i="74"/>
  <c r="J33" i="74"/>
  <c r="G33" i="74"/>
  <c r="D33" i="74"/>
  <c r="EL32" i="74"/>
  <c r="EG32" i="74"/>
  <c r="EI32" i="74" s="1"/>
  <c r="DW32" i="74"/>
  <c r="DT32" i="74"/>
  <c r="DQ32" i="74"/>
  <c r="DN32" i="74"/>
  <c r="DK32" i="74"/>
  <c r="DH32" i="74"/>
  <c r="DE32" i="74"/>
  <c r="DB32" i="74"/>
  <c r="CY32" i="74"/>
  <c r="CV32" i="74"/>
  <c r="CS32" i="74"/>
  <c r="CP32" i="74"/>
  <c r="CM32" i="74"/>
  <c r="CJ32" i="74"/>
  <c r="CG32" i="74"/>
  <c r="CD32" i="74"/>
  <c r="CA32" i="74"/>
  <c r="BX32" i="74"/>
  <c r="BU32" i="74"/>
  <c r="BR32" i="74"/>
  <c r="BO32" i="74"/>
  <c r="BJ32" i="74"/>
  <c r="EK32" i="74" s="1"/>
  <c r="BI32" i="74"/>
  <c r="BD32" i="74"/>
  <c r="BF32" i="74" s="1"/>
  <c r="BC32" i="74"/>
  <c r="AZ32" i="74"/>
  <c r="AW32" i="74"/>
  <c r="AT32" i="74"/>
  <c r="AR32" i="74"/>
  <c r="AQ32" i="74"/>
  <c r="AN32" i="74"/>
  <c r="AI32" i="74"/>
  <c r="AK32" i="74" s="1"/>
  <c r="AB32" i="74"/>
  <c r="Y32" i="74"/>
  <c r="V32" i="74"/>
  <c r="S32" i="74"/>
  <c r="EH32" i="74" s="1"/>
  <c r="P32" i="74"/>
  <c r="M32" i="74"/>
  <c r="J32" i="74"/>
  <c r="G32" i="74"/>
  <c r="D32" i="74"/>
  <c r="EL31" i="74"/>
  <c r="EK31" i="74"/>
  <c r="EG31" i="74"/>
  <c r="EI31" i="74" s="1"/>
  <c r="EB31" i="74"/>
  <c r="DW31" i="74"/>
  <c r="DT31" i="74"/>
  <c r="DQ31" i="74"/>
  <c r="DN31" i="74"/>
  <c r="DK31" i="74"/>
  <c r="DH31" i="74"/>
  <c r="DE31" i="74"/>
  <c r="DB31" i="74"/>
  <c r="CY31" i="74"/>
  <c r="CV31" i="74"/>
  <c r="CS31" i="74"/>
  <c r="CP31" i="74"/>
  <c r="CM31" i="74"/>
  <c r="CJ31" i="74"/>
  <c r="CG31" i="74"/>
  <c r="CD31" i="74"/>
  <c r="CA31" i="74"/>
  <c r="BX31" i="74"/>
  <c r="BU31" i="74"/>
  <c r="BR31" i="74"/>
  <c r="BO31" i="74"/>
  <c r="BL31" i="74"/>
  <c r="BJ31" i="74"/>
  <c r="BI31" i="74"/>
  <c r="BD31" i="74"/>
  <c r="BF31" i="74" s="1"/>
  <c r="BC31" i="74"/>
  <c r="AZ31" i="74"/>
  <c r="AW31" i="74"/>
  <c r="AT31" i="74"/>
  <c r="AR31" i="74"/>
  <c r="AQ31" i="74"/>
  <c r="AN31" i="74"/>
  <c r="AK31" i="74"/>
  <c r="AI31" i="74"/>
  <c r="AB31" i="74"/>
  <c r="Y31" i="74"/>
  <c r="V31" i="74"/>
  <c r="S31" i="74"/>
  <c r="EH31" i="74" s="1"/>
  <c r="P31" i="74"/>
  <c r="M31" i="74"/>
  <c r="J31" i="74"/>
  <c r="G31" i="74"/>
  <c r="D31" i="74"/>
  <c r="EL30" i="74"/>
  <c r="EG30" i="74"/>
  <c r="EI30" i="74" s="1"/>
  <c r="DW30" i="74"/>
  <c r="DT30" i="74"/>
  <c r="DQ30" i="74"/>
  <c r="DN30" i="74"/>
  <c r="DK30" i="74"/>
  <c r="DH30" i="74"/>
  <c r="DE30" i="74"/>
  <c r="DB30" i="74"/>
  <c r="CY30" i="74"/>
  <c r="CV30" i="74"/>
  <c r="CS30" i="74"/>
  <c r="CP30" i="74"/>
  <c r="CM30" i="74"/>
  <c r="CJ30" i="74"/>
  <c r="CG30" i="74"/>
  <c r="CD30" i="74"/>
  <c r="CA30" i="74"/>
  <c r="BX30" i="74"/>
  <c r="BU30" i="74"/>
  <c r="BR30" i="74"/>
  <c r="BO30" i="74"/>
  <c r="BL30" i="74"/>
  <c r="BJ30" i="74"/>
  <c r="EK30" i="74" s="1"/>
  <c r="BI30" i="74"/>
  <c r="BD30" i="74"/>
  <c r="BF30" i="74" s="1"/>
  <c r="BC30" i="74"/>
  <c r="AZ30" i="74"/>
  <c r="AW30" i="74"/>
  <c r="AR30" i="74"/>
  <c r="EB30" i="74" s="1"/>
  <c r="AQ30" i="74"/>
  <c r="AN30" i="74"/>
  <c r="AK30" i="74"/>
  <c r="AI30" i="74"/>
  <c r="AB30" i="74"/>
  <c r="Y30" i="74"/>
  <c r="V30" i="74"/>
  <c r="S30" i="74"/>
  <c r="EH30" i="74" s="1"/>
  <c r="P30" i="74"/>
  <c r="M30" i="74"/>
  <c r="J30" i="74"/>
  <c r="G30" i="74"/>
  <c r="D30" i="74"/>
  <c r="EL29" i="74"/>
  <c r="EG29" i="74"/>
  <c r="EI29" i="74" s="1"/>
  <c r="DW29" i="74"/>
  <c r="DT29" i="74"/>
  <c r="DQ29" i="74"/>
  <c r="DN29" i="74"/>
  <c r="DK29" i="74"/>
  <c r="DH29" i="74"/>
  <c r="DE29" i="74"/>
  <c r="DB29" i="74"/>
  <c r="CY29" i="74"/>
  <c r="CV29" i="74"/>
  <c r="CS29" i="74"/>
  <c r="CP29" i="74"/>
  <c r="CM29" i="74"/>
  <c r="CJ29" i="74"/>
  <c r="CG29" i="74"/>
  <c r="CD29" i="74"/>
  <c r="CA29" i="74"/>
  <c r="BX29" i="74"/>
  <c r="BU29" i="74"/>
  <c r="BR29" i="74"/>
  <c r="BO29" i="74"/>
  <c r="BJ29" i="74"/>
  <c r="EK29" i="74" s="1"/>
  <c r="BI29" i="74"/>
  <c r="BD29" i="74"/>
  <c r="BF29" i="74" s="1"/>
  <c r="BC29" i="74"/>
  <c r="AZ29" i="74"/>
  <c r="AW29" i="74"/>
  <c r="AT29" i="74"/>
  <c r="AR29" i="74"/>
  <c r="AQ29" i="74"/>
  <c r="AN29" i="74"/>
  <c r="AI29" i="74"/>
  <c r="AK29" i="74" s="1"/>
  <c r="AB29" i="74"/>
  <c r="Y29" i="74"/>
  <c r="V29" i="74"/>
  <c r="S29" i="74"/>
  <c r="EH29" i="74" s="1"/>
  <c r="P29" i="74"/>
  <c r="M29" i="74"/>
  <c r="J29" i="74"/>
  <c r="G29" i="74"/>
  <c r="D29" i="74"/>
  <c r="EL28" i="74"/>
  <c r="EG28" i="74"/>
  <c r="EI28" i="74" s="1"/>
  <c r="DW28" i="74"/>
  <c r="DT28" i="74"/>
  <c r="DQ28" i="74"/>
  <c r="DN28" i="74"/>
  <c r="DK28" i="74"/>
  <c r="DH28" i="74"/>
  <c r="DE28" i="74"/>
  <c r="DB28" i="74"/>
  <c r="CY28" i="74"/>
  <c r="CV28" i="74"/>
  <c r="CS28" i="74"/>
  <c r="CP28" i="74"/>
  <c r="CM28" i="74"/>
  <c r="CJ28" i="74"/>
  <c r="CG28" i="74"/>
  <c r="CD28" i="74"/>
  <c r="CA28" i="74"/>
  <c r="BX28" i="74"/>
  <c r="BU28" i="74"/>
  <c r="BR28" i="74"/>
  <c r="BO28" i="74"/>
  <c r="BL28" i="74"/>
  <c r="BJ28" i="74"/>
  <c r="BI28" i="74"/>
  <c r="BG28" i="74"/>
  <c r="BD28" i="74"/>
  <c r="BF28" i="74" s="1"/>
  <c r="BC28" i="74"/>
  <c r="AX28" i="74"/>
  <c r="AZ28" i="74" s="1"/>
  <c r="AW28" i="74"/>
  <c r="AU28" i="74"/>
  <c r="AR28" i="74"/>
  <c r="AT28" i="74" s="1"/>
  <c r="AQ28" i="74"/>
  <c r="AN28" i="74"/>
  <c r="AL28" i="74"/>
  <c r="AI28" i="74"/>
  <c r="AK28" i="74" s="1"/>
  <c r="AB28" i="74"/>
  <c r="Y28" i="74"/>
  <c r="V28" i="74"/>
  <c r="S28" i="74"/>
  <c r="P28" i="74"/>
  <c r="M28" i="74"/>
  <c r="J28" i="74"/>
  <c r="G28" i="74"/>
  <c r="D28" i="74"/>
  <c r="EL27" i="74"/>
  <c r="EG27" i="74"/>
  <c r="EI27" i="74" s="1"/>
  <c r="DW27" i="74"/>
  <c r="DT27" i="74"/>
  <c r="DQ27" i="74"/>
  <c r="DN27" i="74"/>
  <c r="DK27" i="74"/>
  <c r="DH27" i="74"/>
  <c r="DE27" i="74"/>
  <c r="DB27" i="74"/>
  <c r="CY27" i="74"/>
  <c r="CV27" i="74"/>
  <c r="CS27" i="74"/>
  <c r="CP27" i="74"/>
  <c r="CM27" i="74"/>
  <c r="CJ27" i="74"/>
  <c r="CG27" i="74"/>
  <c r="CD27" i="74"/>
  <c r="CA27" i="74"/>
  <c r="BX27" i="74"/>
  <c r="BU27" i="74"/>
  <c r="BR27" i="74"/>
  <c r="BO27" i="74"/>
  <c r="BL27" i="74"/>
  <c r="BI27" i="74"/>
  <c r="BF27" i="74"/>
  <c r="BD27" i="74"/>
  <c r="BC27" i="74"/>
  <c r="AZ27" i="74"/>
  <c r="AW27" i="74"/>
  <c r="AR27" i="74"/>
  <c r="EB27" i="74" s="1"/>
  <c r="AQ27" i="74"/>
  <c r="AN27" i="74"/>
  <c r="AI27" i="74"/>
  <c r="AK27" i="74" s="1"/>
  <c r="AB27" i="74"/>
  <c r="Y27" i="74"/>
  <c r="V27" i="74"/>
  <c r="S27" i="74"/>
  <c r="P27" i="74"/>
  <c r="M27" i="74"/>
  <c r="J27" i="74"/>
  <c r="G27" i="74"/>
  <c r="D27" i="74"/>
  <c r="EL26" i="74"/>
  <c r="EG26" i="74"/>
  <c r="EI26" i="74" s="1"/>
  <c r="DW26" i="74"/>
  <c r="DT26" i="74"/>
  <c r="DQ26" i="74"/>
  <c r="DN26" i="74"/>
  <c r="DK26" i="74"/>
  <c r="DH26" i="74"/>
  <c r="DE26" i="74"/>
  <c r="DB26" i="74"/>
  <c r="CY26" i="74"/>
  <c r="CV26" i="74"/>
  <c r="CS26" i="74"/>
  <c r="CP26" i="74"/>
  <c r="CM26" i="74"/>
  <c r="CJ26" i="74"/>
  <c r="CG26" i="74"/>
  <c r="CD26" i="74"/>
  <c r="CA26" i="74"/>
  <c r="BX26" i="74"/>
  <c r="BU26" i="74"/>
  <c r="BR26" i="74"/>
  <c r="BO26" i="74"/>
  <c r="BL26" i="74"/>
  <c r="BI26" i="74"/>
  <c r="BF26" i="74"/>
  <c r="BD26" i="74"/>
  <c r="BC26" i="74"/>
  <c r="AZ26" i="74"/>
  <c r="AX26" i="74"/>
  <c r="AW26" i="74"/>
  <c r="AU26" i="74"/>
  <c r="AT26" i="74"/>
  <c r="AQ26" i="74"/>
  <c r="AN26" i="74"/>
  <c r="AI26" i="74"/>
  <c r="EB26" i="74" s="1"/>
  <c r="AB26" i="74"/>
  <c r="Y26" i="74"/>
  <c r="V26" i="74"/>
  <c r="S26" i="74"/>
  <c r="P26" i="74"/>
  <c r="M26" i="74"/>
  <c r="J26" i="74"/>
  <c r="G26" i="74"/>
  <c r="D26" i="74"/>
  <c r="EL25" i="74"/>
  <c r="EG25" i="74"/>
  <c r="EI25" i="74" s="1"/>
  <c r="DW25" i="74"/>
  <c r="DT25" i="74"/>
  <c r="DQ25" i="74"/>
  <c r="DN25" i="74"/>
  <c r="DK25" i="74"/>
  <c r="DH25" i="74"/>
  <c r="DE25" i="74"/>
  <c r="DB25" i="74"/>
  <c r="CY25" i="74"/>
  <c r="CV25" i="74"/>
  <c r="CS25" i="74"/>
  <c r="CP25" i="74"/>
  <c r="CM25" i="74"/>
  <c r="CJ25" i="74"/>
  <c r="CG25" i="74"/>
  <c r="CD25" i="74"/>
  <c r="CA25" i="74"/>
  <c r="BX25" i="74"/>
  <c r="BU25" i="74"/>
  <c r="BR25" i="74"/>
  <c r="BO25" i="74"/>
  <c r="BL25" i="74"/>
  <c r="BI25" i="74"/>
  <c r="BD25" i="74"/>
  <c r="EK25" i="74" s="1"/>
  <c r="BC25" i="74"/>
  <c r="AZ25" i="74"/>
  <c r="AX25" i="74"/>
  <c r="AU25" i="74"/>
  <c r="AW25" i="74" s="1"/>
  <c r="AT25" i="74"/>
  <c r="AQ25" i="74"/>
  <c r="AN25" i="74"/>
  <c r="AI25" i="74"/>
  <c r="AK25" i="74" s="1"/>
  <c r="AB25" i="74"/>
  <c r="Y25" i="74"/>
  <c r="V25" i="74"/>
  <c r="S25" i="74"/>
  <c r="EH25" i="74" s="1"/>
  <c r="P25" i="74"/>
  <c r="M25" i="74"/>
  <c r="J25" i="74"/>
  <c r="G25" i="74"/>
  <c r="D25" i="74"/>
  <c r="EL24" i="74"/>
  <c r="EI24" i="74"/>
  <c r="EG24" i="74"/>
  <c r="DW24" i="74"/>
  <c r="DT24" i="74"/>
  <c r="DQ24" i="74"/>
  <c r="DN24" i="74"/>
  <c r="DK24" i="74"/>
  <c r="DH24" i="74"/>
  <c r="DE24" i="74"/>
  <c r="DB24" i="74"/>
  <c r="CY24" i="74"/>
  <c r="CV24" i="74"/>
  <c r="CS24" i="74"/>
  <c r="CP24" i="74"/>
  <c r="CM24" i="74"/>
  <c r="CJ24" i="74"/>
  <c r="CG24" i="74"/>
  <c r="CD24" i="74"/>
  <c r="CA24" i="74"/>
  <c r="BX24" i="74"/>
  <c r="BU24" i="74"/>
  <c r="BR24" i="74"/>
  <c r="BO24" i="74"/>
  <c r="BL24" i="74"/>
  <c r="BI24" i="74"/>
  <c r="BD24" i="74"/>
  <c r="BF24" i="74" s="1"/>
  <c r="BC24" i="74"/>
  <c r="AX24" i="74"/>
  <c r="AZ24" i="74" s="1"/>
  <c r="AU24" i="74"/>
  <c r="EK24" i="74" s="1"/>
  <c r="AT24" i="74"/>
  <c r="AQ24" i="74"/>
  <c r="AN24" i="74"/>
  <c r="AI24" i="74"/>
  <c r="AK24" i="74" s="1"/>
  <c r="AB24" i="74"/>
  <c r="Y24" i="74"/>
  <c r="V24" i="74"/>
  <c r="S24" i="74"/>
  <c r="EH24" i="74" s="1"/>
  <c r="P24" i="74"/>
  <c r="M24" i="74"/>
  <c r="J24" i="74"/>
  <c r="G24" i="74"/>
  <c r="D24" i="74"/>
  <c r="EL23" i="74"/>
  <c r="EG23" i="74"/>
  <c r="EI23" i="74" s="1"/>
  <c r="DW23" i="74"/>
  <c r="DT23" i="74"/>
  <c r="DQ23" i="74"/>
  <c r="DN23" i="74"/>
  <c r="DK23" i="74"/>
  <c r="DH23" i="74"/>
  <c r="DE23" i="74"/>
  <c r="DB23" i="74"/>
  <c r="CY23" i="74"/>
  <c r="CV23" i="74"/>
  <c r="CS23" i="74"/>
  <c r="CP23" i="74"/>
  <c r="CM23" i="74"/>
  <c r="CJ23" i="74"/>
  <c r="CG23" i="74"/>
  <c r="CD23" i="74"/>
  <c r="CA23" i="74"/>
  <c r="BX23" i="74"/>
  <c r="BU23" i="74"/>
  <c r="BR23" i="74"/>
  <c r="BO23" i="74"/>
  <c r="BL23" i="74"/>
  <c r="BI23" i="74"/>
  <c r="BF23" i="74"/>
  <c r="BD23" i="74"/>
  <c r="BC23" i="74"/>
  <c r="AZ23" i="74"/>
  <c r="AX23" i="74"/>
  <c r="AW23" i="74"/>
  <c r="AU23" i="74"/>
  <c r="AT23" i="74"/>
  <c r="AQ23" i="74"/>
  <c r="AN23" i="74"/>
  <c r="AI23" i="74"/>
  <c r="EB23" i="74" s="1"/>
  <c r="AB23" i="74"/>
  <c r="Y23" i="74"/>
  <c r="V23" i="74"/>
  <c r="S23" i="74"/>
  <c r="P23" i="74"/>
  <c r="M23" i="74"/>
  <c r="J23" i="74"/>
  <c r="G23" i="74"/>
  <c r="D23" i="74"/>
  <c r="EL22" i="74"/>
  <c r="EG22" i="74"/>
  <c r="EI22" i="74" s="1"/>
  <c r="DW22" i="74"/>
  <c r="DT22" i="74"/>
  <c r="DQ22" i="74"/>
  <c r="DN22" i="74"/>
  <c r="DK22" i="74"/>
  <c r="DH22" i="74"/>
  <c r="DE22" i="74"/>
  <c r="DB22" i="74"/>
  <c r="CY22" i="74"/>
  <c r="CV22" i="74"/>
  <c r="CS22" i="74"/>
  <c r="CP22" i="74"/>
  <c r="CM22" i="74"/>
  <c r="CJ22" i="74"/>
  <c r="CG22" i="74"/>
  <c r="CD22" i="74"/>
  <c r="CA22" i="74"/>
  <c r="BX22" i="74"/>
  <c r="BU22" i="74"/>
  <c r="BR22" i="74"/>
  <c r="BO22" i="74"/>
  <c r="BL22" i="74"/>
  <c r="BI22" i="74"/>
  <c r="BD22" i="74"/>
  <c r="EK22" i="74" s="1"/>
  <c r="BC22" i="74"/>
  <c r="AZ22" i="74"/>
  <c r="AX22" i="74"/>
  <c r="AU22" i="74"/>
  <c r="AW22" i="74" s="1"/>
  <c r="AT22" i="74"/>
  <c r="AQ22" i="74"/>
  <c r="AN22" i="74"/>
  <c r="AI22" i="74"/>
  <c r="AK22" i="74" s="1"/>
  <c r="AB22" i="74"/>
  <c r="Y22" i="74"/>
  <c r="V22" i="74"/>
  <c r="S22" i="74"/>
  <c r="EH22" i="74" s="1"/>
  <c r="P22" i="74"/>
  <c r="M22" i="74"/>
  <c r="J22" i="74"/>
  <c r="G22" i="74"/>
  <c r="D22" i="74"/>
  <c r="EL21" i="74"/>
  <c r="EI21" i="74"/>
  <c r="EG21" i="74"/>
  <c r="DW21" i="74"/>
  <c r="DT21" i="74"/>
  <c r="DQ21" i="74"/>
  <c r="DN21" i="74"/>
  <c r="DK21" i="74"/>
  <c r="DH21" i="74"/>
  <c r="DE21" i="74"/>
  <c r="DB21" i="74"/>
  <c r="CY21" i="74"/>
  <c r="CV21" i="74"/>
  <c r="CS21" i="74"/>
  <c r="CP21" i="74"/>
  <c r="CM21" i="74"/>
  <c r="CJ21" i="74"/>
  <c r="CG21" i="74"/>
  <c r="CD21" i="74"/>
  <c r="CA21" i="74"/>
  <c r="BX21" i="74"/>
  <c r="BU21" i="74"/>
  <c r="BR21" i="74"/>
  <c r="BO21" i="74"/>
  <c r="BL21" i="74"/>
  <c r="BI21" i="74"/>
  <c r="BD21" i="74"/>
  <c r="BF21" i="74" s="1"/>
  <c r="BC21" i="74"/>
  <c r="AX21" i="74"/>
  <c r="AZ21" i="74" s="1"/>
  <c r="AU21" i="74"/>
  <c r="AW21" i="74" s="1"/>
  <c r="AT21" i="74"/>
  <c r="AQ21" i="74"/>
  <c r="AN21" i="74"/>
  <c r="AI21" i="74"/>
  <c r="AK21" i="74" s="1"/>
  <c r="AB21" i="74"/>
  <c r="Y21" i="74"/>
  <c r="V21" i="74"/>
  <c r="S21" i="74"/>
  <c r="EH21" i="74" s="1"/>
  <c r="P21" i="74"/>
  <c r="M21" i="74"/>
  <c r="J21" i="74"/>
  <c r="G21" i="74"/>
  <c r="D21" i="74"/>
  <c r="EL20" i="74"/>
  <c r="EG20" i="74"/>
  <c r="EI20" i="74" s="1"/>
  <c r="DW20" i="74"/>
  <c r="DT20" i="74"/>
  <c r="DQ20" i="74"/>
  <c r="DN20" i="74"/>
  <c r="DK20" i="74"/>
  <c r="DH20" i="74"/>
  <c r="DE20" i="74"/>
  <c r="DB20" i="74"/>
  <c r="CY20" i="74"/>
  <c r="CV20" i="74"/>
  <c r="CS20" i="74"/>
  <c r="CP20" i="74"/>
  <c r="CM20" i="74"/>
  <c r="CJ20" i="74"/>
  <c r="CG20" i="74"/>
  <c r="CD20" i="74"/>
  <c r="CA20" i="74"/>
  <c r="BX20" i="74"/>
  <c r="BU20" i="74"/>
  <c r="BR20" i="74"/>
  <c r="BO20" i="74"/>
  <c r="BL20" i="74"/>
  <c r="BI20" i="74"/>
  <c r="BF20" i="74"/>
  <c r="BD20" i="74"/>
  <c r="BA20" i="74"/>
  <c r="BC20" i="74" s="1"/>
  <c r="AX20" i="74"/>
  <c r="EK20" i="74" s="1"/>
  <c r="AU20" i="74"/>
  <c r="EB20" i="74" s="1"/>
  <c r="AT20" i="74"/>
  <c r="AQ20" i="74"/>
  <c r="AN20" i="74"/>
  <c r="AK20" i="74"/>
  <c r="AI20" i="74"/>
  <c r="AB20" i="74"/>
  <c r="Y20" i="74"/>
  <c r="V20" i="74"/>
  <c r="S20" i="74"/>
  <c r="P20" i="74"/>
  <c r="M20" i="74"/>
  <c r="J20" i="74"/>
  <c r="G20" i="74"/>
  <c r="D20" i="74"/>
  <c r="EL19" i="74"/>
  <c r="EG19" i="74"/>
  <c r="EI19" i="74" s="1"/>
  <c r="DW19" i="74"/>
  <c r="DT19" i="74"/>
  <c r="DQ19" i="74"/>
  <c r="DN19" i="74"/>
  <c r="DK19" i="74"/>
  <c r="DH19" i="74"/>
  <c r="DE19" i="74"/>
  <c r="DB19" i="74"/>
  <c r="CY19" i="74"/>
  <c r="CV19" i="74"/>
  <c r="CS19" i="74"/>
  <c r="CP19" i="74"/>
  <c r="CM19" i="74"/>
  <c r="CJ19" i="74"/>
  <c r="CG19" i="74"/>
  <c r="CD19" i="74"/>
  <c r="CA19" i="74"/>
  <c r="BX19" i="74"/>
  <c r="BU19" i="74"/>
  <c r="BR19" i="74"/>
  <c r="BO19" i="74"/>
  <c r="BL19" i="74"/>
  <c r="BI19" i="74"/>
  <c r="BF19" i="74"/>
  <c r="BA19" i="74"/>
  <c r="EB19" i="74" s="1"/>
  <c r="AZ19" i="74"/>
  <c r="AX19" i="74"/>
  <c r="AW19" i="74"/>
  <c r="AT19" i="74"/>
  <c r="AR19" i="74"/>
  <c r="AQ19" i="74"/>
  <c r="AN19" i="74"/>
  <c r="AI19" i="74"/>
  <c r="AK19" i="74" s="1"/>
  <c r="AB19" i="74"/>
  <c r="Y19" i="74"/>
  <c r="V19" i="74"/>
  <c r="S19" i="74"/>
  <c r="EH19" i="74" s="1"/>
  <c r="P19" i="74"/>
  <c r="M19" i="74"/>
  <c r="J19" i="74"/>
  <c r="G19" i="74"/>
  <c r="D19" i="74"/>
  <c r="EL18" i="74"/>
  <c r="EK18" i="74"/>
  <c r="EG18" i="74"/>
  <c r="EI18" i="74" s="1"/>
  <c r="DW18" i="74"/>
  <c r="DT18" i="74"/>
  <c r="DQ18" i="74"/>
  <c r="DN18" i="74"/>
  <c r="DK18" i="74"/>
  <c r="DH18" i="74"/>
  <c r="DE18" i="74"/>
  <c r="DB18" i="74"/>
  <c r="CY18" i="74"/>
  <c r="CV18" i="74"/>
  <c r="CS18" i="74"/>
  <c r="CP18" i="74"/>
  <c r="CM18" i="74"/>
  <c r="CJ18" i="74"/>
  <c r="CG18" i="74"/>
  <c r="CD18" i="74"/>
  <c r="CA18" i="74"/>
  <c r="BX18" i="74"/>
  <c r="BU18" i="74"/>
  <c r="BR18" i="74"/>
  <c r="BO18" i="74"/>
  <c r="BL18" i="74"/>
  <c r="BG18" i="74"/>
  <c r="BI18" i="74" s="1"/>
  <c r="BF18" i="74"/>
  <c r="BA18" i="74"/>
  <c r="EB18" i="74" s="1"/>
  <c r="AZ18" i="74"/>
  <c r="AW18" i="74"/>
  <c r="AT18" i="74"/>
  <c r="AQ18" i="74"/>
  <c r="AN18" i="74"/>
  <c r="AI18" i="74"/>
  <c r="AK18" i="74" s="1"/>
  <c r="AB18" i="74"/>
  <c r="Y18" i="74"/>
  <c r="V18" i="74"/>
  <c r="S18" i="74"/>
  <c r="P18" i="74"/>
  <c r="M18" i="74"/>
  <c r="J18" i="74"/>
  <c r="G18" i="74"/>
  <c r="D18" i="74"/>
  <c r="EL17" i="74"/>
  <c r="EG17" i="74"/>
  <c r="EI17" i="74" s="1"/>
  <c r="DW17" i="74"/>
  <c r="DT17" i="74"/>
  <c r="DQ17" i="74"/>
  <c r="DN17" i="74"/>
  <c r="DK17" i="74"/>
  <c r="DH17" i="74"/>
  <c r="DE17" i="74"/>
  <c r="DB17" i="74"/>
  <c r="CY17" i="74"/>
  <c r="CV17" i="74"/>
  <c r="CS17" i="74"/>
  <c r="CP17" i="74"/>
  <c r="CM17" i="74"/>
  <c r="CJ17" i="74"/>
  <c r="CG17" i="74"/>
  <c r="CD17" i="74"/>
  <c r="CA17" i="74"/>
  <c r="BX17" i="74"/>
  <c r="BU17" i="74"/>
  <c r="BR17" i="74"/>
  <c r="BO17" i="74"/>
  <c r="BL17" i="74"/>
  <c r="BI17" i="74"/>
  <c r="BG17" i="74"/>
  <c r="BF17" i="74"/>
  <c r="BA17" i="74"/>
  <c r="EB17" i="74" s="1"/>
  <c r="AZ17" i="74"/>
  <c r="AW17" i="74"/>
  <c r="AT17" i="74"/>
  <c r="AQ17" i="74"/>
  <c r="AN17" i="74"/>
  <c r="AI17" i="74"/>
  <c r="EK17" i="74" s="1"/>
  <c r="AB17" i="74"/>
  <c r="Y17" i="74"/>
  <c r="V17" i="74"/>
  <c r="S17" i="74"/>
  <c r="P17" i="74"/>
  <c r="M17" i="74"/>
  <c r="J17" i="74"/>
  <c r="G17" i="74"/>
  <c r="D17" i="74"/>
  <c r="EL16" i="74"/>
  <c r="EG16" i="74"/>
  <c r="EI16" i="74" s="1"/>
  <c r="DW16" i="74"/>
  <c r="DT16" i="74"/>
  <c r="DQ16" i="74"/>
  <c r="DN16" i="74"/>
  <c r="DK16" i="74"/>
  <c r="DH16" i="74"/>
  <c r="DE16" i="74"/>
  <c r="DB16" i="74"/>
  <c r="CY16" i="74"/>
  <c r="CV16" i="74"/>
  <c r="CS16" i="74"/>
  <c r="CP16" i="74"/>
  <c r="CM16" i="74"/>
  <c r="CJ16" i="74"/>
  <c r="CG16" i="74"/>
  <c r="CD16" i="74"/>
  <c r="CA16" i="74"/>
  <c r="BX16" i="74"/>
  <c r="BU16" i="74"/>
  <c r="BR16" i="74"/>
  <c r="BO16" i="74"/>
  <c r="BL16" i="74"/>
  <c r="BG16" i="74"/>
  <c r="EK16" i="74" s="1"/>
  <c r="BF16" i="74"/>
  <c r="BA16" i="74"/>
  <c r="BC16" i="74" s="1"/>
  <c r="AZ16" i="74"/>
  <c r="AW16" i="74"/>
  <c r="AT16" i="74"/>
  <c r="AQ16" i="74"/>
  <c r="AN16" i="74"/>
  <c r="AI16" i="74"/>
  <c r="AK16" i="74" s="1"/>
  <c r="AB16" i="74"/>
  <c r="Y16" i="74"/>
  <c r="V16" i="74"/>
  <c r="S16" i="74"/>
  <c r="P16" i="74"/>
  <c r="M16" i="74"/>
  <c r="J16" i="74"/>
  <c r="G16" i="74"/>
  <c r="D16" i="74"/>
  <c r="EL15" i="74"/>
  <c r="EG15" i="74"/>
  <c r="EI15" i="74" s="1"/>
  <c r="DW15" i="74"/>
  <c r="DT15" i="74"/>
  <c r="DQ15" i="74"/>
  <c r="DN15" i="74"/>
  <c r="DK15" i="74"/>
  <c r="DH15" i="74"/>
  <c r="DE15" i="74"/>
  <c r="DB15" i="74"/>
  <c r="CY15" i="74"/>
  <c r="CV15" i="74"/>
  <c r="CS15" i="74"/>
  <c r="CP15" i="74"/>
  <c r="CM15" i="74"/>
  <c r="CJ15" i="74"/>
  <c r="CG15" i="74"/>
  <c r="CD15" i="74"/>
  <c r="CA15" i="74"/>
  <c r="BX15" i="74"/>
  <c r="BU15" i="74"/>
  <c r="BR15" i="74"/>
  <c r="BO15" i="74"/>
  <c r="BL15" i="74"/>
  <c r="BG15" i="74"/>
  <c r="BI15" i="74" s="1"/>
  <c r="BF15" i="74"/>
  <c r="BA15" i="74"/>
  <c r="EB15" i="74" s="1"/>
  <c r="AZ15" i="74"/>
  <c r="AW15" i="74"/>
  <c r="AT15" i="74"/>
  <c r="AQ15" i="74"/>
  <c r="AN15" i="74"/>
  <c r="AK15" i="74"/>
  <c r="AI15" i="74"/>
  <c r="AB15" i="74"/>
  <c r="Y15" i="74"/>
  <c r="V15" i="74"/>
  <c r="S15" i="74"/>
  <c r="EH15" i="74" s="1"/>
  <c r="P15" i="74"/>
  <c r="M15" i="74"/>
  <c r="J15" i="74"/>
  <c r="G15" i="74"/>
  <c r="D15" i="74"/>
  <c r="EL14" i="74"/>
  <c r="EG14" i="74"/>
  <c r="EI14" i="74" s="1"/>
  <c r="EB14" i="74"/>
  <c r="DW14" i="74"/>
  <c r="DT14" i="74"/>
  <c r="DQ14" i="74"/>
  <c r="DN14" i="74"/>
  <c r="DK14" i="74"/>
  <c r="DH14" i="74"/>
  <c r="DE14" i="74"/>
  <c r="DB14" i="74"/>
  <c r="CY14" i="74"/>
  <c r="CV14" i="74"/>
  <c r="CS14" i="74"/>
  <c r="CP14" i="74"/>
  <c r="CM14" i="74"/>
  <c r="CJ14" i="74"/>
  <c r="CG14" i="74"/>
  <c r="CD14" i="74"/>
  <c r="CA14" i="74"/>
  <c r="BX14" i="74"/>
  <c r="BU14" i="74"/>
  <c r="BR14" i="74"/>
  <c r="BO14" i="74"/>
  <c r="BL14" i="74"/>
  <c r="BG14" i="74"/>
  <c r="EK14" i="74" s="1"/>
  <c r="BF14" i="74"/>
  <c r="BC14" i="74"/>
  <c r="AZ14" i="74"/>
  <c r="AW14" i="74"/>
  <c r="AT14" i="74"/>
  <c r="AQ14" i="74"/>
  <c r="AN14" i="74"/>
  <c r="AK14" i="74"/>
  <c r="AI14" i="74"/>
  <c r="AB14" i="74"/>
  <c r="Y14" i="74"/>
  <c r="V14" i="74"/>
  <c r="S14" i="74"/>
  <c r="EH14" i="74" s="1"/>
  <c r="P14" i="74"/>
  <c r="M14" i="74"/>
  <c r="J14" i="74"/>
  <c r="G14" i="74"/>
  <c r="D14" i="74"/>
  <c r="EL13" i="74"/>
  <c r="EK13" i="74"/>
  <c r="EG13" i="74"/>
  <c r="EI13" i="74" s="1"/>
  <c r="DW13" i="74"/>
  <c r="DT13" i="74"/>
  <c r="DQ13" i="74"/>
  <c r="DN13" i="74"/>
  <c r="DK13" i="74"/>
  <c r="DH13" i="74"/>
  <c r="DE13" i="74"/>
  <c r="DB13" i="74"/>
  <c r="CY13" i="74"/>
  <c r="CV13" i="74"/>
  <c r="CS13" i="74"/>
  <c r="CP13" i="74"/>
  <c r="CM13" i="74"/>
  <c r="CJ13" i="74"/>
  <c r="CG13" i="74"/>
  <c r="CD13" i="74"/>
  <c r="CA13" i="74"/>
  <c r="BX13" i="74"/>
  <c r="BU13" i="74"/>
  <c r="BR13" i="74"/>
  <c r="BO13" i="74"/>
  <c r="BL13" i="74"/>
  <c r="BG13" i="74"/>
  <c r="BI13" i="74" s="1"/>
  <c r="BF13" i="74"/>
  <c r="BC13" i="74"/>
  <c r="AZ13" i="74"/>
  <c r="AW13" i="74"/>
  <c r="AT13" i="74"/>
  <c r="AQ13" i="74"/>
  <c r="AN13" i="74"/>
  <c r="AK13" i="74"/>
  <c r="AI13" i="74"/>
  <c r="AB13" i="74"/>
  <c r="Y13" i="74"/>
  <c r="V13" i="74"/>
  <c r="S13" i="74"/>
  <c r="EH13" i="74" s="1"/>
  <c r="P13" i="74"/>
  <c r="M13" i="74"/>
  <c r="J13" i="74"/>
  <c r="G13" i="74"/>
  <c r="D13" i="74"/>
  <c r="EL12" i="74"/>
  <c r="EG12" i="74"/>
  <c r="DW12" i="74"/>
  <c r="DT12" i="74"/>
  <c r="DQ12" i="74"/>
  <c r="DN12" i="74"/>
  <c r="DK12" i="74"/>
  <c r="DH12" i="74"/>
  <c r="DE12" i="74"/>
  <c r="DB12" i="74"/>
  <c r="CY12" i="74"/>
  <c r="CV12" i="74"/>
  <c r="CS12" i="74"/>
  <c r="CP12" i="74"/>
  <c r="CM12" i="74"/>
  <c r="CJ12" i="74"/>
  <c r="CG12" i="74"/>
  <c r="CD12" i="74"/>
  <c r="CA12" i="74"/>
  <c r="BX12" i="74"/>
  <c r="BU12" i="74"/>
  <c r="BR12" i="74"/>
  <c r="BO12" i="74"/>
  <c r="BL12" i="74"/>
  <c r="BG12" i="74"/>
  <c r="BI12" i="74" s="1"/>
  <c r="BF12" i="74"/>
  <c r="BC12" i="74"/>
  <c r="BA12" i="74"/>
  <c r="AZ12" i="74"/>
  <c r="AW12" i="74"/>
  <c r="AT12" i="74"/>
  <c r="AQ12" i="74"/>
  <c r="AN12" i="74"/>
  <c r="AI12" i="74"/>
  <c r="AK12" i="74" s="1"/>
  <c r="AB12" i="74"/>
  <c r="Y12" i="74"/>
  <c r="V12" i="74"/>
  <c r="S12" i="74"/>
  <c r="EH12" i="74" s="1"/>
  <c r="P12" i="74"/>
  <c r="M12" i="74"/>
  <c r="J12" i="74"/>
  <c r="G12" i="74"/>
  <c r="D12" i="74"/>
  <c r="A12" i="74"/>
  <c r="A13" i="74" s="1"/>
  <c r="A14" i="74" s="1"/>
  <c r="A15" i="74" s="1"/>
  <c r="A16" i="74" s="1"/>
  <c r="A17" i="74" s="1"/>
  <c r="A18" i="74" s="1"/>
  <c r="A19" i="74" s="1"/>
  <c r="A20" i="74" s="1"/>
  <c r="A21" i="74" s="1"/>
  <c r="A22" i="74" s="1"/>
  <c r="A23" i="74" s="1"/>
  <c r="A24" i="74" s="1"/>
  <c r="A25" i="74" s="1"/>
  <c r="A26" i="74" s="1"/>
  <c r="A27" i="74" s="1"/>
  <c r="A28" i="74" s="1"/>
  <c r="A29" i="74" s="1"/>
  <c r="A30" i="74" s="1"/>
  <c r="A31" i="74" s="1"/>
  <c r="A32" i="74" s="1"/>
  <c r="A33" i="74" s="1"/>
  <c r="A34" i="74" s="1"/>
  <c r="A35" i="74" s="1"/>
  <c r="A36" i="74" s="1"/>
  <c r="A37" i="74" s="1"/>
  <c r="A38" i="74" s="1"/>
  <c r="EL11" i="74"/>
  <c r="EK11" i="74"/>
  <c r="EG11" i="74"/>
  <c r="EI11" i="74" s="1"/>
  <c r="EB11" i="74"/>
  <c r="DW11" i="74"/>
  <c r="DT11" i="74"/>
  <c r="DQ11" i="74"/>
  <c r="DN11" i="74"/>
  <c r="DK11" i="74"/>
  <c r="DH11" i="74"/>
  <c r="DE11" i="74"/>
  <c r="DE39" i="74" s="1"/>
  <c r="DB11" i="74"/>
  <c r="CY11" i="74"/>
  <c r="CV11" i="74"/>
  <c r="CS11" i="74"/>
  <c r="CP11" i="74"/>
  <c r="CM11" i="74"/>
  <c r="CJ11" i="74"/>
  <c r="CG11" i="74"/>
  <c r="CD11" i="74"/>
  <c r="CA11" i="74"/>
  <c r="BX11" i="74"/>
  <c r="BU11" i="74"/>
  <c r="BU39" i="74" s="1"/>
  <c r="BR11" i="74"/>
  <c r="BO11" i="74"/>
  <c r="BL11" i="74"/>
  <c r="BI11" i="74"/>
  <c r="BF11" i="74"/>
  <c r="BC11" i="74"/>
  <c r="AZ11" i="74"/>
  <c r="AW11" i="74"/>
  <c r="AT11" i="74"/>
  <c r="AQ11" i="74"/>
  <c r="AN11" i="74"/>
  <c r="AK11" i="74"/>
  <c r="AB11" i="74"/>
  <c r="Y11" i="74"/>
  <c r="V11" i="74"/>
  <c r="S11" i="74"/>
  <c r="P11" i="74"/>
  <c r="M11" i="74"/>
  <c r="J11" i="74"/>
  <c r="G11" i="74"/>
  <c r="D11" i="74"/>
  <c r="EI2" i="74"/>
  <c r="AQ39" i="74" l="1"/>
  <c r="EM36" i="74"/>
  <c r="ED11" i="74"/>
  <c r="CD39" i="74"/>
  <c r="DN39" i="74"/>
  <c r="ED12" i="74"/>
  <c r="EH28" i="74"/>
  <c r="EH37" i="74"/>
  <c r="G39" i="74"/>
  <c r="EM11" i="74"/>
  <c r="EN11" i="74" s="1"/>
  <c r="EH16" i="74"/>
  <c r="J39" i="74"/>
  <c r="CJ39" i="74"/>
  <c r="DT39" i="74"/>
  <c r="CG39" i="74"/>
  <c r="EH18" i="74"/>
  <c r="BX39" i="74"/>
  <c r="CA39" i="74"/>
  <c r="DK39" i="74"/>
  <c r="M39" i="74"/>
  <c r="CM39" i="74"/>
  <c r="EI5" i="74"/>
  <c r="DB39" i="74"/>
  <c r="S39" i="74"/>
  <c r="CS39" i="74"/>
  <c r="V39" i="74"/>
  <c r="CV39" i="74"/>
  <c r="EH11" i="74"/>
  <c r="EH39" i="74" s="1"/>
  <c r="EH23" i="74"/>
  <c r="EH27" i="74"/>
  <c r="AN39" i="74"/>
  <c r="ED21" i="74"/>
  <c r="DW39" i="74"/>
  <c r="Y39" i="74"/>
  <c r="EH17" i="74"/>
  <c r="EH20" i="74"/>
  <c r="EH26" i="74"/>
  <c r="EH34" i="74"/>
  <c r="DH39" i="74"/>
  <c r="EM13" i="74"/>
  <c r="EN13" i="74" s="1"/>
  <c r="P39" i="74"/>
  <c r="CP39" i="74"/>
  <c r="BR39" i="74"/>
  <c r="AB39" i="74"/>
  <c r="EC11" i="74"/>
  <c r="BO39" i="74"/>
  <c r="CY39" i="74"/>
  <c r="EH38" i="74"/>
  <c r="EN35" i="74"/>
  <c r="EC19" i="74"/>
  <c r="EM21" i="74"/>
  <c r="EN2" i="74"/>
  <c r="EP2" i="74" s="1"/>
  <c r="EE11" i="74"/>
  <c r="EC18" i="74"/>
  <c r="EM28" i="74"/>
  <c r="ED31" i="74"/>
  <c r="EE31" i="74" s="1"/>
  <c r="EM12" i="74"/>
  <c r="EM15" i="74"/>
  <c r="EC30" i="74"/>
  <c r="EM31" i="74"/>
  <c r="EN31" i="74" s="1"/>
  <c r="EM35" i="74"/>
  <c r="EE36" i="74"/>
  <c r="EC20" i="74"/>
  <c r="ED33" i="74"/>
  <c r="EE33" i="74" s="1"/>
  <c r="EM20" i="74"/>
  <c r="EN20" i="74" s="1"/>
  <c r="EN36" i="74"/>
  <c r="EC33" i="74"/>
  <c r="EC34" i="74"/>
  <c r="ED35" i="74"/>
  <c r="EE35" i="74" s="1"/>
  <c r="EC15" i="74"/>
  <c r="EC17" i="74"/>
  <c r="ED13" i="74"/>
  <c r="ED28" i="74"/>
  <c r="BC19" i="74"/>
  <c r="EM19" i="74" s="1"/>
  <c r="EC35" i="74"/>
  <c r="AK17" i="74"/>
  <c r="ED17" i="74" s="1"/>
  <c r="EE17" i="74" s="1"/>
  <c r="EB32" i="74"/>
  <c r="EI3" i="74"/>
  <c r="EI4" i="74" s="1"/>
  <c r="EB22" i="74"/>
  <c r="EB25" i="74"/>
  <c r="D39" i="74"/>
  <c r="EK15" i="74"/>
  <c r="EB16" i="74"/>
  <c r="BC18" i="74"/>
  <c r="EM18" i="74" s="1"/>
  <c r="EN18" i="74" s="1"/>
  <c r="BL29" i="74"/>
  <c r="ED29" i="74" s="1"/>
  <c r="AT30" i="74"/>
  <c r="EM30" i="74" s="1"/>
  <c r="EN30" i="74" s="1"/>
  <c r="BL32" i="74"/>
  <c r="ED32" i="74" s="1"/>
  <c r="AT33" i="74"/>
  <c r="EM33" i="74" s="1"/>
  <c r="EN33" i="74" s="1"/>
  <c r="BC34" i="74"/>
  <c r="ED34" i="74" s="1"/>
  <c r="EE34" i="74" s="1"/>
  <c r="AK37" i="74"/>
  <c r="ED37" i="74" s="1"/>
  <c r="EE37" i="74" s="1"/>
  <c r="EB38" i="74"/>
  <c r="EB12" i="74"/>
  <c r="EB29" i="74"/>
  <c r="BI14" i="74"/>
  <c r="ED14" i="74" s="1"/>
  <c r="EE14" i="74" s="1"/>
  <c r="EC14" i="74"/>
  <c r="BF22" i="74"/>
  <c r="EM22" i="74" s="1"/>
  <c r="EN22" i="74" s="1"/>
  <c r="BF25" i="74"/>
  <c r="ED25" i="74" s="1"/>
  <c r="BI16" i="74"/>
  <c r="EM16" i="74" s="1"/>
  <c r="EN16" i="74" s="1"/>
  <c r="AW20" i="74"/>
  <c r="ED20" i="74" s="1"/>
  <c r="EE20" i="74" s="1"/>
  <c r="EK21" i="74"/>
  <c r="EB28" i="74"/>
  <c r="EK37" i="74"/>
  <c r="DQ39" i="74"/>
  <c r="BC15" i="74"/>
  <c r="ED15" i="74" s="1"/>
  <c r="EE15" i="74" s="1"/>
  <c r="AZ20" i="74"/>
  <c r="AZ39" i="74" s="1"/>
  <c r="EB21" i="74"/>
  <c r="EB24" i="74"/>
  <c r="EC31" i="74"/>
  <c r="EC36" i="74"/>
  <c r="AW24" i="74"/>
  <c r="EK23" i="74"/>
  <c r="EI12" i="74"/>
  <c r="EB13" i="74"/>
  <c r="EK27" i="74"/>
  <c r="EC27" i="74" s="1"/>
  <c r="EK12" i="74"/>
  <c r="BC17" i="74"/>
  <c r="EK19" i="74"/>
  <c r="AK38" i="74"/>
  <c r="ED38" i="74" s="1"/>
  <c r="AK23" i="74"/>
  <c r="ED23" i="74" s="1"/>
  <c r="EE23" i="74" s="1"/>
  <c r="AK26" i="74"/>
  <c r="ED26" i="74" s="1"/>
  <c r="EE26" i="74" s="1"/>
  <c r="EK28" i="74"/>
  <c r="AT27" i="74"/>
  <c r="EK26" i="74"/>
  <c r="EC26" i="74" s="1"/>
  <c r="AT39" i="74" l="1"/>
  <c r="EN28" i="74"/>
  <c r="ED16" i="74"/>
  <c r="EM37" i="74"/>
  <c r="EN37" i="74" s="1"/>
  <c r="BC39" i="74"/>
  <c r="AW39" i="74"/>
  <c r="BI39" i="74"/>
  <c r="EM32" i="74"/>
  <c r="EN32" i="74" s="1"/>
  <c r="EM17" i="74"/>
  <c r="EN17" i="74" s="1"/>
  <c r="EC37" i="74"/>
  <c r="EM34" i="74"/>
  <c r="EN34" i="74" s="1"/>
  <c r="EM14" i="74"/>
  <c r="EN14" i="74" s="1"/>
  <c r="EN3" i="74"/>
  <c r="EC24" i="74"/>
  <c r="ED19" i="74"/>
  <c r="EE19" i="74" s="1"/>
  <c r="EE16" i="74"/>
  <c r="EC16" i="74"/>
  <c r="ED18" i="74"/>
  <c r="EE18" i="74" s="1"/>
  <c r="EN19" i="74"/>
  <c r="EN15" i="74"/>
  <c r="EM25" i="74"/>
  <c r="EN25" i="74" s="1"/>
  <c r="EM24" i="74"/>
  <c r="EN24" i="74" s="1"/>
  <c r="ED24" i="74"/>
  <c r="EE24" i="74" s="1"/>
  <c r="ED30" i="74"/>
  <c r="EE30" i="74" s="1"/>
  <c r="EM26" i="74"/>
  <c r="EN26" i="74" s="1"/>
  <c r="EE21" i="74"/>
  <c r="EC21" i="74"/>
  <c r="ED22" i="74"/>
  <c r="EE29" i="74"/>
  <c r="EC29" i="74"/>
  <c r="BL39" i="74"/>
  <c r="EM29" i="74"/>
  <c r="EN29" i="74" s="1"/>
  <c r="EN5" i="74"/>
  <c r="EN12" i="74"/>
  <c r="BF39" i="74"/>
  <c r="EM38" i="74"/>
  <c r="EN38" i="74" s="1"/>
  <c r="EE25" i="74"/>
  <c r="EC25" i="74"/>
  <c r="ED27" i="74"/>
  <c r="EE27" i="74" s="1"/>
  <c r="EE13" i="74"/>
  <c r="EC13" i="74"/>
  <c r="EE28" i="74"/>
  <c r="EC28" i="74"/>
  <c r="EE22" i="74"/>
  <c r="EC22" i="74"/>
  <c r="AK39" i="74"/>
  <c r="EM27" i="74"/>
  <c r="EN27" i="74" s="1"/>
  <c r="EN21" i="74"/>
  <c r="EE2" i="74"/>
  <c r="EQ2" i="74" s="1"/>
  <c r="G4" i="74" s="1"/>
  <c r="EE38" i="74"/>
  <c r="EC38" i="74"/>
  <c r="EE32" i="74"/>
  <c r="EC32" i="74"/>
  <c r="EC23" i="74"/>
  <c r="EE3" i="74"/>
  <c r="EE5" i="74"/>
  <c r="G7" i="74" s="1"/>
  <c r="EE12" i="74"/>
  <c r="EC12" i="74"/>
  <c r="EM23" i="74"/>
  <c r="EM39" i="74" l="1"/>
  <c r="EN4" i="74"/>
  <c r="G5" i="74"/>
  <c r="EE4" i="74"/>
  <c r="G6" i="74" s="1"/>
  <c r="EN23" i="74"/>
  <c r="ED39" i="74"/>
  <c r="AH42" i="75"/>
  <c r="AE42" i="75"/>
  <c r="EL41" i="75"/>
  <c r="EG41" i="75"/>
  <c r="EI41" i="75" s="1"/>
  <c r="EB41" i="75"/>
  <c r="DW41" i="75"/>
  <c r="DT41" i="75"/>
  <c r="DQ41" i="75"/>
  <c r="DN41" i="75"/>
  <c r="DK41" i="75"/>
  <c r="DH41" i="75"/>
  <c r="DE41" i="75"/>
  <c r="DB41" i="75"/>
  <c r="CY41" i="75"/>
  <c r="CV41" i="75"/>
  <c r="CS41" i="75"/>
  <c r="CP41" i="75"/>
  <c r="CM41" i="75"/>
  <c r="CJ41" i="75"/>
  <c r="CG41" i="75"/>
  <c r="CD41" i="75"/>
  <c r="CA41" i="75"/>
  <c r="BX41" i="75"/>
  <c r="BU41" i="75"/>
  <c r="BR41" i="75"/>
  <c r="BO41" i="75"/>
  <c r="BL41" i="75"/>
  <c r="BI41" i="75"/>
  <c r="BF41" i="75"/>
  <c r="BC41" i="75"/>
  <c r="AZ41" i="75"/>
  <c r="AW41" i="75"/>
  <c r="AT41" i="75"/>
  <c r="AQ41" i="75"/>
  <c r="AN41" i="75"/>
  <c r="AI41" i="75"/>
  <c r="EK41" i="75" s="1"/>
  <c r="EN2" i="75" s="1"/>
  <c r="EP2" i="75" s="1"/>
  <c r="AB41" i="75"/>
  <c r="Y41" i="75"/>
  <c r="V41" i="75"/>
  <c r="S41" i="75"/>
  <c r="P41" i="75"/>
  <c r="M41" i="75"/>
  <c r="J41" i="75"/>
  <c r="G41" i="75"/>
  <c r="D41" i="75"/>
  <c r="EL40" i="75"/>
  <c r="EK40" i="75"/>
  <c r="EI40" i="75"/>
  <c r="EG40" i="75"/>
  <c r="DW40" i="75"/>
  <c r="DT40" i="75"/>
  <c r="DQ40" i="75"/>
  <c r="DN40" i="75"/>
  <c r="DK40" i="75"/>
  <c r="DH40" i="75"/>
  <c r="DE40" i="75"/>
  <c r="DB40" i="75"/>
  <c r="CY40" i="75"/>
  <c r="CV40" i="75"/>
  <c r="CS40" i="75"/>
  <c r="CP40" i="75"/>
  <c r="CM40" i="75"/>
  <c r="CJ40" i="75"/>
  <c r="CG40" i="75"/>
  <c r="CD40" i="75"/>
  <c r="CA40" i="75"/>
  <c r="BX40" i="75"/>
  <c r="BU40" i="75"/>
  <c r="BR40" i="75"/>
  <c r="BO40" i="75"/>
  <c r="BL40" i="75"/>
  <c r="BI40" i="75"/>
  <c r="BF40" i="75"/>
  <c r="BC40" i="75"/>
  <c r="AZ40" i="75"/>
  <c r="AW40" i="75"/>
  <c r="AT40" i="75"/>
  <c r="AQ40" i="75"/>
  <c r="AN40" i="75"/>
  <c r="AK40" i="75"/>
  <c r="AI40" i="75"/>
  <c r="EB40" i="75" s="1"/>
  <c r="AB40" i="75"/>
  <c r="Y40" i="75"/>
  <c r="V40" i="75"/>
  <c r="EH40" i="75" s="1"/>
  <c r="S40" i="75"/>
  <c r="P40" i="75"/>
  <c r="M40" i="75"/>
  <c r="J40" i="75"/>
  <c r="G40" i="75"/>
  <c r="D40" i="75"/>
  <c r="EL39" i="75"/>
  <c r="EK39" i="75"/>
  <c r="EG39" i="75"/>
  <c r="EI39" i="75" s="1"/>
  <c r="EB39" i="75"/>
  <c r="DW39" i="75"/>
  <c r="DT39" i="75"/>
  <c r="DQ39" i="75"/>
  <c r="DN39" i="75"/>
  <c r="DK39" i="75"/>
  <c r="DH39" i="75"/>
  <c r="DE39" i="75"/>
  <c r="DB39" i="75"/>
  <c r="CY39" i="75"/>
  <c r="CV39" i="75"/>
  <c r="CS39" i="75"/>
  <c r="CP39" i="75"/>
  <c r="CM39" i="75"/>
  <c r="CJ39" i="75"/>
  <c r="CG39" i="75"/>
  <c r="CD39" i="75"/>
  <c r="CA39" i="75"/>
  <c r="BX39" i="75"/>
  <c r="BU39" i="75"/>
  <c r="BR39" i="75"/>
  <c r="BO39" i="75"/>
  <c r="BL39" i="75"/>
  <c r="BI39" i="75"/>
  <c r="BF39" i="75"/>
  <c r="BC39" i="75"/>
  <c r="AZ39" i="75"/>
  <c r="AW39" i="75"/>
  <c r="AT39" i="75"/>
  <c r="AQ39" i="75"/>
  <c r="AN39" i="75"/>
  <c r="AK39" i="75"/>
  <c r="AI39" i="75"/>
  <c r="AB39" i="75"/>
  <c r="Y39" i="75"/>
  <c r="V39" i="75"/>
  <c r="S39" i="75"/>
  <c r="EH39" i="75" s="1"/>
  <c r="P39" i="75"/>
  <c r="M39" i="75"/>
  <c r="J39" i="75"/>
  <c r="G39" i="75"/>
  <c r="D39" i="75"/>
  <c r="EL38" i="75"/>
  <c r="EG38" i="75"/>
  <c r="EI38" i="75" s="1"/>
  <c r="EB38" i="75"/>
  <c r="EC38" i="75" s="1"/>
  <c r="DW38" i="75"/>
  <c r="DT38" i="75"/>
  <c r="DQ38" i="75"/>
  <c r="DN38" i="75"/>
  <c r="DK38" i="75"/>
  <c r="DH38" i="75"/>
  <c r="DE38" i="75"/>
  <c r="DB38" i="75"/>
  <c r="CY38" i="75"/>
  <c r="CV38" i="75"/>
  <c r="CS38" i="75"/>
  <c r="CP38" i="75"/>
  <c r="CM38" i="75"/>
  <c r="CJ38" i="75"/>
  <c r="CG38" i="75"/>
  <c r="CD38" i="75"/>
  <c r="CA38" i="75"/>
  <c r="BX38" i="75"/>
  <c r="BU38" i="75"/>
  <c r="BR38" i="75"/>
  <c r="BO38" i="75"/>
  <c r="BL38" i="75"/>
  <c r="BI38" i="75"/>
  <c r="BF38" i="75"/>
  <c r="BC38" i="75"/>
  <c r="AZ38" i="75"/>
  <c r="AW38" i="75"/>
  <c r="AT38" i="75"/>
  <c r="AQ38" i="75"/>
  <c r="AN38" i="75"/>
  <c r="AK38" i="75"/>
  <c r="AI38" i="75"/>
  <c r="EK38" i="75" s="1"/>
  <c r="AB38" i="75"/>
  <c r="Y38" i="75"/>
  <c r="V38" i="75"/>
  <c r="S38" i="75"/>
  <c r="EH38" i="75" s="1"/>
  <c r="P38" i="75"/>
  <c r="M38" i="75"/>
  <c r="J38" i="75"/>
  <c r="G38" i="75"/>
  <c r="D38" i="75"/>
  <c r="EL37" i="75"/>
  <c r="EK37" i="75"/>
  <c r="EG37" i="75"/>
  <c r="EI37" i="75" s="1"/>
  <c r="DW37" i="75"/>
  <c r="DT37" i="75"/>
  <c r="DQ37" i="75"/>
  <c r="DN37" i="75"/>
  <c r="DK37" i="75"/>
  <c r="DH37" i="75"/>
  <c r="DE37" i="75"/>
  <c r="DB37" i="75"/>
  <c r="CY37" i="75"/>
  <c r="CV37" i="75"/>
  <c r="CS37" i="75"/>
  <c r="CP37" i="75"/>
  <c r="CM37" i="75"/>
  <c r="CJ37" i="75"/>
  <c r="CG37" i="75"/>
  <c r="CD37" i="75"/>
  <c r="CA37" i="75"/>
  <c r="BX37" i="75"/>
  <c r="BU37" i="75"/>
  <c r="BR37" i="75"/>
  <c r="BO37" i="75"/>
  <c r="BL37" i="75"/>
  <c r="BI37" i="75"/>
  <c r="BF37" i="75"/>
  <c r="BC37" i="75"/>
  <c r="AZ37" i="75"/>
  <c r="AW37" i="75"/>
  <c r="AT37" i="75"/>
  <c r="AQ37" i="75"/>
  <c r="AN37" i="75"/>
  <c r="AK37" i="75"/>
  <c r="AI37" i="75"/>
  <c r="EB37" i="75" s="1"/>
  <c r="AB37" i="75"/>
  <c r="Y37" i="75"/>
  <c r="V37" i="75"/>
  <c r="EH37" i="75" s="1"/>
  <c r="S37" i="75"/>
  <c r="P37" i="75"/>
  <c r="M37" i="75"/>
  <c r="J37" i="75"/>
  <c r="G37" i="75"/>
  <c r="D37" i="75"/>
  <c r="EL36" i="75"/>
  <c r="EG36" i="75"/>
  <c r="EI36" i="75" s="1"/>
  <c r="EB36" i="75"/>
  <c r="DW36" i="75"/>
  <c r="DT36" i="75"/>
  <c r="DQ36" i="75"/>
  <c r="DN36" i="75"/>
  <c r="DK36" i="75"/>
  <c r="DH36" i="75"/>
  <c r="DE36" i="75"/>
  <c r="DB36" i="75"/>
  <c r="CY36" i="75"/>
  <c r="CV36" i="75"/>
  <c r="CS36" i="75"/>
  <c r="CP36" i="75"/>
  <c r="CM36" i="75"/>
  <c r="CJ36" i="75"/>
  <c r="CG36" i="75"/>
  <c r="CD36" i="75"/>
  <c r="CA36" i="75"/>
  <c r="BX36" i="75"/>
  <c r="BU36" i="75"/>
  <c r="BR36" i="75"/>
  <c r="BO36" i="75"/>
  <c r="BL36" i="75"/>
  <c r="BI36" i="75"/>
  <c r="BF36" i="75"/>
  <c r="BC36" i="75"/>
  <c r="AZ36" i="75"/>
  <c r="AW36" i="75"/>
  <c r="AT36" i="75"/>
  <c r="AQ36" i="75"/>
  <c r="AN36" i="75"/>
  <c r="AI36" i="75"/>
  <c r="EK36" i="75" s="1"/>
  <c r="AB36" i="75"/>
  <c r="Y36" i="75"/>
  <c r="V36" i="75"/>
  <c r="S36" i="75"/>
  <c r="EH36" i="75" s="1"/>
  <c r="P36" i="75"/>
  <c r="M36" i="75"/>
  <c r="J36" i="75"/>
  <c r="G36" i="75"/>
  <c r="D36" i="75"/>
  <c r="EL35" i="75"/>
  <c r="EG35" i="75"/>
  <c r="EI35" i="75" s="1"/>
  <c r="DW35" i="75"/>
  <c r="DT35" i="75"/>
  <c r="DQ35" i="75"/>
  <c r="DN35" i="75"/>
  <c r="DK35" i="75"/>
  <c r="DH35" i="75"/>
  <c r="DE35" i="75"/>
  <c r="DB35" i="75"/>
  <c r="CY35" i="75"/>
  <c r="CV35" i="75"/>
  <c r="CS35" i="75"/>
  <c r="CP35" i="75"/>
  <c r="CM35" i="75"/>
  <c r="CJ35" i="75"/>
  <c r="CG35" i="75"/>
  <c r="CD35" i="75"/>
  <c r="CA35" i="75"/>
  <c r="BX35" i="75"/>
  <c r="BU35" i="75"/>
  <c r="BR35" i="75"/>
  <c r="BO35" i="75"/>
  <c r="BL35" i="75"/>
  <c r="BI35" i="75"/>
  <c r="BF35" i="75"/>
  <c r="BC35" i="75"/>
  <c r="AZ35" i="75"/>
  <c r="AW35" i="75"/>
  <c r="AT35" i="75"/>
  <c r="AQ35" i="75"/>
  <c r="AN35" i="75"/>
  <c r="AI35" i="75"/>
  <c r="EB35" i="75" s="1"/>
  <c r="AB35" i="75"/>
  <c r="Y35" i="75"/>
  <c r="V35" i="75"/>
  <c r="S35" i="75"/>
  <c r="P35" i="75"/>
  <c r="M35" i="75"/>
  <c r="J35" i="75"/>
  <c r="G35" i="75"/>
  <c r="D35" i="75"/>
  <c r="EL34" i="75"/>
  <c r="EK34" i="75"/>
  <c r="EG34" i="75"/>
  <c r="EI34" i="75" s="1"/>
  <c r="EB34" i="75"/>
  <c r="DW34" i="75"/>
  <c r="DT34" i="75"/>
  <c r="DQ34" i="75"/>
  <c r="DN34" i="75"/>
  <c r="DK34" i="75"/>
  <c r="DH34" i="75"/>
  <c r="DE34" i="75"/>
  <c r="DB34" i="75"/>
  <c r="CY34" i="75"/>
  <c r="CV34" i="75"/>
  <c r="CS34" i="75"/>
  <c r="CP34" i="75"/>
  <c r="CM34" i="75"/>
  <c r="CJ34" i="75"/>
  <c r="CG34" i="75"/>
  <c r="CD34" i="75"/>
  <c r="CA34" i="75"/>
  <c r="BX34" i="75"/>
  <c r="BU34" i="75"/>
  <c r="BR34" i="75"/>
  <c r="BO34" i="75"/>
  <c r="BL34" i="75"/>
  <c r="BI34" i="75"/>
  <c r="BF34" i="75"/>
  <c r="BC34" i="75"/>
  <c r="AZ34" i="75"/>
  <c r="AW34" i="75"/>
  <c r="AT34" i="75"/>
  <c r="AQ34" i="75"/>
  <c r="AN34" i="75"/>
  <c r="AK34" i="75"/>
  <c r="AI34" i="75"/>
  <c r="AB34" i="75"/>
  <c r="Y34" i="75"/>
  <c r="V34" i="75"/>
  <c r="S34" i="75"/>
  <c r="P34" i="75"/>
  <c r="M34" i="75"/>
  <c r="J34" i="75"/>
  <c r="G34" i="75"/>
  <c r="D34" i="75"/>
  <c r="EL33" i="75"/>
  <c r="EG33" i="75"/>
  <c r="EI33" i="75" s="1"/>
  <c r="EB33" i="75"/>
  <c r="DW33" i="75"/>
  <c r="DT33" i="75"/>
  <c r="DQ33" i="75"/>
  <c r="DN33" i="75"/>
  <c r="DK33" i="75"/>
  <c r="DH33" i="75"/>
  <c r="DE33" i="75"/>
  <c r="DB33" i="75"/>
  <c r="CY33" i="75"/>
  <c r="CV33" i="75"/>
  <c r="CS33" i="75"/>
  <c r="CP33" i="75"/>
  <c r="CM33" i="75"/>
  <c r="CJ33" i="75"/>
  <c r="CG33" i="75"/>
  <c r="CD33" i="75"/>
  <c r="CA33" i="75"/>
  <c r="BX33" i="75"/>
  <c r="BU33" i="75"/>
  <c r="BR33" i="75"/>
  <c r="BO33" i="75"/>
  <c r="BL33" i="75"/>
  <c r="BI33" i="75"/>
  <c r="BF33" i="75"/>
  <c r="BC33" i="75"/>
  <c r="AZ33" i="75"/>
  <c r="AW33" i="75"/>
  <c r="AT33" i="75"/>
  <c r="AQ33" i="75"/>
  <c r="AN33" i="75"/>
  <c r="AI33" i="75"/>
  <c r="EK33" i="75" s="1"/>
  <c r="AB33" i="75"/>
  <c r="Y33" i="75"/>
  <c r="V33" i="75"/>
  <c r="S33" i="75"/>
  <c r="EH33" i="75" s="1"/>
  <c r="P33" i="75"/>
  <c r="M33" i="75"/>
  <c r="J33" i="75"/>
  <c r="G33" i="75"/>
  <c r="D33" i="75"/>
  <c r="EL32" i="75"/>
  <c r="EK32" i="75"/>
  <c r="EG32" i="75"/>
  <c r="EI32" i="75" s="1"/>
  <c r="EB32" i="75"/>
  <c r="DW32" i="75"/>
  <c r="DT32" i="75"/>
  <c r="DQ32" i="75"/>
  <c r="DN32" i="75"/>
  <c r="DK32" i="75"/>
  <c r="DH32" i="75"/>
  <c r="DE32" i="75"/>
  <c r="DB32" i="75"/>
  <c r="CY32" i="75"/>
  <c r="CV32" i="75"/>
  <c r="CS32" i="75"/>
  <c r="CP32" i="75"/>
  <c r="CM32" i="75"/>
  <c r="CJ32" i="75"/>
  <c r="CG32" i="75"/>
  <c r="CD32" i="75"/>
  <c r="CA32" i="75"/>
  <c r="BX32" i="75"/>
  <c r="BU32" i="75"/>
  <c r="BR32" i="75"/>
  <c r="BO32" i="75"/>
  <c r="BL32" i="75"/>
  <c r="BI32" i="75"/>
  <c r="BF32" i="75"/>
  <c r="BC32" i="75"/>
  <c r="AZ32" i="75"/>
  <c r="AW32" i="75"/>
  <c r="AT32" i="75"/>
  <c r="AQ32" i="75"/>
  <c r="AN32" i="75"/>
  <c r="AK32" i="75"/>
  <c r="AI32" i="75"/>
  <c r="AB32" i="75"/>
  <c r="Y32" i="75"/>
  <c r="V32" i="75"/>
  <c r="S32" i="75"/>
  <c r="EH32" i="75" s="1"/>
  <c r="P32" i="75"/>
  <c r="M32" i="75"/>
  <c r="J32" i="75"/>
  <c r="G32" i="75"/>
  <c r="D32" i="75"/>
  <c r="EL31" i="75"/>
  <c r="EG31" i="75"/>
  <c r="EI31" i="75" s="1"/>
  <c r="DW31" i="75"/>
  <c r="DT31" i="75"/>
  <c r="DQ31" i="75"/>
  <c r="DN31" i="75"/>
  <c r="DK31" i="75"/>
  <c r="DH31" i="75"/>
  <c r="DE31" i="75"/>
  <c r="DB31" i="75"/>
  <c r="CY31" i="75"/>
  <c r="CV31" i="75"/>
  <c r="CS31" i="75"/>
  <c r="CP31" i="75"/>
  <c r="CM31" i="75"/>
  <c r="CJ31" i="75"/>
  <c r="CG31" i="75"/>
  <c r="CD31" i="75"/>
  <c r="CA31" i="75"/>
  <c r="BX31" i="75"/>
  <c r="BU31" i="75"/>
  <c r="BR31" i="75"/>
  <c r="BO31" i="75"/>
  <c r="BL31" i="75"/>
  <c r="BI31" i="75"/>
  <c r="BF31" i="75"/>
  <c r="BC31" i="75"/>
  <c r="AZ31" i="75"/>
  <c r="AW31" i="75"/>
  <c r="AT31" i="75"/>
  <c r="AQ31" i="75"/>
  <c r="AN31" i="75"/>
  <c r="AI31" i="75"/>
  <c r="EB31" i="75" s="1"/>
  <c r="AB31" i="75"/>
  <c r="Y31" i="75"/>
  <c r="V31" i="75"/>
  <c r="S31" i="75"/>
  <c r="P31" i="75"/>
  <c r="M31" i="75"/>
  <c r="J31" i="75"/>
  <c r="G31" i="75"/>
  <c r="D31" i="75"/>
  <c r="EL30" i="75"/>
  <c r="EG30" i="75"/>
  <c r="EI30" i="75" s="1"/>
  <c r="DW30" i="75"/>
  <c r="DT30" i="75"/>
  <c r="DQ30" i="75"/>
  <c r="DN30" i="75"/>
  <c r="DK30" i="75"/>
  <c r="DH30" i="75"/>
  <c r="DE30" i="75"/>
  <c r="DB30" i="75"/>
  <c r="CY30" i="75"/>
  <c r="CV30" i="75"/>
  <c r="CS30" i="75"/>
  <c r="CP30" i="75"/>
  <c r="CM30" i="75"/>
  <c r="CJ30" i="75"/>
  <c r="CG30" i="75"/>
  <c r="CD30" i="75"/>
  <c r="CA30" i="75"/>
  <c r="BX30" i="75"/>
  <c r="BU30" i="75"/>
  <c r="BR30" i="75"/>
  <c r="BO30" i="75"/>
  <c r="BL30" i="75"/>
  <c r="BI30" i="75"/>
  <c r="BF30" i="75"/>
  <c r="BC30" i="75"/>
  <c r="AZ30" i="75"/>
  <c r="AW30" i="75"/>
  <c r="AT30" i="75"/>
  <c r="AQ30" i="75"/>
  <c r="AN30" i="75"/>
  <c r="AI30" i="75"/>
  <c r="EB30" i="75" s="1"/>
  <c r="AB30" i="75"/>
  <c r="Y30" i="75"/>
  <c r="V30" i="75"/>
  <c r="S30" i="75"/>
  <c r="EH30" i="75" s="1"/>
  <c r="P30" i="75"/>
  <c r="M30" i="75"/>
  <c r="J30" i="75"/>
  <c r="G30" i="75"/>
  <c r="D30" i="75"/>
  <c r="EL29" i="75"/>
  <c r="EG29" i="75"/>
  <c r="EI29" i="75" s="1"/>
  <c r="EB29" i="75"/>
  <c r="DW29" i="75"/>
  <c r="DT29" i="75"/>
  <c r="DQ29" i="75"/>
  <c r="DN29" i="75"/>
  <c r="DK29" i="75"/>
  <c r="DH29" i="75"/>
  <c r="DE29" i="75"/>
  <c r="DB29" i="75"/>
  <c r="CY29" i="75"/>
  <c r="CV29" i="75"/>
  <c r="CS29" i="75"/>
  <c r="CP29" i="75"/>
  <c r="CM29" i="75"/>
  <c r="CJ29" i="75"/>
  <c r="CG29" i="75"/>
  <c r="CD29" i="75"/>
  <c r="CA29" i="75"/>
  <c r="BX29" i="75"/>
  <c r="BU29" i="75"/>
  <c r="BR29" i="75"/>
  <c r="BO29" i="75"/>
  <c r="BL29" i="75"/>
  <c r="BI29" i="75"/>
  <c r="BF29" i="75"/>
  <c r="BC29" i="75"/>
  <c r="AZ29" i="75"/>
  <c r="AW29" i="75"/>
  <c r="AT29" i="75"/>
  <c r="AQ29" i="75"/>
  <c r="AN29" i="75"/>
  <c r="AI29" i="75"/>
  <c r="EK29" i="75" s="1"/>
  <c r="AB29" i="75"/>
  <c r="Y29" i="75"/>
  <c r="V29" i="75"/>
  <c r="S29" i="75"/>
  <c r="P29" i="75"/>
  <c r="M29" i="75"/>
  <c r="J29" i="75"/>
  <c r="G29" i="75"/>
  <c r="D29" i="75"/>
  <c r="EL28" i="75"/>
  <c r="EG28" i="75"/>
  <c r="EI28" i="75" s="1"/>
  <c r="DW28" i="75"/>
  <c r="DT28" i="75"/>
  <c r="DQ28" i="75"/>
  <c r="DN28" i="75"/>
  <c r="DK28" i="75"/>
  <c r="DH28" i="75"/>
  <c r="DE28" i="75"/>
  <c r="DB28" i="75"/>
  <c r="CY28" i="75"/>
  <c r="CV28" i="75"/>
  <c r="CS28" i="75"/>
  <c r="CP28" i="75"/>
  <c r="CM28" i="75"/>
  <c r="CJ28" i="75"/>
  <c r="CG28" i="75"/>
  <c r="CD28" i="75"/>
  <c r="CA28" i="75"/>
  <c r="BX28" i="75"/>
  <c r="BU28" i="75"/>
  <c r="BR28" i="75"/>
  <c r="BO28" i="75"/>
  <c r="BL28" i="75"/>
  <c r="BI28" i="75"/>
  <c r="BF28" i="75"/>
  <c r="BC28" i="75"/>
  <c r="AZ28" i="75"/>
  <c r="AW28" i="75"/>
  <c r="AT28" i="75"/>
  <c r="AQ28" i="75"/>
  <c r="AN28" i="75"/>
  <c r="AI28" i="75"/>
  <c r="EB28" i="75" s="1"/>
  <c r="AB28" i="75"/>
  <c r="Y28" i="75"/>
  <c r="V28" i="75"/>
  <c r="S28" i="75"/>
  <c r="P28" i="75"/>
  <c r="M28" i="75"/>
  <c r="J28" i="75"/>
  <c r="G28" i="75"/>
  <c r="D28" i="75"/>
  <c r="EL27" i="75"/>
  <c r="EK27" i="75"/>
  <c r="EG27" i="75"/>
  <c r="EI27" i="75" s="1"/>
  <c r="EB27" i="75"/>
  <c r="DW27" i="75"/>
  <c r="DT27" i="75"/>
  <c r="DQ27" i="75"/>
  <c r="DN27" i="75"/>
  <c r="DK27" i="75"/>
  <c r="DH27" i="75"/>
  <c r="DE27" i="75"/>
  <c r="DB27" i="75"/>
  <c r="CY27" i="75"/>
  <c r="CV27" i="75"/>
  <c r="CS27" i="75"/>
  <c r="CP27" i="75"/>
  <c r="CM27" i="75"/>
  <c r="CJ27" i="75"/>
  <c r="CG27" i="75"/>
  <c r="CD27" i="75"/>
  <c r="CA27" i="75"/>
  <c r="BX27" i="75"/>
  <c r="BU27" i="75"/>
  <c r="BR27" i="75"/>
  <c r="BO27" i="75"/>
  <c r="BL27" i="75"/>
  <c r="BI27" i="75"/>
  <c r="BF27" i="75"/>
  <c r="BC27" i="75"/>
  <c r="AZ27" i="75"/>
  <c r="AW27" i="75"/>
  <c r="AT27" i="75"/>
  <c r="AQ27" i="75"/>
  <c r="AN27" i="75"/>
  <c r="AK27" i="75"/>
  <c r="AI27" i="75"/>
  <c r="AB27" i="75"/>
  <c r="Y27" i="75"/>
  <c r="V27" i="75"/>
  <c r="S27" i="75"/>
  <c r="EH27" i="75" s="1"/>
  <c r="P27" i="75"/>
  <c r="M27" i="75"/>
  <c r="J27" i="75"/>
  <c r="G27" i="75"/>
  <c r="D27" i="75"/>
  <c r="EL26" i="75"/>
  <c r="EK26" i="75"/>
  <c r="EG26" i="75"/>
  <c r="EI26" i="75" s="1"/>
  <c r="EB26" i="75"/>
  <c r="DW26" i="75"/>
  <c r="DT26" i="75"/>
  <c r="DQ26" i="75"/>
  <c r="DN26" i="75"/>
  <c r="DK26" i="75"/>
  <c r="DH26" i="75"/>
  <c r="DE26" i="75"/>
  <c r="DB26" i="75"/>
  <c r="CY26" i="75"/>
  <c r="CV26" i="75"/>
  <c r="CS26" i="75"/>
  <c r="CP26" i="75"/>
  <c r="CM26" i="75"/>
  <c r="CJ26" i="75"/>
  <c r="CG26" i="75"/>
  <c r="CD26" i="75"/>
  <c r="CA26" i="75"/>
  <c r="BX26" i="75"/>
  <c r="BU26" i="75"/>
  <c r="BR26" i="75"/>
  <c r="BO26" i="75"/>
  <c r="BL26" i="75"/>
  <c r="BI26" i="75"/>
  <c r="BF26" i="75"/>
  <c r="BC26" i="75"/>
  <c r="AZ26" i="75"/>
  <c r="AW26" i="75"/>
  <c r="AT26" i="75"/>
  <c r="AQ26" i="75"/>
  <c r="AN26" i="75"/>
  <c r="AK26" i="75"/>
  <c r="AB26" i="75"/>
  <c r="Y26" i="75"/>
  <c r="V26" i="75"/>
  <c r="EH26" i="75" s="1"/>
  <c r="S26" i="75"/>
  <c r="P26" i="75"/>
  <c r="M26" i="75"/>
  <c r="J26" i="75"/>
  <c r="G26" i="75"/>
  <c r="D26" i="75"/>
  <c r="EL25" i="75"/>
  <c r="EK25" i="75"/>
  <c r="EG25" i="75"/>
  <c r="EI25" i="75" s="1"/>
  <c r="DW25" i="75"/>
  <c r="DT25" i="75"/>
  <c r="DQ25" i="75"/>
  <c r="DN25" i="75"/>
  <c r="DK25" i="75"/>
  <c r="DH25" i="75"/>
  <c r="DE25" i="75"/>
  <c r="DB25" i="75"/>
  <c r="CY25" i="75"/>
  <c r="CV25" i="75"/>
  <c r="CS25" i="75"/>
  <c r="CP25" i="75"/>
  <c r="CM25" i="75"/>
  <c r="CJ25" i="75"/>
  <c r="CG25" i="75"/>
  <c r="CD25" i="75"/>
  <c r="CA25" i="75"/>
  <c r="BX25" i="75"/>
  <c r="BU25" i="75"/>
  <c r="BR25" i="75"/>
  <c r="BO25" i="75"/>
  <c r="BL25" i="75"/>
  <c r="BI25" i="75"/>
  <c r="BF25" i="75"/>
  <c r="BC25" i="75"/>
  <c r="AZ25" i="75"/>
  <c r="AW25" i="75"/>
  <c r="AT25" i="75"/>
  <c r="AQ25" i="75"/>
  <c r="AN25" i="75"/>
  <c r="AI25" i="75"/>
  <c r="AB25" i="75"/>
  <c r="Y25" i="75"/>
  <c r="V25" i="75"/>
  <c r="S25" i="75"/>
  <c r="EH25" i="75" s="1"/>
  <c r="P25" i="75"/>
  <c r="M25" i="75"/>
  <c r="J25" i="75"/>
  <c r="G25" i="75"/>
  <c r="D25" i="75"/>
  <c r="EL24" i="75"/>
  <c r="EG24" i="75"/>
  <c r="EI24" i="75" s="1"/>
  <c r="EB24" i="75"/>
  <c r="DW24" i="75"/>
  <c r="DT24" i="75"/>
  <c r="DQ24" i="75"/>
  <c r="DN24" i="75"/>
  <c r="DK24" i="75"/>
  <c r="DH24" i="75"/>
  <c r="DE24" i="75"/>
  <c r="DB24" i="75"/>
  <c r="CY24" i="75"/>
  <c r="CV24" i="75"/>
  <c r="CS24" i="75"/>
  <c r="CP24" i="75"/>
  <c r="CM24" i="75"/>
  <c r="CJ24" i="75"/>
  <c r="CG24" i="75"/>
  <c r="CD24" i="75"/>
  <c r="CA24" i="75"/>
  <c r="BX24" i="75"/>
  <c r="BU24" i="75"/>
  <c r="BR24" i="75"/>
  <c r="BO24" i="75"/>
  <c r="BL24" i="75"/>
  <c r="BI24" i="75"/>
  <c r="BF24" i="75"/>
  <c r="BC24" i="75"/>
  <c r="AZ24" i="75"/>
  <c r="AW24" i="75"/>
  <c r="AT24" i="75"/>
  <c r="AQ24" i="75"/>
  <c r="AN24" i="75"/>
  <c r="AI24" i="75"/>
  <c r="EK24" i="75" s="1"/>
  <c r="AB24" i="75"/>
  <c r="Y24" i="75"/>
  <c r="V24" i="75"/>
  <c r="S24" i="75"/>
  <c r="P24" i="75"/>
  <c r="M24" i="75"/>
  <c r="J24" i="75"/>
  <c r="G24" i="75"/>
  <c r="D24" i="75"/>
  <c r="EL23" i="75"/>
  <c r="EK23" i="75"/>
  <c r="EI23" i="75"/>
  <c r="EG23" i="75"/>
  <c r="DW23" i="75"/>
  <c r="DT23" i="75"/>
  <c r="DQ23" i="75"/>
  <c r="DN23" i="75"/>
  <c r="DK23" i="75"/>
  <c r="DH23" i="75"/>
  <c r="DE23" i="75"/>
  <c r="DB23" i="75"/>
  <c r="CY23" i="75"/>
  <c r="CV23" i="75"/>
  <c r="CS23" i="75"/>
  <c r="CP23" i="75"/>
  <c r="CM23" i="75"/>
  <c r="CJ23" i="75"/>
  <c r="CG23" i="75"/>
  <c r="CD23" i="75"/>
  <c r="CA23" i="75"/>
  <c r="BX23" i="75"/>
  <c r="BU23" i="75"/>
  <c r="BR23" i="75"/>
  <c r="BO23" i="75"/>
  <c r="BL23" i="75"/>
  <c r="BI23" i="75"/>
  <c r="BF23" i="75"/>
  <c r="BC23" i="75"/>
  <c r="AZ23" i="75"/>
  <c r="AW23" i="75"/>
  <c r="AT23" i="75"/>
  <c r="AQ23" i="75"/>
  <c r="AN23" i="75"/>
  <c r="AK23" i="75"/>
  <c r="AI23" i="75"/>
  <c r="EB23" i="75" s="1"/>
  <c r="AB23" i="75"/>
  <c r="Y23" i="75"/>
  <c r="V23" i="75"/>
  <c r="EH23" i="75" s="1"/>
  <c r="S23" i="75"/>
  <c r="P23" i="75"/>
  <c r="M23" i="75"/>
  <c r="J23" i="75"/>
  <c r="G23" i="75"/>
  <c r="D23" i="75"/>
  <c r="EL22" i="75"/>
  <c r="EK22" i="75"/>
  <c r="EI22" i="75"/>
  <c r="EG22" i="75"/>
  <c r="EB22" i="75"/>
  <c r="DW22" i="75"/>
  <c r="DT22" i="75"/>
  <c r="DQ22" i="75"/>
  <c r="DN22" i="75"/>
  <c r="DK22" i="75"/>
  <c r="DH22" i="75"/>
  <c r="DE22" i="75"/>
  <c r="DB22" i="75"/>
  <c r="CY22" i="75"/>
  <c r="CV22" i="75"/>
  <c r="CS22" i="75"/>
  <c r="CP22" i="75"/>
  <c r="CM22" i="75"/>
  <c r="CJ22" i="75"/>
  <c r="CG22" i="75"/>
  <c r="CD22" i="75"/>
  <c r="CA22" i="75"/>
  <c r="BX22" i="75"/>
  <c r="BX42" i="75" s="1"/>
  <c r="BU22" i="75"/>
  <c r="BR22" i="75"/>
  <c r="BO22" i="75"/>
  <c r="BL22" i="75"/>
  <c r="BI22" i="75"/>
  <c r="BF22" i="75"/>
  <c r="BC22" i="75"/>
  <c r="AZ22" i="75"/>
  <c r="AW22" i="75"/>
  <c r="AT22" i="75"/>
  <c r="AQ22" i="75"/>
  <c r="AN22" i="75"/>
  <c r="AK22" i="75"/>
  <c r="AI22" i="75"/>
  <c r="AB22" i="75"/>
  <c r="Y22" i="75"/>
  <c r="V22" i="75"/>
  <c r="S22" i="75"/>
  <c r="P22" i="75"/>
  <c r="M22" i="75"/>
  <c r="J22" i="75"/>
  <c r="G22" i="75"/>
  <c r="D22" i="75"/>
  <c r="EL21" i="75"/>
  <c r="EG21" i="75"/>
  <c r="EI21" i="75" s="1"/>
  <c r="EB21" i="75"/>
  <c r="EC21" i="75" s="1"/>
  <c r="DW21" i="75"/>
  <c r="DT21" i="75"/>
  <c r="DQ21" i="75"/>
  <c r="DN21" i="75"/>
  <c r="DK21" i="75"/>
  <c r="DH21" i="75"/>
  <c r="DE21" i="75"/>
  <c r="DB21" i="75"/>
  <c r="CY21" i="75"/>
  <c r="CV21" i="75"/>
  <c r="CS21" i="75"/>
  <c r="CP21" i="75"/>
  <c r="CM21" i="75"/>
  <c r="CJ21" i="75"/>
  <c r="CG21" i="75"/>
  <c r="CD21" i="75"/>
  <c r="CA21" i="75"/>
  <c r="BX21" i="75"/>
  <c r="BU21" i="75"/>
  <c r="BR21" i="75"/>
  <c r="BO21" i="75"/>
  <c r="BL21" i="75"/>
  <c r="BI21" i="75"/>
  <c r="BF21" i="75"/>
  <c r="BC21" i="75"/>
  <c r="AZ21" i="75"/>
  <c r="AW21" i="75"/>
  <c r="AT21" i="75"/>
  <c r="AQ21" i="75"/>
  <c r="AN21" i="75"/>
  <c r="AK21" i="75"/>
  <c r="AI21" i="75"/>
  <c r="EK21" i="75" s="1"/>
  <c r="AB21" i="75"/>
  <c r="Y21" i="75"/>
  <c r="V21" i="75"/>
  <c r="S21" i="75"/>
  <c r="EH21" i="75" s="1"/>
  <c r="P21" i="75"/>
  <c r="M21" i="75"/>
  <c r="J21" i="75"/>
  <c r="G21" i="75"/>
  <c r="D21" i="75"/>
  <c r="EL20" i="75"/>
  <c r="EK20" i="75"/>
  <c r="EG20" i="75"/>
  <c r="EI20" i="75" s="1"/>
  <c r="DW20" i="75"/>
  <c r="DT20" i="75"/>
  <c r="DQ20" i="75"/>
  <c r="DN20" i="75"/>
  <c r="DK20" i="75"/>
  <c r="DH20" i="75"/>
  <c r="DE20" i="75"/>
  <c r="DB20" i="75"/>
  <c r="CY20" i="75"/>
  <c r="CV20" i="75"/>
  <c r="CS20" i="75"/>
  <c r="CP20" i="75"/>
  <c r="CM20" i="75"/>
  <c r="CJ20" i="75"/>
  <c r="CG20" i="75"/>
  <c r="CD20" i="75"/>
  <c r="CA20" i="75"/>
  <c r="BX20" i="75"/>
  <c r="BU20" i="75"/>
  <c r="BR20" i="75"/>
  <c r="BO20" i="75"/>
  <c r="BL20" i="75"/>
  <c r="BI20" i="75"/>
  <c r="BF20" i="75"/>
  <c r="BC20" i="75"/>
  <c r="AZ20" i="75"/>
  <c r="AW20" i="75"/>
  <c r="AT20" i="75"/>
  <c r="AQ20" i="75"/>
  <c r="AN20" i="75"/>
  <c r="AK20" i="75"/>
  <c r="AI20" i="75"/>
  <c r="EB20" i="75" s="1"/>
  <c r="AB20" i="75"/>
  <c r="Y20" i="75"/>
  <c r="V20" i="75"/>
  <c r="S20" i="75"/>
  <c r="EH20" i="75" s="1"/>
  <c r="P20" i="75"/>
  <c r="M20" i="75"/>
  <c r="J20" i="75"/>
  <c r="G20" i="75"/>
  <c r="D20" i="75"/>
  <c r="EL19" i="75"/>
  <c r="EG19" i="75"/>
  <c r="EI19" i="75" s="1"/>
  <c r="EB19" i="75"/>
  <c r="DW19" i="75"/>
  <c r="DT19" i="75"/>
  <c r="DQ19" i="75"/>
  <c r="DN19" i="75"/>
  <c r="DK19" i="75"/>
  <c r="DH19" i="75"/>
  <c r="DE19" i="75"/>
  <c r="DB19" i="75"/>
  <c r="CY19" i="75"/>
  <c r="CV19" i="75"/>
  <c r="CS19" i="75"/>
  <c r="CP19" i="75"/>
  <c r="CM19" i="75"/>
  <c r="CJ19" i="75"/>
  <c r="CG19" i="75"/>
  <c r="CD19" i="75"/>
  <c r="CA19" i="75"/>
  <c r="BX19" i="75"/>
  <c r="BU19" i="75"/>
  <c r="BR19" i="75"/>
  <c r="BO19" i="75"/>
  <c r="BL19" i="75"/>
  <c r="BI19" i="75"/>
  <c r="BF19" i="75"/>
  <c r="BC19" i="75"/>
  <c r="AZ19" i="75"/>
  <c r="AW19" i="75"/>
  <c r="AT19" i="75"/>
  <c r="AQ19" i="75"/>
  <c r="AN19" i="75"/>
  <c r="AI19" i="75"/>
  <c r="EK19" i="75" s="1"/>
  <c r="AB19" i="75"/>
  <c r="Y19" i="75"/>
  <c r="V19" i="75"/>
  <c r="S19" i="75"/>
  <c r="P19" i="75"/>
  <c r="M19" i="75"/>
  <c r="J19" i="75"/>
  <c r="G19" i="75"/>
  <c r="D19" i="75"/>
  <c r="EL18" i="75"/>
  <c r="EG18" i="75"/>
  <c r="EI18" i="75" s="1"/>
  <c r="DW18" i="75"/>
  <c r="DT18" i="75"/>
  <c r="DQ18" i="75"/>
  <c r="DN18" i="75"/>
  <c r="DK18" i="75"/>
  <c r="DH18" i="75"/>
  <c r="DE18" i="75"/>
  <c r="DB18" i="75"/>
  <c r="CY18" i="75"/>
  <c r="CV18" i="75"/>
  <c r="CS18" i="75"/>
  <c r="CP18" i="75"/>
  <c r="CM18" i="75"/>
  <c r="CJ18" i="75"/>
  <c r="CG18" i="75"/>
  <c r="CD18" i="75"/>
  <c r="CA18" i="75"/>
  <c r="BX18" i="75"/>
  <c r="BU18" i="75"/>
  <c r="BR18" i="75"/>
  <c r="BO18" i="75"/>
  <c r="BL18" i="75"/>
  <c r="BI18" i="75"/>
  <c r="BF18" i="75"/>
  <c r="BC18" i="75"/>
  <c r="AZ18" i="75"/>
  <c r="AW18" i="75"/>
  <c r="AT18" i="75"/>
  <c r="AQ18" i="75"/>
  <c r="AN18" i="75"/>
  <c r="AI18" i="75"/>
  <c r="EB18" i="75" s="1"/>
  <c r="AB18" i="75"/>
  <c r="Y18" i="75"/>
  <c r="V18" i="75"/>
  <c r="S18" i="75"/>
  <c r="P18" i="75"/>
  <c r="M18" i="75"/>
  <c r="J18" i="75"/>
  <c r="G18" i="75"/>
  <c r="D18" i="75"/>
  <c r="EL17" i="75"/>
  <c r="EK17" i="75"/>
  <c r="EG17" i="75"/>
  <c r="EI17" i="75" s="1"/>
  <c r="EB17" i="75"/>
  <c r="EC17" i="75" s="1"/>
  <c r="DW17" i="75"/>
  <c r="DT17" i="75"/>
  <c r="DQ17" i="75"/>
  <c r="DN17" i="75"/>
  <c r="DK17" i="75"/>
  <c r="DH17" i="75"/>
  <c r="DE17" i="75"/>
  <c r="DB17" i="75"/>
  <c r="CY17" i="75"/>
  <c r="CV17" i="75"/>
  <c r="CS17" i="75"/>
  <c r="CP17" i="75"/>
  <c r="CM17" i="75"/>
  <c r="CJ17" i="75"/>
  <c r="CG17" i="75"/>
  <c r="CD17" i="75"/>
  <c r="CA17" i="75"/>
  <c r="BX17" i="75"/>
  <c r="BU17" i="75"/>
  <c r="BR17" i="75"/>
  <c r="BO17" i="75"/>
  <c r="BL17" i="75"/>
  <c r="BI17" i="75"/>
  <c r="BF17" i="75"/>
  <c r="BC17" i="75"/>
  <c r="AZ17" i="75"/>
  <c r="AW17" i="75"/>
  <c r="AT17" i="75"/>
  <c r="AQ17" i="75"/>
  <c r="AN17" i="75"/>
  <c r="AK17" i="75"/>
  <c r="AI17" i="75"/>
  <c r="AB17" i="75"/>
  <c r="Y17" i="75"/>
  <c r="V17" i="75"/>
  <c r="S17" i="75"/>
  <c r="EH17" i="75" s="1"/>
  <c r="P17" i="75"/>
  <c r="M17" i="75"/>
  <c r="J17" i="75"/>
  <c r="G17" i="75"/>
  <c r="D17" i="75"/>
  <c r="EL16" i="75"/>
  <c r="EG16" i="75"/>
  <c r="EI16" i="75" s="1"/>
  <c r="EB16" i="75"/>
  <c r="DW16" i="75"/>
  <c r="DT16" i="75"/>
  <c r="DQ16" i="75"/>
  <c r="DN16" i="75"/>
  <c r="DK16" i="75"/>
  <c r="DH16" i="75"/>
  <c r="DE16" i="75"/>
  <c r="DB16" i="75"/>
  <c r="CY16" i="75"/>
  <c r="CV16" i="75"/>
  <c r="CS16" i="75"/>
  <c r="CP16" i="75"/>
  <c r="CM16" i="75"/>
  <c r="CJ16" i="75"/>
  <c r="CG16" i="75"/>
  <c r="CD16" i="75"/>
  <c r="CA16" i="75"/>
  <c r="BX16" i="75"/>
  <c r="BU16" i="75"/>
  <c r="BR16" i="75"/>
  <c r="BO16" i="75"/>
  <c r="BL16" i="75"/>
  <c r="BI16" i="75"/>
  <c r="BF16" i="75"/>
  <c r="BC16" i="75"/>
  <c r="AZ16" i="75"/>
  <c r="AW16" i="75"/>
  <c r="AT16" i="75"/>
  <c r="AQ16" i="75"/>
  <c r="AN16" i="75"/>
  <c r="AI16" i="75"/>
  <c r="EK16" i="75" s="1"/>
  <c r="AB16" i="75"/>
  <c r="Y16" i="75"/>
  <c r="V16" i="75"/>
  <c r="S16" i="75"/>
  <c r="P16" i="75"/>
  <c r="M16" i="75"/>
  <c r="J16" i="75"/>
  <c r="G16" i="75"/>
  <c r="D16" i="75"/>
  <c r="EL15" i="75"/>
  <c r="EK15" i="75"/>
  <c r="EI15" i="75"/>
  <c r="EG15" i="75"/>
  <c r="EB15" i="75"/>
  <c r="DW15" i="75"/>
  <c r="DT15" i="75"/>
  <c r="DQ15" i="75"/>
  <c r="DN15" i="75"/>
  <c r="DK15" i="75"/>
  <c r="DH15" i="75"/>
  <c r="DE15" i="75"/>
  <c r="DB15" i="75"/>
  <c r="CY15" i="75"/>
  <c r="CV15" i="75"/>
  <c r="CS15" i="75"/>
  <c r="CP15" i="75"/>
  <c r="CM15" i="75"/>
  <c r="CJ15" i="75"/>
  <c r="CG15" i="75"/>
  <c r="CD15" i="75"/>
  <c r="CA15" i="75"/>
  <c r="BX15" i="75"/>
  <c r="BU15" i="75"/>
  <c r="BR15" i="75"/>
  <c r="BO15" i="75"/>
  <c r="BL15" i="75"/>
  <c r="BI15" i="75"/>
  <c r="BF15" i="75"/>
  <c r="BC15" i="75"/>
  <c r="AZ15" i="75"/>
  <c r="AW15" i="75"/>
  <c r="AT15" i="75"/>
  <c r="AQ15" i="75"/>
  <c r="AN15" i="75"/>
  <c r="AK15" i="75"/>
  <c r="AI15" i="75"/>
  <c r="AB15" i="75"/>
  <c r="Y15" i="75"/>
  <c r="EH15" i="75" s="1"/>
  <c r="V15" i="75"/>
  <c r="S15" i="75"/>
  <c r="P15" i="75"/>
  <c r="M15" i="75"/>
  <c r="J15" i="75"/>
  <c r="G15" i="75"/>
  <c r="D15" i="75"/>
  <c r="EL14" i="75"/>
  <c r="EG14" i="75"/>
  <c r="EI14" i="75" s="1"/>
  <c r="DW14" i="75"/>
  <c r="DT14" i="75"/>
  <c r="DQ14" i="75"/>
  <c r="DN14" i="75"/>
  <c r="DK14" i="75"/>
  <c r="DH14" i="75"/>
  <c r="DE14" i="75"/>
  <c r="DB14" i="75"/>
  <c r="CY14" i="75"/>
  <c r="CV14" i="75"/>
  <c r="CS14" i="75"/>
  <c r="CP14" i="75"/>
  <c r="CM14" i="75"/>
  <c r="CJ14" i="75"/>
  <c r="CG14" i="75"/>
  <c r="CD14" i="75"/>
  <c r="CA14" i="75"/>
  <c r="BX14" i="75"/>
  <c r="BU14" i="75"/>
  <c r="BR14" i="75"/>
  <c r="BO14" i="75"/>
  <c r="BL14" i="75"/>
  <c r="BI14" i="75"/>
  <c r="BF14" i="75"/>
  <c r="BC14" i="75"/>
  <c r="AZ14" i="75"/>
  <c r="AW14" i="75"/>
  <c r="AT14" i="75"/>
  <c r="AQ14" i="75"/>
  <c r="AN14" i="75"/>
  <c r="AI14" i="75"/>
  <c r="AB14" i="75"/>
  <c r="Y14" i="75"/>
  <c r="V14" i="75"/>
  <c r="S14" i="75"/>
  <c r="P14" i="75"/>
  <c r="M14" i="75"/>
  <c r="J14" i="75"/>
  <c r="G14" i="75"/>
  <c r="D14" i="75"/>
  <c r="EL13" i="75"/>
  <c r="EG13" i="75"/>
  <c r="EI13" i="75" s="1"/>
  <c r="DW13" i="75"/>
  <c r="DT13" i="75"/>
  <c r="DQ13" i="75"/>
  <c r="DN13" i="75"/>
  <c r="DK13" i="75"/>
  <c r="DH13" i="75"/>
  <c r="DE13" i="75"/>
  <c r="DB13" i="75"/>
  <c r="CY13" i="75"/>
  <c r="CV13" i="75"/>
  <c r="CS13" i="75"/>
  <c r="CP13" i="75"/>
  <c r="CM13" i="75"/>
  <c r="CJ13" i="75"/>
  <c r="CG13" i="75"/>
  <c r="CD13" i="75"/>
  <c r="CA13" i="75"/>
  <c r="BX13" i="75"/>
  <c r="BU13" i="75"/>
  <c r="BR13" i="75"/>
  <c r="BO13" i="75"/>
  <c r="BL13" i="75"/>
  <c r="BI13" i="75"/>
  <c r="BF13" i="75"/>
  <c r="BC13" i="75"/>
  <c r="AZ13" i="75"/>
  <c r="AW13" i="75"/>
  <c r="AT13" i="75"/>
  <c r="AQ13" i="75"/>
  <c r="AN13" i="75"/>
  <c r="AI13" i="75"/>
  <c r="EB13" i="75" s="1"/>
  <c r="AB13" i="75"/>
  <c r="Y13" i="75"/>
  <c r="V13" i="75"/>
  <c r="S13" i="75"/>
  <c r="EH13" i="75" s="1"/>
  <c r="P13" i="75"/>
  <c r="M13" i="75"/>
  <c r="J13" i="75"/>
  <c r="G13" i="75"/>
  <c r="D13" i="75"/>
  <c r="A13" i="75"/>
  <c r="A14" i="75" s="1"/>
  <c r="A15" i="75" s="1"/>
  <c r="A16" i="75" s="1"/>
  <c r="A17" i="75" s="1"/>
  <c r="A18" i="75" s="1"/>
  <c r="A19" i="75" s="1"/>
  <c r="A20" i="75" s="1"/>
  <c r="A21" i="75" s="1"/>
  <c r="A22" i="75" s="1"/>
  <c r="A23" i="75" s="1"/>
  <c r="A24" i="75" s="1"/>
  <c r="A25" i="75" s="1"/>
  <c r="A26" i="75" s="1"/>
  <c r="A27" i="75" s="1"/>
  <c r="A28" i="75" s="1"/>
  <c r="A29" i="75" s="1"/>
  <c r="A30" i="75" s="1"/>
  <c r="A31" i="75" s="1"/>
  <c r="A32" i="75" s="1"/>
  <c r="A33" i="75" s="1"/>
  <c r="A34" i="75" s="1"/>
  <c r="A35" i="75" s="1"/>
  <c r="A36" i="75" s="1"/>
  <c r="A37" i="75" s="1"/>
  <c r="A38" i="75" s="1"/>
  <c r="A39" i="75" s="1"/>
  <c r="A40" i="75" s="1"/>
  <c r="EL12" i="75"/>
  <c r="EG12" i="75"/>
  <c r="EI12" i="75" s="1"/>
  <c r="EB12" i="75"/>
  <c r="DW12" i="75"/>
  <c r="DT12" i="75"/>
  <c r="DQ12" i="75"/>
  <c r="DN12" i="75"/>
  <c r="DK12" i="75"/>
  <c r="DH12" i="75"/>
  <c r="DE12" i="75"/>
  <c r="DB12" i="75"/>
  <c r="CY12" i="75"/>
  <c r="CV12" i="75"/>
  <c r="CS12" i="75"/>
  <c r="CP12" i="75"/>
  <c r="CM12" i="75"/>
  <c r="CJ12" i="75"/>
  <c r="CG12" i="75"/>
  <c r="CD12" i="75"/>
  <c r="CA12" i="75"/>
  <c r="BX12" i="75"/>
  <c r="BU12" i="75"/>
  <c r="BR12" i="75"/>
  <c r="BO12" i="75"/>
  <c r="BL12" i="75"/>
  <c r="BI12" i="75"/>
  <c r="BF12" i="75"/>
  <c r="BC12" i="75"/>
  <c r="AZ12" i="75"/>
  <c r="AW12" i="75"/>
  <c r="AT12" i="75"/>
  <c r="AQ12" i="75"/>
  <c r="AN12" i="75"/>
  <c r="AI12" i="75"/>
  <c r="EK12" i="75" s="1"/>
  <c r="AB12" i="75"/>
  <c r="Y12" i="75"/>
  <c r="V12" i="75"/>
  <c r="S12" i="75"/>
  <c r="P12" i="75"/>
  <c r="M12" i="75"/>
  <c r="J12" i="75"/>
  <c r="G12" i="75"/>
  <c r="D12" i="75"/>
  <c r="A12" i="75"/>
  <c r="EL11" i="75"/>
  <c r="EG11" i="75"/>
  <c r="DW11" i="75"/>
  <c r="DT11" i="75"/>
  <c r="DQ11" i="75"/>
  <c r="DN11" i="75"/>
  <c r="DK11" i="75"/>
  <c r="DK42" i="75" s="1"/>
  <c r="DH11" i="75"/>
  <c r="DE11" i="75"/>
  <c r="DB11" i="75"/>
  <c r="CY11" i="75"/>
  <c r="CV11" i="75"/>
  <c r="CS11" i="75"/>
  <c r="CP11" i="75"/>
  <c r="CM11" i="75"/>
  <c r="CJ11" i="75"/>
  <c r="CG11" i="75"/>
  <c r="CD11" i="75"/>
  <c r="CA11" i="75"/>
  <c r="BX11" i="75"/>
  <c r="BU11" i="75"/>
  <c r="BR11" i="75"/>
  <c r="BO11" i="75"/>
  <c r="BL11" i="75"/>
  <c r="BI11" i="75"/>
  <c r="BF11" i="75"/>
  <c r="BC11" i="75"/>
  <c r="AZ11" i="75"/>
  <c r="AW11" i="75"/>
  <c r="AT11" i="75"/>
  <c r="AQ11" i="75"/>
  <c r="AQ42" i="75" s="1"/>
  <c r="AN11" i="75"/>
  <c r="AI11" i="75"/>
  <c r="EB11" i="75" s="1"/>
  <c r="AB11" i="75"/>
  <c r="Y11" i="75"/>
  <c r="V11" i="75"/>
  <c r="S11" i="75"/>
  <c r="P11" i="75"/>
  <c r="M11" i="75"/>
  <c r="J11" i="75"/>
  <c r="G11" i="75"/>
  <c r="D11" i="75"/>
  <c r="EI2" i="75"/>
  <c r="EE2" i="75"/>
  <c r="EQ2" i="75" s="1"/>
  <c r="G4" i="75" s="1"/>
  <c r="EM27" i="75" l="1"/>
  <c r="EH28" i="75"/>
  <c r="ED37" i="75"/>
  <c r="EM38" i="75"/>
  <c r="EM22" i="75"/>
  <c r="EN22" i="75" s="1"/>
  <c r="EN27" i="75"/>
  <c r="EM37" i="75"/>
  <c r="ED40" i="75"/>
  <c r="EE40" i="75" s="1"/>
  <c r="EN32" i="75"/>
  <c r="ED26" i="75"/>
  <c r="EE26" i="75" s="1"/>
  <c r="ED38" i="75"/>
  <c r="EE38" i="75" s="1"/>
  <c r="BO42" i="75"/>
  <c r="CY42" i="75"/>
  <c r="AT42" i="75"/>
  <c r="DN42" i="75"/>
  <c r="EH19" i="75"/>
  <c r="EH22" i="75"/>
  <c r="EM15" i="75"/>
  <c r="EN15" i="75" s="1"/>
  <c r="EH18" i="75"/>
  <c r="CG42" i="75"/>
  <c r="BR42" i="75"/>
  <c r="DB42" i="75"/>
  <c r="DQ42" i="75"/>
  <c r="EH16" i="75"/>
  <c r="CD42" i="75"/>
  <c r="EM32" i="75"/>
  <c r="EH34" i="75"/>
  <c r="EH35" i="75"/>
  <c r="DE42" i="75"/>
  <c r="CA42" i="75"/>
  <c r="EM21" i="75"/>
  <c r="EN21" i="75" s="1"/>
  <c r="AN42" i="75"/>
  <c r="DH42" i="75"/>
  <c r="ED21" i="75"/>
  <c r="EE21" i="75" s="1"/>
  <c r="BU42" i="75"/>
  <c r="EM39" i="75"/>
  <c r="EN39" i="75" s="1"/>
  <c r="AB42" i="75"/>
  <c r="EH11" i="75"/>
  <c r="EI5" i="75"/>
  <c r="ED20" i="75"/>
  <c r="EE20" i="75" s="1"/>
  <c r="D42" i="75"/>
  <c r="ED11" i="75"/>
  <c r="EE11" i="75" s="1"/>
  <c r="EM41" i="75"/>
  <c r="EN41" i="75" s="1"/>
  <c r="EM29" i="75"/>
  <c r="EN29" i="75" s="1"/>
  <c r="EM20" i="75"/>
  <c r="EM34" i="75"/>
  <c r="EN34" i="75" s="1"/>
  <c r="EM17" i="75"/>
  <c r="EN17" i="75" s="1"/>
  <c r="EI3" i="75"/>
  <c r="EI4" i="75" s="1"/>
  <c r="EI11" i="75"/>
  <c r="ED23" i="75"/>
  <c r="EE23" i="75" s="1"/>
  <c r="G42" i="75"/>
  <c r="EN37" i="75"/>
  <c r="EN20" i="75"/>
  <c r="EB25" i="75"/>
  <c r="AK25" i="75"/>
  <c r="EM25" i="75" s="1"/>
  <c r="EN25" i="75" s="1"/>
  <c r="EN26" i="75"/>
  <c r="EC16" i="75"/>
  <c r="EC33" i="75"/>
  <c r="EC19" i="75"/>
  <c r="EK28" i="75"/>
  <c r="AK30" i="75"/>
  <c r="EM30" i="75" s="1"/>
  <c r="ED41" i="75"/>
  <c r="EE41" i="75" s="1"/>
  <c r="EM18" i="75"/>
  <c r="ED22" i="75"/>
  <c r="EE22" i="75" s="1"/>
  <c r="ED39" i="75"/>
  <c r="EE39" i="75" s="1"/>
  <c r="EN40" i="75"/>
  <c r="AK11" i="75"/>
  <c r="EK11" i="75"/>
  <c r="EK13" i="75"/>
  <c r="AK14" i="75"/>
  <c r="ED14" i="75" s="1"/>
  <c r="EK14" i="75"/>
  <c r="EK30" i="75"/>
  <c r="EC30" i="75" s="1"/>
  <c r="EC34" i="75"/>
  <c r="AK13" i="75"/>
  <c r="EM13" i="75" s="1"/>
  <c r="EM23" i="75"/>
  <c r="EN23" i="75" s="1"/>
  <c r="ED27" i="75"/>
  <c r="EE27" i="75" s="1"/>
  <c r="EC36" i="75"/>
  <c r="AW42" i="75"/>
  <c r="EC23" i="75"/>
  <c r="EC40" i="75"/>
  <c r="AZ42" i="75"/>
  <c r="CJ42" i="75"/>
  <c r="DT42" i="75"/>
  <c r="EC18" i="75"/>
  <c r="EH24" i="75"/>
  <c r="EC24" i="75"/>
  <c r="EC26" i="75"/>
  <c r="EH41" i="75"/>
  <c r="EC41" i="75"/>
  <c r="BF42" i="75"/>
  <c r="CP42" i="75"/>
  <c r="EC11" i="75"/>
  <c r="M42" i="75"/>
  <c r="BC42" i="75"/>
  <c r="CM42" i="75"/>
  <c r="DW42" i="75"/>
  <c r="ED17" i="75"/>
  <c r="EE17" i="75" s="1"/>
  <c r="AK18" i="75"/>
  <c r="ED18" i="75" s="1"/>
  <c r="EE18" i="75" s="1"/>
  <c r="EK18" i="75"/>
  <c r="EC20" i="75"/>
  <c r="EC27" i="75"/>
  <c r="ED34" i="75"/>
  <c r="EE34" i="75" s="1"/>
  <c r="AK35" i="75"/>
  <c r="EM35" i="75" s="1"/>
  <c r="EK35" i="75"/>
  <c r="EE37" i="75"/>
  <c r="EC37" i="75"/>
  <c r="EN38" i="75"/>
  <c r="EC39" i="75"/>
  <c r="V42" i="75"/>
  <c r="AK28" i="75"/>
  <c r="ED28" i="75" s="1"/>
  <c r="EE28" i="75" s="1"/>
  <c r="AK31" i="75"/>
  <c r="ED31" i="75" s="1"/>
  <c r="EE31" i="75" s="1"/>
  <c r="EK31" i="75"/>
  <c r="J42" i="75"/>
  <c r="EM40" i="75"/>
  <c r="EM26" i="75"/>
  <c r="ED15" i="75"/>
  <c r="EE15" i="75" s="1"/>
  <c r="AK16" i="75"/>
  <c r="EM16" i="75" s="1"/>
  <c r="EN16" i="75" s="1"/>
  <c r="EC22" i="75"/>
  <c r="ED32" i="75"/>
  <c r="EE32" i="75" s="1"/>
  <c r="AK33" i="75"/>
  <c r="EM33" i="75" s="1"/>
  <c r="EN33" i="75" s="1"/>
  <c r="BI42" i="75"/>
  <c r="CS42" i="75"/>
  <c r="P42" i="75"/>
  <c r="EB14" i="75"/>
  <c r="Y42" i="75"/>
  <c r="BL42" i="75"/>
  <c r="CV42" i="75"/>
  <c r="EH12" i="75"/>
  <c r="S42" i="75"/>
  <c r="EC12" i="75"/>
  <c r="EH14" i="75"/>
  <c r="EH29" i="75"/>
  <c r="EC29" i="75"/>
  <c r="EH31" i="75"/>
  <c r="EC15" i="75"/>
  <c r="AK19" i="75"/>
  <c r="ED19" i="75" s="1"/>
  <c r="EE19" i="75" s="1"/>
  <c r="EC32" i="75"/>
  <c r="AK36" i="75"/>
  <c r="ED36" i="75" s="1"/>
  <c r="EE36" i="75" s="1"/>
  <c r="AK12" i="75"/>
  <c r="ED12" i="75" s="1"/>
  <c r="EE12" i="75" s="1"/>
  <c r="AK24" i="75"/>
  <c r="EM24" i="75" s="1"/>
  <c r="EN24" i="75" s="1"/>
  <c r="AK29" i="75"/>
  <c r="ED29" i="75" s="1"/>
  <c r="EE29" i="75" s="1"/>
  <c r="AK41" i="75"/>
  <c r="EN31" i="75" l="1"/>
  <c r="ED13" i="75"/>
  <c r="EE13" i="75" s="1"/>
  <c r="ED16" i="75"/>
  <c r="EE16" i="75" s="1"/>
  <c r="EM28" i="75"/>
  <c r="EM31" i="75"/>
  <c r="EM12" i="75"/>
  <c r="EN12" i="75" s="1"/>
  <c r="ED25" i="75"/>
  <c r="EN13" i="75"/>
  <c r="EC25" i="75"/>
  <c r="EE25" i="75"/>
  <c r="EC13" i="75"/>
  <c r="EN11" i="75"/>
  <c r="EN3" i="75"/>
  <c r="EN5" i="75"/>
  <c r="EM19" i="75"/>
  <c r="EN19" i="75" s="1"/>
  <c r="EH42" i="75"/>
  <c r="EM14" i="75"/>
  <c r="AK42" i="75"/>
  <c r="EM11" i="75"/>
  <c r="EN28" i="75"/>
  <c r="EM36" i="75"/>
  <c r="EN36" i="75" s="1"/>
  <c r="ED24" i="75"/>
  <c r="EE24" i="75" s="1"/>
  <c r="ED35" i="75"/>
  <c r="EE35" i="75" s="1"/>
  <c r="EE5" i="75"/>
  <c r="G7" i="75" s="1"/>
  <c r="EC14" i="75"/>
  <c r="EE14" i="75"/>
  <c r="ED30" i="75"/>
  <c r="EE30" i="75" s="1"/>
  <c r="EN18" i="75"/>
  <c r="EE3" i="75"/>
  <c r="ED33" i="75"/>
  <c r="EE33" i="75" s="1"/>
  <c r="EC28" i="75"/>
  <c r="EC31" i="75"/>
  <c r="EN14" i="75"/>
  <c r="EN35" i="75"/>
  <c r="EC35" i="75"/>
  <c r="EN30" i="75"/>
  <c r="EN4" i="75" l="1"/>
  <c r="ED42" i="75"/>
  <c r="EM42" i="75"/>
  <c r="EE4" i="75"/>
  <c r="G6" i="75" s="1"/>
  <c r="G5" i="75"/>
  <c r="AH41" i="76"/>
  <c r="AE41" i="76"/>
  <c r="EL40" i="76"/>
  <c r="EG40" i="76"/>
  <c r="EI40" i="76" s="1"/>
  <c r="EB40" i="76"/>
  <c r="EE2" i="76" s="1"/>
  <c r="DW40" i="76"/>
  <c r="DT40" i="76"/>
  <c r="DQ40" i="76"/>
  <c r="DN40" i="76"/>
  <c r="DK40" i="76"/>
  <c r="DH40" i="76"/>
  <c r="DE40" i="76"/>
  <c r="DB40" i="76"/>
  <c r="CY40" i="76"/>
  <c r="CV40" i="76"/>
  <c r="CS40" i="76"/>
  <c r="CP40" i="76"/>
  <c r="CM40" i="76"/>
  <c r="CJ40" i="76"/>
  <c r="CG40" i="76"/>
  <c r="CD40" i="76"/>
  <c r="CA40" i="76"/>
  <c r="BX40" i="76"/>
  <c r="BU40" i="76"/>
  <c r="BR40" i="76"/>
  <c r="BO40" i="76"/>
  <c r="BL40" i="76"/>
  <c r="BI40" i="76"/>
  <c r="BF40" i="76"/>
  <c r="BC40" i="76"/>
  <c r="AZ40" i="76"/>
  <c r="AW40" i="76"/>
  <c r="AT40" i="76"/>
  <c r="AQ40" i="76"/>
  <c r="AL40" i="76"/>
  <c r="AN40" i="76" s="1"/>
  <c r="AI40" i="76"/>
  <c r="AB40" i="76"/>
  <c r="Y40" i="76"/>
  <c r="V40" i="76"/>
  <c r="S40" i="76"/>
  <c r="EH40" i="76" s="1"/>
  <c r="P40" i="76"/>
  <c r="M40" i="76"/>
  <c r="J40" i="76"/>
  <c r="G40" i="76"/>
  <c r="D40" i="76"/>
  <c r="EL39" i="76"/>
  <c r="EK39" i="76"/>
  <c r="EH39" i="76"/>
  <c r="EG39" i="76"/>
  <c r="EI39" i="76" s="1"/>
  <c r="DW39" i="76"/>
  <c r="DT39" i="76"/>
  <c r="DQ39" i="76"/>
  <c r="DN39" i="76"/>
  <c r="DK39" i="76"/>
  <c r="DH39" i="76"/>
  <c r="DE39" i="76"/>
  <c r="DB39" i="76"/>
  <c r="CY39" i="76"/>
  <c r="CV39" i="76"/>
  <c r="CS39" i="76"/>
  <c r="CP39" i="76"/>
  <c r="CM39" i="76"/>
  <c r="CJ39" i="76"/>
  <c r="CG39" i="76"/>
  <c r="CD39" i="76"/>
  <c r="CA39" i="76"/>
  <c r="BX39" i="76"/>
  <c r="BU39" i="76"/>
  <c r="BR39" i="76"/>
  <c r="BO39" i="76"/>
  <c r="BL39" i="76"/>
  <c r="BI39" i="76"/>
  <c r="BF39" i="76"/>
  <c r="BC39" i="76"/>
  <c r="AZ39" i="76"/>
  <c r="AW39" i="76"/>
  <c r="AR39" i="76"/>
  <c r="AT39" i="76" s="1"/>
  <c r="AQ39" i="76"/>
  <c r="AL39" i="76"/>
  <c r="EB39" i="76" s="1"/>
  <c r="AK39" i="76"/>
  <c r="AI39" i="76"/>
  <c r="AB39" i="76"/>
  <c r="Y39" i="76"/>
  <c r="V39" i="76"/>
  <c r="S39" i="76"/>
  <c r="P39" i="76"/>
  <c r="M39" i="76"/>
  <c r="J39" i="76"/>
  <c r="G39" i="76"/>
  <c r="D39" i="76"/>
  <c r="EL38" i="76"/>
  <c r="EG38" i="76"/>
  <c r="EI38" i="76" s="1"/>
  <c r="DW38" i="76"/>
  <c r="DT38" i="76"/>
  <c r="DQ38" i="76"/>
  <c r="DN38" i="76"/>
  <c r="DK38" i="76"/>
  <c r="DH38" i="76"/>
  <c r="DE38" i="76"/>
  <c r="DB38" i="76"/>
  <c r="CY38" i="76"/>
  <c r="CV38" i="76"/>
  <c r="CS38" i="76"/>
  <c r="CP38" i="76"/>
  <c r="CM38" i="76"/>
  <c r="CJ38" i="76"/>
  <c r="CG38" i="76"/>
  <c r="CD38" i="76"/>
  <c r="CA38" i="76"/>
  <c r="BX38" i="76"/>
  <c r="BU38" i="76"/>
  <c r="BR38" i="76"/>
  <c r="BO38" i="76"/>
  <c r="BL38" i="76"/>
  <c r="BI38" i="76"/>
  <c r="BF38" i="76"/>
  <c r="BC38" i="76"/>
  <c r="AZ38" i="76"/>
  <c r="AW38" i="76"/>
  <c r="AT38" i="76"/>
  <c r="AR38" i="76"/>
  <c r="AQ38" i="76"/>
  <c r="AL38" i="76"/>
  <c r="AI38" i="76"/>
  <c r="AK38" i="76" s="1"/>
  <c r="AB38" i="76"/>
  <c r="Y38" i="76"/>
  <c r="V38" i="76"/>
  <c r="S38" i="76"/>
  <c r="P38" i="76"/>
  <c r="M38" i="76"/>
  <c r="J38" i="76"/>
  <c r="G38" i="76"/>
  <c r="D38" i="76"/>
  <c r="EL37" i="76"/>
  <c r="EK37" i="76"/>
  <c r="EI37" i="76"/>
  <c r="EG37" i="76"/>
  <c r="DW37" i="76"/>
  <c r="DT37" i="76"/>
  <c r="DQ37" i="76"/>
  <c r="DN37" i="76"/>
  <c r="DK37" i="76"/>
  <c r="DH37" i="76"/>
  <c r="DE37" i="76"/>
  <c r="DB37" i="76"/>
  <c r="CY37" i="76"/>
  <c r="CV37" i="76"/>
  <c r="CS37" i="76"/>
  <c r="CP37" i="76"/>
  <c r="CM37" i="76"/>
  <c r="CJ37" i="76"/>
  <c r="CG37" i="76"/>
  <c r="CD37" i="76"/>
  <c r="CA37" i="76"/>
  <c r="BX37" i="76"/>
  <c r="BU37" i="76"/>
  <c r="BR37" i="76"/>
  <c r="BO37" i="76"/>
  <c r="BL37" i="76"/>
  <c r="BI37" i="76"/>
  <c r="BF37" i="76"/>
  <c r="BC37" i="76"/>
  <c r="AZ37" i="76"/>
  <c r="AW37" i="76"/>
  <c r="AR37" i="76"/>
  <c r="AT37" i="76" s="1"/>
  <c r="AO37" i="76"/>
  <c r="AQ37" i="76" s="1"/>
  <c r="AL37" i="76"/>
  <c r="AN37" i="76" s="1"/>
  <c r="AI37" i="76"/>
  <c r="AK37" i="76" s="1"/>
  <c r="AB37" i="76"/>
  <c r="Y37" i="76"/>
  <c r="V37" i="76"/>
  <c r="S37" i="76"/>
  <c r="EH37" i="76" s="1"/>
  <c r="P37" i="76"/>
  <c r="M37" i="76"/>
  <c r="J37" i="76"/>
  <c r="G37" i="76"/>
  <c r="D37" i="76"/>
  <c r="EL36" i="76"/>
  <c r="EK36" i="76"/>
  <c r="EI36" i="76"/>
  <c r="EG36" i="76"/>
  <c r="DW36" i="76"/>
  <c r="DT36" i="76"/>
  <c r="DQ36" i="76"/>
  <c r="DN36" i="76"/>
  <c r="DK36" i="76"/>
  <c r="DH36" i="76"/>
  <c r="DE36" i="76"/>
  <c r="DB36" i="76"/>
  <c r="CY36" i="76"/>
  <c r="CV36" i="76"/>
  <c r="CS36" i="76"/>
  <c r="CP36" i="76"/>
  <c r="CM36" i="76"/>
  <c r="CJ36" i="76"/>
  <c r="CG36" i="76"/>
  <c r="CD36" i="76"/>
  <c r="CA36" i="76"/>
  <c r="BX36" i="76"/>
  <c r="BU36" i="76"/>
  <c r="BR36" i="76"/>
  <c r="BO36" i="76"/>
  <c r="BL36" i="76"/>
  <c r="BI36" i="76"/>
  <c r="BF36" i="76"/>
  <c r="BC36" i="76"/>
  <c r="AZ36" i="76"/>
  <c r="AW36" i="76"/>
  <c r="AR36" i="76"/>
  <c r="AT36" i="76" s="1"/>
  <c r="AO36" i="76"/>
  <c r="AQ36" i="76" s="1"/>
  <c r="AN36" i="76"/>
  <c r="AL36" i="76"/>
  <c r="AK36" i="76"/>
  <c r="AB36" i="76"/>
  <c r="Y36" i="76"/>
  <c r="V36" i="76"/>
  <c r="S36" i="76"/>
  <c r="P36" i="76"/>
  <c r="M36" i="76"/>
  <c r="J36" i="76"/>
  <c r="G36" i="76"/>
  <c r="D36" i="76"/>
  <c r="EL35" i="76"/>
  <c r="EG35" i="76"/>
  <c r="EI35" i="76" s="1"/>
  <c r="EB35" i="76"/>
  <c r="EC35" i="76" s="1"/>
  <c r="DW35" i="76"/>
  <c r="DT35" i="76"/>
  <c r="DQ35" i="76"/>
  <c r="DN35" i="76"/>
  <c r="DK35" i="76"/>
  <c r="DH35" i="76"/>
  <c r="DE35" i="76"/>
  <c r="DB35" i="76"/>
  <c r="CY35" i="76"/>
  <c r="CV35" i="76"/>
  <c r="CS35" i="76"/>
  <c r="CP35" i="76"/>
  <c r="CM35" i="76"/>
  <c r="CJ35" i="76"/>
  <c r="CG35" i="76"/>
  <c r="CD35" i="76"/>
  <c r="CA35" i="76"/>
  <c r="BX35" i="76"/>
  <c r="BU35" i="76"/>
  <c r="BR35" i="76"/>
  <c r="BO35" i="76"/>
  <c r="BL35" i="76"/>
  <c r="BI35" i="76"/>
  <c r="BF35" i="76"/>
  <c r="BC35" i="76"/>
  <c r="AZ35" i="76"/>
  <c r="AW35" i="76"/>
  <c r="AT35" i="76"/>
  <c r="AR35" i="76"/>
  <c r="EK35" i="76" s="1"/>
  <c r="AQ35" i="76"/>
  <c r="AO35" i="76"/>
  <c r="AL35" i="76"/>
  <c r="AN35" i="76" s="1"/>
  <c r="AK35" i="76"/>
  <c r="AB35" i="76"/>
  <c r="Y35" i="76"/>
  <c r="V35" i="76"/>
  <c r="S35" i="76"/>
  <c r="P35" i="76"/>
  <c r="M35" i="76"/>
  <c r="J35" i="76"/>
  <c r="G35" i="76"/>
  <c r="D35" i="76"/>
  <c r="EL34" i="76"/>
  <c r="EG34" i="76"/>
  <c r="EI34" i="76" s="1"/>
  <c r="DW34" i="76"/>
  <c r="DT34" i="76"/>
  <c r="DQ34" i="76"/>
  <c r="DN34" i="76"/>
  <c r="DK34" i="76"/>
  <c r="DH34" i="76"/>
  <c r="DE34" i="76"/>
  <c r="DB34" i="76"/>
  <c r="CY34" i="76"/>
  <c r="CV34" i="76"/>
  <c r="CS34" i="76"/>
  <c r="CP34" i="76"/>
  <c r="CM34" i="76"/>
  <c r="CJ34" i="76"/>
  <c r="CG34" i="76"/>
  <c r="CD34" i="76"/>
  <c r="CA34" i="76"/>
  <c r="BX34" i="76"/>
  <c r="BU34" i="76"/>
  <c r="BR34" i="76"/>
  <c r="BO34" i="76"/>
  <c r="BL34" i="76"/>
  <c r="BI34" i="76"/>
  <c r="BF34" i="76"/>
  <c r="BC34" i="76"/>
  <c r="AZ34" i="76"/>
  <c r="AW34" i="76"/>
  <c r="AR34" i="76"/>
  <c r="AT34" i="76" s="1"/>
  <c r="AO34" i="76"/>
  <c r="AQ34" i="76" s="1"/>
  <c r="AL34" i="76"/>
  <c r="AN34" i="76" s="1"/>
  <c r="AI34" i="76"/>
  <c r="AB34" i="76"/>
  <c r="Y34" i="76"/>
  <c r="V34" i="76"/>
  <c r="S34" i="76"/>
  <c r="P34" i="76"/>
  <c r="M34" i="76"/>
  <c r="J34" i="76"/>
  <c r="G34" i="76"/>
  <c r="D34" i="76"/>
  <c r="EL33" i="76"/>
  <c r="EG33" i="76"/>
  <c r="EI33" i="76" s="1"/>
  <c r="DW33" i="76"/>
  <c r="DT33" i="76"/>
  <c r="DQ33" i="76"/>
  <c r="DN33" i="76"/>
  <c r="DK33" i="76"/>
  <c r="DH33" i="76"/>
  <c r="DE33" i="76"/>
  <c r="DB33" i="76"/>
  <c r="CY33" i="76"/>
  <c r="CV33" i="76"/>
  <c r="CS33" i="76"/>
  <c r="CP33" i="76"/>
  <c r="CM33" i="76"/>
  <c r="CJ33" i="76"/>
  <c r="CG33" i="76"/>
  <c r="CD33" i="76"/>
  <c r="CA33" i="76"/>
  <c r="BX33" i="76"/>
  <c r="BU33" i="76"/>
  <c r="BR33" i="76"/>
  <c r="BO33" i="76"/>
  <c r="BL33" i="76"/>
  <c r="BI33" i="76"/>
  <c r="BF33" i="76"/>
  <c r="BC33" i="76"/>
  <c r="AZ33" i="76"/>
  <c r="AW33" i="76"/>
  <c r="AR33" i="76"/>
  <c r="AT33" i="76" s="1"/>
  <c r="AO33" i="76"/>
  <c r="AQ33" i="76" s="1"/>
  <c r="AL33" i="76"/>
  <c r="AI33" i="76"/>
  <c r="AK33" i="76" s="1"/>
  <c r="AB33" i="76"/>
  <c r="Y33" i="76"/>
  <c r="V33" i="76"/>
  <c r="S33" i="76"/>
  <c r="P33" i="76"/>
  <c r="M33" i="76"/>
  <c r="J33" i="76"/>
  <c r="G33" i="76"/>
  <c r="D33" i="76"/>
  <c r="EL32" i="76"/>
  <c r="EK32" i="76"/>
  <c r="EG32" i="76"/>
  <c r="EI32" i="76" s="1"/>
  <c r="DW32" i="76"/>
  <c r="DT32" i="76"/>
  <c r="DQ32" i="76"/>
  <c r="DN32" i="76"/>
  <c r="DK32" i="76"/>
  <c r="DH32" i="76"/>
  <c r="DE32" i="76"/>
  <c r="DB32" i="76"/>
  <c r="CY32" i="76"/>
  <c r="CV32" i="76"/>
  <c r="CS32" i="76"/>
  <c r="CP32" i="76"/>
  <c r="CM32" i="76"/>
  <c r="CJ32" i="76"/>
  <c r="CG32" i="76"/>
  <c r="CD32" i="76"/>
  <c r="CA32" i="76"/>
  <c r="BX32" i="76"/>
  <c r="BU32" i="76"/>
  <c r="BR32" i="76"/>
  <c r="BO32" i="76"/>
  <c r="BL32" i="76"/>
  <c r="BI32" i="76"/>
  <c r="BF32" i="76"/>
  <c r="BC32" i="76"/>
  <c r="AZ32" i="76"/>
  <c r="AW32" i="76"/>
  <c r="AR32" i="76"/>
  <c r="AT32" i="76" s="1"/>
  <c r="AO32" i="76"/>
  <c r="AL32" i="76"/>
  <c r="AN32" i="76" s="1"/>
  <c r="AI32" i="76"/>
  <c r="AK32" i="76" s="1"/>
  <c r="AB32" i="76"/>
  <c r="Y32" i="76"/>
  <c r="V32" i="76"/>
  <c r="S32" i="76"/>
  <c r="EH32" i="76" s="1"/>
  <c r="P32" i="76"/>
  <c r="M32" i="76"/>
  <c r="J32" i="76"/>
  <c r="G32" i="76"/>
  <c r="D32" i="76"/>
  <c r="EL31" i="76"/>
  <c r="EG31" i="76"/>
  <c r="EI31" i="76" s="1"/>
  <c r="DW31" i="76"/>
  <c r="DT31" i="76"/>
  <c r="DQ31" i="76"/>
  <c r="DN31" i="76"/>
  <c r="DK31" i="76"/>
  <c r="DH31" i="76"/>
  <c r="DE31" i="76"/>
  <c r="DB31" i="76"/>
  <c r="CY31" i="76"/>
  <c r="CV31" i="76"/>
  <c r="CS31" i="76"/>
  <c r="CP31" i="76"/>
  <c r="CM31" i="76"/>
  <c r="CJ31" i="76"/>
  <c r="CG31" i="76"/>
  <c r="CD31" i="76"/>
  <c r="CA31" i="76"/>
  <c r="BX31" i="76"/>
  <c r="BU31" i="76"/>
  <c r="BR31" i="76"/>
  <c r="BO31" i="76"/>
  <c r="BL31" i="76"/>
  <c r="BI31" i="76"/>
  <c r="BF31" i="76"/>
  <c r="BC31" i="76"/>
  <c r="AZ31" i="76"/>
  <c r="AW31" i="76"/>
  <c r="AR31" i="76"/>
  <c r="EK31" i="76" s="1"/>
  <c r="AQ31" i="76"/>
  <c r="AO31" i="76"/>
  <c r="AL31" i="76"/>
  <c r="AI31" i="76"/>
  <c r="AK31" i="76" s="1"/>
  <c r="AB31" i="76"/>
  <c r="Y31" i="76"/>
  <c r="V31" i="76"/>
  <c r="S31" i="76"/>
  <c r="P31" i="76"/>
  <c r="M31" i="76"/>
  <c r="J31" i="76"/>
  <c r="G31" i="76"/>
  <c r="D31" i="76"/>
  <c r="EL30" i="76"/>
  <c r="EG30" i="76"/>
  <c r="DW30" i="76"/>
  <c r="DT30" i="76"/>
  <c r="DQ30" i="76"/>
  <c r="DN30" i="76"/>
  <c r="DK30" i="76"/>
  <c r="DH30" i="76"/>
  <c r="DE30" i="76"/>
  <c r="DB30" i="76"/>
  <c r="CY30" i="76"/>
  <c r="CV30" i="76"/>
  <c r="CS30" i="76"/>
  <c r="CP30" i="76"/>
  <c r="CM30" i="76"/>
  <c r="CJ30" i="76"/>
  <c r="CG30" i="76"/>
  <c r="CD30" i="76"/>
  <c r="CA30" i="76"/>
  <c r="BX30" i="76"/>
  <c r="BU30" i="76"/>
  <c r="BR30" i="76"/>
  <c r="BO30" i="76"/>
  <c r="BL30" i="76"/>
  <c r="BI30" i="76"/>
  <c r="BF30" i="76"/>
  <c r="BC30" i="76"/>
  <c r="AZ30" i="76"/>
  <c r="AW30" i="76"/>
  <c r="AT30" i="76"/>
  <c r="AQ30" i="76"/>
  <c r="AN30" i="76"/>
  <c r="AL30" i="76"/>
  <c r="AI30" i="76"/>
  <c r="AK30" i="76" s="1"/>
  <c r="AB30" i="76"/>
  <c r="Y30" i="76"/>
  <c r="V30" i="76"/>
  <c r="S30" i="76"/>
  <c r="P30" i="76"/>
  <c r="M30" i="76"/>
  <c r="J30" i="76"/>
  <c r="G30" i="76"/>
  <c r="D30" i="76"/>
  <c r="EL29" i="76"/>
  <c r="EG29" i="76"/>
  <c r="EI29" i="76" s="1"/>
  <c r="DW29" i="76"/>
  <c r="DT29" i="76"/>
  <c r="DQ29" i="76"/>
  <c r="DN29" i="76"/>
  <c r="DK29" i="76"/>
  <c r="DH29" i="76"/>
  <c r="DE29" i="76"/>
  <c r="DB29" i="76"/>
  <c r="CY29" i="76"/>
  <c r="CV29" i="76"/>
  <c r="CS29" i="76"/>
  <c r="CP29" i="76"/>
  <c r="CM29" i="76"/>
  <c r="CJ29" i="76"/>
  <c r="CG29" i="76"/>
  <c r="CD29" i="76"/>
  <c r="CA29" i="76"/>
  <c r="BX29" i="76"/>
  <c r="BU29" i="76"/>
  <c r="BR29" i="76"/>
  <c r="BO29" i="76"/>
  <c r="BL29" i="76"/>
  <c r="BI29" i="76"/>
  <c r="BF29" i="76"/>
  <c r="BC29" i="76"/>
  <c r="AZ29" i="76"/>
  <c r="AW29" i="76"/>
  <c r="AT29" i="76"/>
  <c r="AQ29" i="76"/>
  <c r="AL29" i="76"/>
  <c r="AI29" i="76"/>
  <c r="AK29" i="76" s="1"/>
  <c r="AB29" i="76"/>
  <c r="Y29" i="76"/>
  <c r="V29" i="76"/>
  <c r="S29" i="76"/>
  <c r="EH29" i="76" s="1"/>
  <c r="P29" i="76"/>
  <c r="M29" i="76"/>
  <c r="J29" i="76"/>
  <c r="G29" i="76"/>
  <c r="D29" i="76"/>
  <c r="EL28" i="76"/>
  <c r="EI28" i="76"/>
  <c r="EG28" i="76"/>
  <c r="EB28" i="76"/>
  <c r="DW28" i="76"/>
  <c r="DT28" i="76"/>
  <c r="DQ28" i="76"/>
  <c r="DN28" i="76"/>
  <c r="DK28" i="76"/>
  <c r="DH28" i="76"/>
  <c r="DE28" i="76"/>
  <c r="DB28" i="76"/>
  <c r="CY28" i="76"/>
  <c r="CV28" i="76"/>
  <c r="CS28" i="76"/>
  <c r="CP28" i="76"/>
  <c r="CM28" i="76"/>
  <c r="CJ28" i="76"/>
  <c r="CG28" i="76"/>
  <c r="CD28" i="76"/>
  <c r="CA28" i="76"/>
  <c r="BX28" i="76"/>
  <c r="BU28" i="76"/>
  <c r="BR28" i="76"/>
  <c r="BO28" i="76"/>
  <c r="BL28" i="76"/>
  <c r="BI28" i="76"/>
  <c r="BF28" i="76"/>
  <c r="BC28" i="76"/>
  <c r="AZ28" i="76"/>
  <c r="AW28" i="76"/>
  <c r="AT28" i="76"/>
  <c r="AQ28" i="76"/>
  <c r="AN28" i="76"/>
  <c r="AL28" i="76"/>
  <c r="AI28" i="76"/>
  <c r="AK28" i="76" s="1"/>
  <c r="AB28" i="76"/>
  <c r="Y28" i="76"/>
  <c r="V28" i="76"/>
  <c r="S28" i="76"/>
  <c r="P28" i="76"/>
  <c r="M28" i="76"/>
  <c r="J28" i="76"/>
  <c r="G28" i="76"/>
  <c r="D28" i="76"/>
  <c r="EL27" i="76"/>
  <c r="EG27" i="76"/>
  <c r="EI27" i="76" s="1"/>
  <c r="DW27" i="76"/>
  <c r="DT27" i="76"/>
  <c r="DQ27" i="76"/>
  <c r="DN27" i="76"/>
  <c r="DK27" i="76"/>
  <c r="DH27" i="76"/>
  <c r="DE27" i="76"/>
  <c r="DB27" i="76"/>
  <c r="CY27" i="76"/>
  <c r="CV27" i="76"/>
  <c r="CS27" i="76"/>
  <c r="CP27" i="76"/>
  <c r="CM27" i="76"/>
  <c r="CJ27" i="76"/>
  <c r="CG27" i="76"/>
  <c r="CD27" i="76"/>
  <c r="CA27" i="76"/>
  <c r="BX27" i="76"/>
  <c r="BU27" i="76"/>
  <c r="BR27" i="76"/>
  <c r="BO27" i="76"/>
  <c r="BL27" i="76"/>
  <c r="BI27" i="76"/>
  <c r="BF27" i="76"/>
  <c r="BC27" i="76"/>
  <c r="AZ27" i="76"/>
  <c r="AW27" i="76"/>
  <c r="AT27" i="76"/>
  <c r="AQ27" i="76"/>
  <c r="AL27" i="76"/>
  <c r="AI27" i="76"/>
  <c r="AK27" i="76" s="1"/>
  <c r="AB27" i="76"/>
  <c r="Y27" i="76"/>
  <c r="V27" i="76"/>
  <c r="S27" i="76"/>
  <c r="EH27" i="76" s="1"/>
  <c r="P27" i="76"/>
  <c r="M27" i="76"/>
  <c r="J27" i="76"/>
  <c r="G27" i="76"/>
  <c r="D27" i="76"/>
  <c r="EL26" i="76"/>
  <c r="EG26" i="76"/>
  <c r="EI26" i="76" s="1"/>
  <c r="DW26" i="76"/>
  <c r="DT26" i="76"/>
  <c r="DQ26" i="76"/>
  <c r="DN26" i="76"/>
  <c r="DK26" i="76"/>
  <c r="DH26" i="76"/>
  <c r="DE26" i="76"/>
  <c r="DB26" i="76"/>
  <c r="CY26" i="76"/>
  <c r="CV26" i="76"/>
  <c r="CS26" i="76"/>
  <c r="CP26" i="76"/>
  <c r="CM26" i="76"/>
  <c r="CJ26" i="76"/>
  <c r="CG26" i="76"/>
  <c r="CD26" i="76"/>
  <c r="CA26" i="76"/>
  <c r="BX26" i="76"/>
  <c r="BU26" i="76"/>
  <c r="BR26" i="76"/>
  <c r="BO26" i="76"/>
  <c r="BL26" i="76"/>
  <c r="BI26" i="76"/>
  <c r="BF26" i="76"/>
  <c r="BC26" i="76"/>
  <c r="AZ26" i="76"/>
  <c r="AW26" i="76"/>
  <c r="AT26" i="76"/>
  <c r="AQ26" i="76"/>
  <c r="AN26" i="76"/>
  <c r="AI26" i="76"/>
  <c r="AB26" i="76"/>
  <c r="Y26" i="76"/>
  <c r="V26" i="76"/>
  <c r="S26" i="76"/>
  <c r="EH26" i="76" s="1"/>
  <c r="P26" i="76"/>
  <c r="M26" i="76"/>
  <c r="J26" i="76"/>
  <c r="G26" i="76"/>
  <c r="D26" i="76"/>
  <c r="EL25" i="76"/>
  <c r="EI25" i="76"/>
  <c r="EG25" i="76"/>
  <c r="DW25" i="76"/>
  <c r="DT25" i="76"/>
  <c r="DQ25" i="76"/>
  <c r="DN25" i="76"/>
  <c r="DK25" i="76"/>
  <c r="DH25" i="76"/>
  <c r="DE25" i="76"/>
  <c r="DB25" i="76"/>
  <c r="CY25" i="76"/>
  <c r="CV25" i="76"/>
  <c r="CS25" i="76"/>
  <c r="CP25" i="76"/>
  <c r="CM25" i="76"/>
  <c r="CJ25" i="76"/>
  <c r="CG25" i="76"/>
  <c r="CD25" i="76"/>
  <c r="CA25" i="76"/>
  <c r="BX25" i="76"/>
  <c r="BU25" i="76"/>
  <c r="BR25" i="76"/>
  <c r="BO25" i="76"/>
  <c r="BL25" i="76"/>
  <c r="BI25" i="76"/>
  <c r="BF25" i="76"/>
  <c r="BC25" i="76"/>
  <c r="AZ25" i="76"/>
  <c r="AW25" i="76"/>
  <c r="AT25" i="76"/>
  <c r="AQ25" i="76"/>
  <c r="AN25" i="76"/>
  <c r="AI25" i="76"/>
  <c r="AB25" i="76"/>
  <c r="Y25" i="76"/>
  <c r="V25" i="76"/>
  <c r="S25" i="76"/>
  <c r="P25" i="76"/>
  <c r="M25" i="76"/>
  <c r="J25" i="76"/>
  <c r="G25" i="76"/>
  <c r="D25" i="76"/>
  <c r="EL24" i="76"/>
  <c r="EG24" i="76"/>
  <c r="EI24" i="76" s="1"/>
  <c r="EB24" i="76"/>
  <c r="DW24" i="76"/>
  <c r="DT24" i="76"/>
  <c r="EM24" i="76" s="1"/>
  <c r="DQ24" i="76"/>
  <c r="DN24" i="76"/>
  <c r="DK24" i="76"/>
  <c r="DH24" i="76"/>
  <c r="DE24" i="76"/>
  <c r="DB24" i="76"/>
  <c r="CY24" i="76"/>
  <c r="CV24" i="76"/>
  <c r="CS24" i="76"/>
  <c r="CP24" i="76"/>
  <c r="CM24" i="76"/>
  <c r="CJ24" i="76"/>
  <c r="CG24" i="76"/>
  <c r="CD24" i="76"/>
  <c r="CA24" i="76"/>
  <c r="BX24" i="76"/>
  <c r="BU24" i="76"/>
  <c r="BR24" i="76"/>
  <c r="BO24" i="76"/>
  <c r="BL24" i="76"/>
  <c r="BI24" i="76"/>
  <c r="BF24" i="76"/>
  <c r="BC24" i="76"/>
  <c r="AZ24" i="76"/>
  <c r="AW24" i="76"/>
  <c r="AT24" i="76"/>
  <c r="AQ24" i="76"/>
  <c r="AN24" i="76"/>
  <c r="AI24" i="76"/>
  <c r="AK24" i="76" s="1"/>
  <c r="AB24" i="76"/>
  <c r="Y24" i="76"/>
  <c r="V24" i="76"/>
  <c r="S24" i="76"/>
  <c r="EH24" i="76" s="1"/>
  <c r="P24" i="76"/>
  <c r="M24" i="76"/>
  <c r="J24" i="76"/>
  <c r="G24" i="76"/>
  <c r="D24" i="76"/>
  <c r="EL23" i="76"/>
  <c r="EG23" i="76"/>
  <c r="EI23" i="76" s="1"/>
  <c r="EB23" i="76"/>
  <c r="DW23" i="76"/>
  <c r="DT23" i="76"/>
  <c r="DQ23" i="76"/>
  <c r="DN23" i="76"/>
  <c r="DK23" i="76"/>
  <c r="DH23" i="76"/>
  <c r="DE23" i="76"/>
  <c r="DB23" i="76"/>
  <c r="CY23" i="76"/>
  <c r="CV23" i="76"/>
  <c r="CS23" i="76"/>
  <c r="CP23" i="76"/>
  <c r="CM23" i="76"/>
  <c r="CJ23" i="76"/>
  <c r="CG23" i="76"/>
  <c r="CD23" i="76"/>
  <c r="CA23" i="76"/>
  <c r="BX23" i="76"/>
  <c r="BU23" i="76"/>
  <c r="BR23" i="76"/>
  <c r="BO23" i="76"/>
  <c r="BL23" i="76"/>
  <c r="BI23" i="76"/>
  <c r="BF23" i="76"/>
  <c r="BC23" i="76"/>
  <c r="AZ23" i="76"/>
  <c r="AW23" i="76"/>
  <c r="AT23" i="76"/>
  <c r="AQ23" i="76"/>
  <c r="AN23" i="76"/>
  <c r="AI23" i="76"/>
  <c r="EK23" i="76" s="1"/>
  <c r="AB23" i="76"/>
  <c r="Y23" i="76"/>
  <c r="V23" i="76"/>
  <c r="S23" i="76"/>
  <c r="P23" i="76"/>
  <c r="M23" i="76"/>
  <c r="J23" i="76"/>
  <c r="G23" i="76"/>
  <c r="D23" i="76"/>
  <c r="EL22" i="76"/>
  <c r="EK22" i="76"/>
  <c r="EI22" i="76"/>
  <c r="EG22" i="76"/>
  <c r="EB22" i="76"/>
  <c r="DW22" i="76"/>
  <c r="DT22" i="76"/>
  <c r="DQ22" i="76"/>
  <c r="DN22" i="76"/>
  <c r="DK22" i="76"/>
  <c r="DH22" i="76"/>
  <c r="DE22" i="76"/>
  <c r="DB22" i="76"/>
  <c r="CY22" i="76"/>
  <c r="CV22" i="76"/>
  <c r="CS22" i="76"/>
  <c r="CP22" i="76"/>
  <c r="CM22" i="76"/>
  <c r="CJ22" i="76"/>
  <c r="CG22" i="76"/>
  <c r="CD22" i="76"/>
  <c r="CA22" i="76"/>
  <c r="BX22" i="76"/>
  <c r="BU22" i="76"/>
  <c r="BR22" i="76"/>
  <c r="BO22" i="76"/>
  <c r="BL22" i="76"/>
  <c r="BI22" i="76"/>
  <c r="BF22" i="76"/>
  <c r="BC22" i="76"/>
  <c r="AZ22" i="76"/>
  <c r="AW22" i="76"/>
  <c r="AT22" i="76"/>
  <c r="AQ22" i="76"/>
  <c r="AN22" i="76"/>
  <c r="AK22" i="76"/>
  <c r="AI22" i="76"/>
  <c r="AB22" i="76"/>
  <c r="Y22" i="76"/>
  <c r="V22" i="76"/>
  <c r="S22" i="76"/>
  <c r="P22" i="76"/>
  <c r="M22" i="76"/>
  <c r="J22" i="76"/>
  <c r="G22" i="76"/>
  <c r="D22" i="76"/>
  <c r="ED22" i="76" s="1"/>
  <c r="EL21" i="76"/>
  <c r="EK21" i="76"/>
  <c r="EI21" i="76"/>
  <c r="EG21" i="76"/>
  <c r="DW21" i="76"/>
  <c r="DT21" i="76"/>
  <c r="DQ21" i="76"/>
  <c r="DN21" i="76"/>
  <c r="DK21" i="76"/>
  <c r="DH21" i="76"/>
  <c r="DE21" i="76"/>
  <c r="DB21" i="76"/>
  <c r="CY21" i="76"/>
  <c r="CV21" i="76"/>
  <c r="CS21" i="76"/>
  <c r="CP21" i="76"/>
  <c r="CM21" i="76"/>
  <c r="CJ21" i="76"/>
  <c r="CG21" i="76"/>
  <c r="CD21" i="76"/>
  <c r="CA21" i="76"/>
  <c r="BX21" i="76"/>
  <c r="BU21" i="76"/>
  <c r="BR21" i="76"/>
  <c r="BO21" i="76"/>
  <c r="BL21" i="76"/>
  <c r="BI21" i="76"/>
  <c r="BF21" i="76"/>
  <c r="BC21" i="76"/>
  <c r="AZ21" i="76"/>
  <c r="AW21" i="76"/>
  <c r="AT21" i="76"/>
  <c r="AQ21" i="76"/>
  <c r="AN21" i="76"/>
  <c r="AK21" i="76"/>
  <c r="AI21" i="76"/>
  <c r="EB21" i="76" s="1"/>
  <c r="AB21" i="76"/>
  <c r="Y21" i="76"/>
  <c r="V21" i="76"/>
  <c r="EH21" i="76" s="1"/>
  <c r="S21" i="76"/>
  <c r="P21" i="76"/>
  <c r="M21" i="76"/>
  <c r="J21" i="76"/>
  <c r="G21" i="76"/>
  <c r="D21" i="76"/>
  <c r="EL20" i="76"/>
  <c r="EK20" i="76"/>
  <c r="EG20" i="76"/>
  <c r="EI20" i="76" s="1"/>
  <c r="EB20" i="76"/>
  <c r="DW20" i="76"/>
  <c r="DT20" i="76"/>
  <c r="DQ20" i="76"/>
  <c r="DN20" i="76"/>
  <c r="DK20" i="76"/>
  <c r="DH20" i="76"/>
  <c r="DE20" i="76"/>
  <c r="DB20" i="76"/>
  <c r="CY20" i="76"/>
  <c r="CV20" i="76"/>
  <c r="CS20" i="76"/>
  <c r="CP20" i="76"/>
  <c r="CM20" i="76"/>
  <c r="CJ20" i="76"/>
  <c r="CG20" i="76"/>
  <c r="CD20" i="76"/>
  <c r="CA20" i="76"/>
  <c r="BX20" i="76"/>
  <c r="BU20" i="76"/>
  <c r="BR20" i="76"/>
  <c r="BO20" i="76"/>
  <c r="BL20" i="76"/>
  <c r="BI20" i="76"/>
  <c r="BF20" i="76"/>
  <c r="BC20" i="76"/>
  <c r="AZ20" i="76"/>
  <c r="AW20" i="76"/>
  <c r="AT20" i="76"/>
  <c r="AQ20" i="76"/>
  <c r="AN20" i="76"/>
  <c r="AK20" i="76"/>
  <c r="AI20" i="76"/>
  <c r="AB20" i="76"/>
  <c r="Y20" i="76"/>
  <c r="V20" i="76"/>
  <c r="S20" i="76"/>
  <c r="EH20" i="76" s="1"/>
  <c r="P20" i="76"/>
  <c r="M20" i="76"/>
  <c r="J20" i="76"/>
  <c r="G20" i="76"/>
  <c r="D20" i="76"/>
  <c r="EL19" i="76"/>
  <c r="EG19" i="76"/>
  <c r="EI19" i="76" s="1"/>
  <c r="EB19" i="76"/>
  <c r="DW19" i="76"/>
  <c r="DT19" i="76"/>
  <c r="DQ19" i="76"/>
  <c r="DN19" i="76"/>
  <c r="DK19" i="76"/>
  <c r="DH19" i="76"/>
  <c r="DE19" i="76"/>
  <c r="DB19" i="76"/>
  <c r="CY19" i="76"/>
  <c r="CV19" i="76"/>
  <c r="CS19" i="76"/>
  <c r="CP19" i="76"/>
  <c r="CM19" i="76"/>
  <c r="CJ19" i="76"/>
  <c r="CG19" i="76"/>
  <c r="CD19" i="76"/>
  <c r="CA19" i="76"/>
  <c r="BX19" i="76"/>
  <c r="BU19" i="76"/>
  <c r="BR19" i="76"/>
  <c r="BO19" i="76"/>
  <c r="BL19" i="76"/>
  <c r="BI19" i="76"/>
  <c r="BF19" i="76"/>
  <c r="BC19" i="76"/>
  <c r="AZ19" i="76"/>
  <c r="AW19" i="76"/>
  <c r="AT19" i="76"/>
  <c r="AQ19" i="76"/>
  <c r="AN19" i="76"/>
  <c r="AI19" i="76"/>
  <c r="EK19" i="76" s="1"/>
  <c r="AB19" i="76"/>
  <c r="Y19" i="76"/>
  <c r="V19" i="76"/>
  <c r="S19" i="76"/>
  <c r="P19" i="76"/>
  <c r="M19" i="76"/>
  <c r="J19" i="76"/>
  <c r="G19" i="76"/>
  <c r="D19" i="76"/>
  <c r="EL18" i="76"/>
  <c r="EK18" i="76"/>
  <c r="EG18" i="76"/>
  <c r="EI18" i="76" s="1"/>
  <c r="DW18" i="76"/>
  <c r="DT18" i="76"/>
  <c r="DQ18" i="76"/>
  <c r="DN18" i="76"/>
  <c r="DK18" i="76"/>
  <c r="DH18" i="76"/>
  <c r="DE18" i="76"/>
  <c r="DB18" i="76"/>
  <c r="CY18" i="76"/>
  <c r="CV18" i="76"/>
  <c r="CS18" i="76"/>
  <c r="CP18" i="76"/>
  <c r="CM18" i="76"/>
  <c r="CJ18" i="76"/>
  <c r="CG18" i="76"/>
  <c r="CD18" i="76"/>
  <c r="CA18" i="76"/>
  <c r="BX18" i="76"/>
  <c r="BU18" i="76"/>
  <c r="BR18" i="76"/>
  <c r="BO18" i="76"/>
  <c r="BL18" i="76"/>
  <c r="BI18" i="76"/>
  <c r="BF18" i="76"/>
  <c r="BC18" i="76"/>
  <c r="AZ18" i="76"/>
  <c r="AW18" i="76"/>
  <c r="AT18" i="76"/>
  <c r="AQ18" i="76"/>
  <c r="AN18" i="76"/>
  <c r="AK18" i="76"/>
  <c r="AI18" i="76"/>
  <c r="EB18" i="76" s="1"/>
  <c r="AB18" i="76"/>
  <c r="Y18" i="76"/>
  <c r="V18" i="76"/>
  <c r="S18" i="76"/>
  <c r="P18" i="76"/>
  <c r="M18" i="76"/>
  <c r="J18" i="76"/>
  <c r="G18" i="76"/>
  <c r="D18" i="76"/>
  <c r="EL17" i="76"/>
  <c r="EG17" i="76"/>
  <c r="EI17" i="76" s="1"/>
  <c r="EB17" i="76"/>
  <c r="DW17" i="76"/>
  <c r="DT17" i="76"/>
  <c r="DQ17" i="76"/>
  <c r="DN17" i="76"/>
  <c r="DK17" i="76"/>
  <c r="DH17" i="76"/>
  <c r="DE17" i="76"/>
  <c r="DB17" i="76"/>
  <c r="CY17" i="76"/>
  <c r="CV17" i="76"/>
  <c r="CS17" i="76"/>
  <c r="CP17" i="76"/>
  <c r="CM17" i="76"/>
  <c r="CJ17" i="76"/>
  <c r="CG17" i="76"/>
  <c r="CD17" i="76"/>
  <c r="CA17" i="76"/>
  <c r="BX17" i="76"/>
  <c r="BU17" i="76"/>
  <c r="BR17" i="76"/>
  <c r="BO17" i="76"/>
  <c r="BL17" i="76"/>
  <c r="BI17" i="76"/>
  <c r="BF17" i="76"/>
  <c r="BC17" i="76"/>
  <c r="AZ17" i="76"/>
  <c r="AW17" i="76"/>
  <c r="AT17" i="76"/>
  <c r="AQ17" i="76"/>
  <c r="AN17" i="76"/>
  <c r="AI17" i="76"/>
  <c r="EK17" i="76" s="1"/>
  <c r="AB17" i="76"/>
  <c r="Y17" i="76"/>
  <c r="V17" i="76"/>
  <c r="S17" i="76"/>
  <c r="EH17" i="76" s="1"/>
  <c r="P17" i="76"/>
  <c r="M17" i="76"/>
  <c r="J17" i="76"/>
  <c r="G17" i="76"/>
  <c r="D17" i="76"/>
  <c r="EL16" i="76"/>
  <c r="EK16" i="76"/>
  <c r="EG16" i="76"/>
  <c r="EI16" i="76" s="1"/>
  <c r="EB16" i="76"/>
  <c r="DW16" i="76"/>
  <c r="DT16" i="76"/>
  <c r="DQ16" i="76"/>
  <c r="DN16" i="76"/>
  <c r="DK16" i="76"/>
  <c r="DH16" i="76"/>
  <c r="DE16" i="76"/>
  <c r="DB16" i="76"/>
  <c r="CY16" i="76"/>
  <c r="CV16" i="76"/>
  <c r="CS16" i="76"/>
  <c r="CP16" i="76"/>
  <c r="CM16" i="76"/>
  <c r="CJ16" i="76"/>
  <c r="CG16" i="76"/>
  <c r="CD16" i="76"/>
  <c r="CA16" i="76"/>
  <c r="BX16" i="76"/>
  <c r="BU16" i="76"/>
  <c r="BR16" i="76"/>
  <c r="BO16" i="76"/>
  <c r="BL16" i="76"/>
  <c r="BI16" i="76"/>
  <c r="BF16" i="76"/>
  <c r="BC16" i="76"/>
  <c r="AZ16" i="76"/>
  <c r="AW16" i="76"/>
  <c r="AT16" i="76"/>
  <c r="AQ16" i="76"/>
  <c r="AN16" i="76"/>
  <c r="AK16" i="76"/>
  <c r="AB16" i="76"/>
  <c r="Y16" i="76"/>
  <c r="V16" i="76"/>
  <c r="S16" i="76"/>
  <c r="P16" i="76"/>
  <c r="M16" i="76"/>
  <c r="J16" i="76"/>
  <c r="G16" i="76"/>
  <c r="D16" i="76"/>
  <c r="EL15" i="76"/>
  <c r="EK15" i="76"/>
  <c r="EG15" i="76"/>
  <c r="EI15" i="76" s="1"/>
  <c r="EB15" i="76"/>
  <c r="DW15" i="76"/>
  <c r="DT15" i="76"/>
  <c r="DQ15" i="76"/>
  <c r="DN15" i="76"/>
  <c r="DK15" i="76"/>
  <c r="DH15" i="76"/>
  <c r="DE15" i="76"/>
  <c r="DB15" i="76"/>
  <c r="CY15" i="76"/>
  <c r="CV15" i="76"/>
  <c r="CS15" i="76"/>
  <c r="CP15" i="76"/>
  <c r="CM15" i="76"/>
  <c r="CJ15" i="76"/>
  <c r="CG15" i="76"/>
  <c r="CD15" i="76"/>
  <c r="CA15" i="76"/>
  <c r="BX15" i="76"/>
  <c r="BU15" i="76"/>
  <c r="BR15" i="76"/>
  <c r="BO15" i="76"/>
  <c r="BL15" i="76"/>
  <c r="BI15" i="76"/>
  <c r="BF15" i="76"/>
  <c r="BC15" i="76"/>
  <c r="AZ15" i="76"/>
  <c r="AW15" i="76"/>
  <c r="AT15" i="76"/>
  <c r="AQ15" i="76"/>
  <c r="AN15" i="76"/>
  <c r="AK15" i="76"/>
  <c r="AI15" i="76"/>
  <c r="AB15" i="76"/>
  <c r="Y15" i="76"/>
  <c r="V15" i="76"/>
  <c r="S15" i="76"/>
  <c r="EH15" i="76" s="1"/>
  <c r="P15" i="76"/>
  <c r="M15" i="76"/>
  <c r="J15" i="76"/>
  <c r="G15" i="76"/>
  <c r="D15" i="76"/>
  <c r="EL14" i="76"/>
  <c r="EG14" i="76"/>
  <c r="EI14" i="76" s="1"/>
  <c r="EB14" i="76"/>
  <c r="DW14" i="76"/>
  <c r="DT14" i="76"/>
  <c r="DQ14" i="76"/>
  <c r="DN14" i="76"/>
  <c r="DK14" i="76"/>
  <c r="DH14" i="76"/>
  <c r="DE14" i="76"/>
  <c r="DB14" i="76"/>
  <c r="CY14" i="76"/>
  <c r="CV14" i="76"/>
  <c r="CS14" i="76"/>
  <c r="CP14" i="76"/>
  <c r="CM14" i="76"/>
  <c r="CJ14" i="76"/>
  <c r="CG14" i="76"/>
  <c r="CD14" i="76"/>
  <c r="CA14" i="76"/>
  <c r="BX14" i="76"/>
  <c r="BU14" i="76"/>
  <c r="BR14" i="76"/>
  <c r="BO14" i="76"/>
  <c r="BL14" i="76"/>
  <c r="BI14" i="76"/>
  <c r="BF14" i="76"/>
  <c r="BC14" i="76"/>
  <c r="AZ14" i="76"/>
  <c r="AW14" i="76"/>
  <c r="AT14" i="76"/>
  <c r="AQ14" i="76"/>
  <c r="AN14" i="76"/>
  <c r="AI14" i="76"/>
  <c r="EK14" i="76" s="1"/>
  <c r="AB14" i="76"/>
  <c r="Y14" i="76"/>
  <c r="V14" i="76"/>
  <c r="S14" i="76"/>
  <c r="EH14" i="76" s="1"/>
  <c r="P14" i="76"/>
  <c r="M14" i="76"/>
  <c r="J14" i="76"/>
  <c r="G14" i="76"/>
  <c r="D14" i="76"/>
  <c r="EL13" i="76"/>
  <c r="EG13" i="76"/>
  <c r="EI13" i="76" s="1"/>
  <c r="DW13" i="76"/>
  <c r="DT13" i="76"/>
  <c r="DQ13" i="76"/>
  <c r="DN13" i="76"/>
  <c r="DK13" i="76"/>
  <c r="DH13" i="76"/>
  <c r="DE13" i="76"/>
  <c r="DB13" i="76"/>
  <c r="CY13" i="76"/>
  <c r="CV13" i="76"/>
  <c r="CS13" i="76"/>
  <c r="CP13" i="76"/>
  <c r="CM13" i="76"/>
  <c r="CJ13" i="76"/>
  <c r="CG13" i="76"/>
  <c r="CD13" i="76"/>
  <c r="CA13" i="76"/>
  <c r="BX13" i="76"/>
  <c r="BU13" i="76"/>
  <c r="BR13" i="76"/>
  <c r="BO13" i="76"/>
  <c r="BL13" i="76"/>
  <c r="BI13" i="76"/>
  <c r="BF13" i="76"/>
  <c r="BC13" i="76"/>
  <c r="AZ13" i="76"/>
  <c r="AW13" i="76"/>
  <c r="AT13" i="76"/>
  <c r="AQ13" i="76"/>
  <c r="AN13" i="76"/>
  <c r="AI13" i="76"/>
  <c r="AB13" i="76"/>
  <c r="Y13" i="76"/>
  <c r="V13" i="76"/>
  <c r="EH13" i="76" s="1"/>
  <c r="S13" i="76"/>
  <c r="P13" i="76"/>
  <c r="M13" i="76"/>
  <c r="J13" i="76"/>
  <c r="G13" i="76"/>
  <c r="D13" i="76"/>
  <c r="EL12" i="76"/>
  <c r="EI12" i="76"/>
  <c r="EG12" i="76"/>
  <c r="EB12" i="76"/>
  <c r="DW12" i="76"/>
  <c r="DT12" i="76"/>
  <c r="DQ12" i="76"/>
  <c r="DN12" i="76"/>
  <c r="DK12" i="76"/>
  <c r="DH12" i="76"/>
  <c r="DE12" i="76"/>
  <c r="DB12" i="76"/>
  <c r="CY12" i="76"/>
  <c r="CV12" i="76"/>
  <c r="CS12" i="76"/>
  <c r="CP12" i="76"/>
  <c r="CM12" i="76"/>
  <c r="CJ12" i="76"/>
  <c r="CG12" i="76"/>
  <c r="CD12" i="76"/>
  <c r="CA12" i="76"/>
  <c r="BX12" i="76"/>
  <c r="BU12" i="76"/>
  <c r="BR12" i="76"/>
  <c r="BO12" i="76"/>
  <c r="BL12" i="76"/>
  <c r="BI12" i="76"/>
  <c r="BF12" i="76"/>
  <c r="BC12" i="76"/>
  <c r="AZ12" i="76"/>
  <c r="AW12" i="76"/>
  <c r="AT12" i="76"/>
  <c r="AQ12" i="76"/>
  <c r="AN12" i="76"/>
  <c r="AI12" i="76"/>
  <c r="EK12" i="76" s="1"/>
  <c r="AB12" i="76"/>
  <c r="Y12" i="76"/>
  <c r="V12" i="76"/>
  <c r="S12" i="76"/>
  <c r="P12" i="76"/>
  <c r="M12" i="76"/>
  <c r="J12" i="76"/>
  <c r="G12" i="76"/>
  <c r="D12" i="76"/>
  <c r="A12" i="76"/>
  <c r="A13" i="76" s="1"/>
  <c r="A14" i="76" s="1"/>
  <c r="A15" i="76" s="1"/>
  <c r="A16" i="76" s="1"/>
  <c r="A17" i="76" s="1"/>
  <c r="A18" i="76" s="1"/>
  <c r="A19" i="76" s="1"/>
  <c r="A20" i="76" s="1"/>
  <c r="A21" i="76" s="1"/>
  <c r="A22" i="76" s="1"/>
  <c r="A23" i="76" s="1"/>
  <c r="A24" i="76" s="1"/>
  <c r="A25" i="76" s="1"/>
  <c r="A26" i="76" s="1"/>
  <c r="A27" i="76" s="1"/>
  <c r="A28" i="76" s="1"/>
  <c r="A29" i="76" s="1"/>
  <c r="A30" i="76" s="1"/>
  <c r="A31" i="76" s="1"/>
  <c r="A32" i="76" s="1"/>
  <c r="A33" i="76" s="1"/>
  <c r="A34" i="76" s="1"/>
  <c r="A35" i="76" s="1"/>
  <c r="A36" i="76" s="1"/>
  <c r="A37" i="76" s="1"/>
  <c r="A38" i="76" s="1"/>
  <c r="A39" i="76" s="1"/>
  <c r="A40" i="76" s="1"/>
  <c r="EL11" i="76"/>
  <c r="EG11" i="76"/>
  <c r="EI11" i="76" s="1"/>
  <c r="DW11" i="76"/>
  <c r="DT11" i="76"/>
  <c r="DQ11" i="76"/>
  <c r="DN11" i="76"/>
  <c r="DK11" i="76"/>
  <c r="DH11" i="76"/>
  <c r="DE11" i="76"/>
  <c r="DB11" i="76"/>
  <c r="CY11" i="76"/>
  <c r="CV11" i="76"/>
  <c r="CS11" i="76"/>
  <c r="CP11" i="76"/>
  <c r="CM11" i="76"/>
  <c r="CJ11" i="76"/>
  <c r="CG11" i="76"/>
  <c r="CD11" i="76"/>
  <c r="CA11" i="76"/>
  <c r="BX11" i="76"/>
  <c r="BU11" i="76"/>
  <c r="BR11" i="76"/>
  <c r="BO11" i="76"/>
  <c r="BL11" i="76"/>
  <c r="BI11" i="76"/>
  <c r="BF11" i="76"/>
  <c r="BC11" i="76"/>
  <c r="AZ11" i="76"/>
  <c r="AW11" i="76"/>
  <c r="AT11" i="76"/>
  <c r="AQ11" i="76"/>
  <c r="AN11" i="76"/>
  <c r="AI11" i="76"/>
  <c r="EB11" i="76" s="1"/>
  <c r="AB11" i="76"/>
  <c r="Y11" i="76"/>
  <c r="V11" i="76"/>
  <c r="S11" i="76"/>
  <c r="P11" i="76"/>
  <c r="M11" i="76"/>
  <c r="J11" i="76"/>
  <c r="G11" i="76"/>
  <c r="D11" i="76"/>
  <c r="EQ2" i="76"/>
  <c r="G4" i="76" s="1"/>
  <c r="EH30" i="76" l="1"/>
  <c r="ED16" i="76"/>
  <c r="EE16" i="76" s="1"/>
  <c r="EH25" i="76"/>
  <c r="EH33" i="76"/>
  <c r="ED35" i="76"/>
  <c r="EH36" i="76"/>
  <c r="CG41" i="76"/>
  <c r="AZ41" i="76"/>
  <c r="CJ41" i="76"/>
  <c r="EH19" i="76"/>
  <c r="EM28" i="76"/>
  <c r="EH34" i="76"/>
  <c r="DB41" i="76"/>
  <c r="EH16" i="76"/>
  <c r="BX41" i="76"/>
  <c r="EI2" i="76"/>
  <c r="EH28" i="76"/>
  <c r="AW41" i="76"/>
  <c r="EH18" i="76"/>
  <c r="EM20" i="76"/>
  <c r="EN20" i="76" s="1"/>
  <c r="EH22" i="76"/>
  <c r="ED33" i="76"/>
  <c r="EM26" i="76"/>
  <c r="ED30" i="76"/>
  <c r="EM30" i="76"/>
  <c r="ED20" i="76"/>
  <c r="CA41" i="76"/>
  <c r="ED28" i="76"/>
  <c r="EE28" i="76" s="1"/>
  <c r="ED17" i="76"/>
  <c r="EE17" i="76"/>
  <c r="EC17" i="76"/>
  <c r="EC18" i="76"/>
  <c r="DH41" i="76"/>
  <c r="DQ41" i="76"/>
  <c r="AN27" i="76"/>
  <c r="ED27" i="76" s="1"/>
  <c r="EB27" i="76"/>
  <c r="EM37" i="76"/>
  <c r="EN37" i="76" s="1"/>
  <c r="ED25" i="76"/>
  <c r="EI5" i="76"/>
  <c r="EB33" i="76"/>
  <c r="AN33" i="76"/>
  <c r="EM16" i="76"/>
  <c r="EN16" i="76" s="1"/>
  <c r="DE41" i="76"/>
  <c r="ED21" i="76"/>
  <c r="EE21" i="76" s="1"/>
  <c r="J41" i="76"/>
  <c r="DT41" i="76"/>
  <c r="EK26" i="76"/>
  <c r="EB26" i="76"/>
  <c r="CD41" i="76"/>
  <c r="DN41" i="76"/>
  <c r="M41" i="76"/>
  <c r="EM15" i="76"/>
  <c r="EN15" i="76" s="1"/>
  <c r="EB25" i="76"/>
  <c r="EK25" i="76"/>
  <c r="EN25" i="76" s="1"/>
  <c r="AK26" i="76"/>
  <c r="ED26" i="76" s="1"/>
  <c r="AK34" i="76"/>
  <c r="EM34" i="76" s="1"/>
  <c r="EK34" i="76"/>
  <c r="G41" i="76"/>
  <c r="P41" i="76"/>
  <c r="EC12" i="76"/>
  <c r="AK25" i="76"/>
  <c r="EM25" i="76" s="1"/>
  <c r="EC15" i="76"/>
  <c r="EE15" i="76"/>
  <c r="EM33" i="76"/>
  <c r="BF41" i="76"/>
  <c r="CP41" i="76"/>
  <c r="AQ32" i="76"/>
  <c r="EM32" i="76" s="1"/>
  <c r="EN32" i="76" s="1"/>
  <c r="EB32" i="76"/>
  <c r="BI41" i="76"/>
  <c r="CS41" i="76"/>
  <c r="ED24" i="76"/>
  <c r="EE24" i="76" s="1"/>
  <c r="EB29" i="76"/>
  <c r="EK29" i="76"/>
  <c r="EI30" i="76"/>
  <c r="EH35" i="76"/>
  <c r="V41" i="76"/>
  <c r="EH11" i="76"/>
  <c r="EC14" i="76"/>
  <c r="EM18" i="76"/>
  <c r="EN18" i="76" s="1"/>
  <c r="EC21" i="76"/>
  <c r="EC22" i="76"/>
  <c r="EK27" i="76"/>
  <c r="AN29" i="76"/>
  <c r="ED29" i="76" s="1"/>
  <c r="EK30" i="76"/>
  <c r="EN30" i="76" s="1"/>
  <c r="EB30" i="76"/>
  <c r="EE35" i="76"/>
  <c r="BL41" i="76"/>
  <c r="CV41" i="76"/>
  <c r="EM22" i="76"/>
  <c r="EN22" i="76" s="1"/>
  <c r="AB41" i="76"/>
  <c r="BO41" i="76"/>
  <c r="CY41" i="76"/>
  <c r="EC19" i="76"/>
  <c r="EC20" i="76"/>
  <c r="ED37" i="76"/>
  <c r="AN38" i="76"/>
  <c r="ED38" i="76" s="1"/>
  <c r="EB38" i="76"/>
  <c r="BR41" i="76"/>
  <c r="EE20" i="76"/>
  <c r="AT31" i="76"/>
  <c r="EM31" i="76" s="1"/>
  <c r="EN31" i="76" s="1"/>
  <c r="ED36" i="76"/>
  <c r="EC39" i="76"/>
  <c r="AK11" i="76"/>
  <c r="BU41" i="76"/>
  <c r="EK38" i="76"/>
  <c r="AN39" i="76"/>
  <c r="ED39" i="76" s="1"/>
  <c r="EE39" i="76" s="1"/>
  <c r="EM39" i="76"/>
  <c r="EN39" i="76" s="1"/>
  <c r="EK11" i="76"/>
  <c r="EB13" i="76"/>
  <c r="EK13" i="76"/>
  <c r="AK13" i="76"/>
  <c r="EM13" i="76" s="1"/>
  <c r="EC16" i="76"/>
  <c r="EE22" i="76"/>
  <c r="EC23" i="76"/>
  <c r="Y41" i="76"/>
  <c r="EH12" i="76"/>
  <c r="S41" i="76"/>
  <c r="EM27" i="76"/>
  <c r="EB34" i="76"/>
  <c r="EK40" i="76"/>
  <c r="AK40" i="76"/>
  <c r="EM40" i="76" s="1"/>
  <c r="EI3" i="76"/>
  <c r="EI4" i="76" s="1"/>
  <c r="D41" i="76"/>
  <c r="DK41" i="76"/>
  <c r="ED15" i="76"/>
  <c r="EH23" i="76"/>
  <c r="EH31" i="76"/>
  <c r="EM35" i="76"/>
  <c r="EN35" i="76" s="1"/>
  <c r="EM36" i="76"/>
  <c r="EN36" i="76" s="1"/>
  <c r="EM21" i="76"/>
  <c r="EN21" i="76" s="1"/>
  <c r="EM11" i="76"/>
  <c r="EB31" i="76"/>
  <c r="ED18" i="76"/>
  <c r="EE18" i="76" s="1"/>
  <c r="AK19" i="76"/>
  <c r="EM19" i="76" s="1"/>
  <c r="EN19" i="76" s="1"/>
  <c r="AK23" i="76"/>
  <c r="EM23" i="76" s="1"/>
  <c r="EN23" i="76" s="1"/>
  <c r="AN31" i="76"/>
  <c r="EH38" i="76"/>
  <c r="BC41" i="76"/>
  <c r="CM41" i="76"/>
  <c r="DW41" i="76"/>
  <c r="ED13" i="76"/>
  <c r="AK14" i="76"/>
  <c r="EM14" i="76" s="1"/>
  <c r="EN14" i="76" s="1"/>
  <c r="EK24" i="76"/>
  <c r="EN24" i="76" s="1"/>
  <c r="EK28" i="76"/>
  <c r="EB36" i="76"/>
  <c r="EB37" i="76"/>
  <c r="EK33" i="76"/>
  <c r="AK12" i="76"/>
  <c r="ED12" i="76" s="1"/>
  <c r="EE12" i="76" s="1"/>
  <c r="AK17" i="76"/>
  <c r="EM17" i="76" s="1"/>
  <c r="EN17" i="76" s="1"/>
  <c r="ED34" i="76" l="1"/>
  <c r="EE34" i="76" s="1"/>
  <c r="ED14" i="76"/>
  <c r="EE14" i="76" s="1"/>
  <c r="ED31" i="76"/>
  <c r="EE31" i="76" s="1"/>
  <c r="EN26" i="76"/>
  <c r="AT41" i="76"/>
  <c r="EN28" i="76"/>
  <c r="EM38" i="76"/>
  <c r="EN38" i="76" s="1"/>
  <c r="EM12" i="76"/>
  <c r="EN12" i="76" s="1"/>
  <c r="AK41" i="76"/>
  <c r="EC30" i="76"/>
  <c r="EE30" i="76"/>
  <c r="EC32" i="76"/>
  <c r="EN40" i="76"/>
  <c r="EC40" i="76"/>
  <c r="EN2" i="76"/>
  <c r="EP2" i="76" s="1"/>
  <c r="EN13" i="76"/>
  <c r="EC34" i="76"/>
  <c r="EE13" i="76"/>
  <c r="EC13" i="76"/>
  <c r="EC26" i="76"/>
  <c r="EE26" i="76"/>
  <c r="ED40" i="76"/>
  <c r="EE40" i="76" s="1"/>
  <c r="EN27" i="76"/>
  <c r="EC29" i="76"/>
  <c r="EE29" i="76"/>
  <c r="EN34" i="76"/>
  <c r="EN11" i="76"/>
  <c r="EN3" i="76"/>
  <c r="EN5" i="76"/>
  <c r="EC11" i="76"/>
  <c r="EN33" i="76"/>
  <c r="EC27" i="76"/>
  <c r="EE27" i="76"/>
  <c r="EE37" i="76"/>
  <c r="EC37" i="76"/>
  <c r="ED23" i="76"/>
  <c r="EE23" i="76" s="1"/>
  <c r="AQ41" i="76"/>
  <c r="EE36" i="76"/>
  <c r="EC36" i="76"/>
  <c r="ED32" i="76"/>
  <c r="EE32" i="76" s="1"/>
  <c r="EE25" i="76"/>
  <c r="EC25" i="76"/>
  <c r="AN41" i="76"/>
  <c r="ED11" i="76"/>
  <c r="ED19" i="76"/>
  <c r="EE19" i="76" s="1"/>
  <c r="EC28" i="76"/>
  <c r="EM29" i="76"/>
  <c r="EM41" i="76" s="1"/>
  <c r="EC31" i="76"/>
  <c r="EE3" i="76"/>
  <c r="EC24" i="76"/>
  <c r="EE38" i="76"/>
  <c r="EC38" i="76"/>
  <c r="EH41" i="76"/>
  <c r="EE5" i="76"/>
  <c r="G7" i="76" s="1"/>
  <c r="EE33" i="76"/>
  <c r="EC33" i="76"/>
  <c r="EN4" i="76" l="1"/>
  <c r="EE4" i="76"/>
  <c r="G6" i="76" s="1"/>
  <c r="G5" i="76"/>
  <c r="ED41" i="76"/>
  <c r="EE11" i="76"/>
  <c r="EN29" i="76"/>
  <c r="AH42" i="79"/>
  <c r="AE42" i="79"/>
  <c r="EL41" i="79"/>
  <c r="EK41" i="79"/>
  <c r="EG41" i="79"/>
  <c r="EI41" i="79" s="1"/>
  <c r="EB41" i="79"/>
  <c r="EE2" i="79" s="1"/>
  <c r="EQ2" i="79" s="1"/>
  <c r="G4" i="79" s="1"/>
  <c r="DW41" i="79"/>
  <c r="DT41" i="79"/>
  <c r="EM41" i="79" s="1"/>
  <c r="EN41" i="79" s="1"/>
  <c r="DQ41" i="79"/>
  <c r="DN41" i="79"/>
  <c r="DK41" i="79"/>
  <c r="DH41" i="79"/>
  <c r="DE41" i="79"/>
  <c r="DB41" i="79"/>
  <c r="CY41" i="79"/>
  <c r="CV41" i="79"/>
  <c r="CS41" i="79"/>
  <c r="CP41" i="79"/>
  <c r="CM41" i="79"/>
  <c r="CJ41" i="79"/>
  <c r="CG41" i="79"/>
  <c r="CD41" i="79"/>
  <c r="CA41" i="79"/>
  <c r="BX41" i="79"/>
  <c r="BU41" i="79"/>
  <c r="BR41" i="79"/>
  <c r="BO41" i="79"/>
  <c r="BL41" i="79"/>
  <c r="BI41" i="79"/>
  <c r="BF41" i="79"/>
  <c r="BC41" i="79"/>
  <c r="AZ41" i="79"/>
  <c r="AW41" i="79"/>
  <c r="AT41" i="79"/>
  <c r="AQ41" i="79"/>
  <c r="AN41" i="79"/>
  <c r="AK41" i="79"/>
  <c r="AB41" i="79"/>
  <c r="Y41" i="79"/>
  <c r="V41" i="79"/>
  <c r="S41" i="79"/>
  <c r="EH41" i="79" s="1"/>
  <c r="P41" i="79"/>
  <c r="M41" i="79"/>
  <c r="J41" i="79"/>
  <c r="G41" i="79"/>
  <c r="D41" i="79"/>
  <c r="EL40" i="79"/>
  <c r="EK40" i="79"/>
  <c r="EG40" i="79"/>
  <c r="EI2" i="79" s="1"/>
  <c r="EB40" i="79"/>
  <c r="DW40" i="79"/>
  <c r="DT40" i="79"/>
  <c r="DQ40" i="79"/>
  <c r="DN40" i="79"/>
  <c r="DK40" i="79"/>
  <c r="DH40" i="79"/>
  <c r="DE40" i="79"/>
  <c r="DB40" i="79"/>
  <c r="CY40" i="79"/>
  <c r="CV40" i="79"/>
  <c r="CS40" i="79"/>
  <c r="CP40" i="79"/>
  <c r="CM40" i="79"/>
  <c r="CJ40" i="79"/>
  <c r="CG40" i="79"/>
  <c r="CD40" i="79"/>
  <c r="CA40" i="79"/>
  <c r="BX40" i="79"/>
  <c r="BU40" i="79"/>
  <c r="BR40" i="79"/>
  <c r="BO40" i="79"/>
  <c r="BL40" i="79"/>
  <c r="BI40" i="79"/>
  <c r="BF40" i="79"/>
  <c r="BC40" i="79"/>
  <c r="AZ40" i="79"/>
  <c r="AW40" i="79"/>
  <c r="AT40" i="79"/>
  <c r="AQ40" i="79"/>
  <c r="AN40" i="79"/>
  <c r="AK40" i="79"/>
  <c r="AB40" i="79"/>
  <c r="Y40" i="79"/>
  <c r="V40" i="79"/>
  <c r="S40" i="79"/>
  <c r="P40" i="79"/>
  <c r="M40" i="79"/>
  <c r="J40" i="79"/>
  <c r="G40" i="79"/>
  <c r="D40" i="79"/>
  <c r="EL39" i="79"/>
  <c r="EK39" i="79"/>
  <c r="EG39" i="79"/>
  <c r="EI39" i="79" s="1"/>
  <c r="EB39" i="79"/>
  <c r="DW39" i="79"/>
  <c r="DT39" i="79"/>
  <c r="DQ39" i="79"/>
  <c r="DN39" i="79"/>
  <c r="DK39" i="79"/>
  <c r="DH39" i="79"/>
  <c r="DE39" i="79"/>
  <c r="DB39" i="79"/>
  <c r="CY39" i="79"/>
  <c r="CV39" i="79"/>
  <c r="CS39" i="79"/>
  <c r="CP39" i="79"/>
  <c r="CM39" i="79"/>
  <c r="CJ39" i="79"/>
  <c r="CG39" i="79"/>
  <c r="CD39" i="79"/>
  <c r="CA39" i="79"/>
  <c r="BX39" i="79"/>
  <c r="BU39" i="79"/>
  <c r="BR39" i="79"/>
  <c r="BO39" i="79"/>
  <c r="BL39" i="79"/>
  <c r="BI39" i="79"/>
  <c r="BF39" i="79"/>
  <c r="BC39" i="79"/>
  <c r="AZ39" i="79"/>
  <c r="AW39" i="79"/>
  <c r="AT39" i="79"/>
  <c r="AQ39" i="79"/>
  <c r="AN39" i="79"/>
  <c r="AK39" i="79"/>
  <c r="AB39" i="79"/>
  <c r="Y39" i="79"/>
  <c r="V39" i="79"/>
  <c r="S39" i="79"/>
  <c r="P39" i="79"/>
  <c r="M39" i="79"/>
  <c r="J39" i="79"/>
  <c r="G39" i="79"/>
  <c r="D39" i="79"/>
  <c r="EL38" i="79"/>
  <c r="EK38" i="79"/>
  <c r="EG38" i="79"/>
  <c r="EI38" i="79" s="1"/>
  <c r="EB38" i="79"/>
  <c r="DW38" i="79"/>
  <c r="DT38" i="79"/>
  <c r="EM38" i="79" s="1"/>
  <c r="EN38" i="79" s="1"/>
  <c r="DQ38" i="79"/>
  <c r="DN38" i="79"/>
  <c r="DK38" i="79"/>
  <c r="DH38" i="79"/>
  <c r="DE38" i="79"/>
  <c r="DB38" i="79"/>
  <c r="CY38" i="79"/>
  <c r="CV38" i="79"/>
  <c r="CS38" i="79"/>
  <c r="CP38" i="79"/>
  <c r="CM38" i="79"/>
  <c r="CJ38" i="79"/>
  <c r="CG38" i="79"/>
  <c r="CD38" i="79"/>
  <c r="CA38" i="79"/>
  <c r="BX38" i="79"/>
  <c r="BU38" i="79"/>
  <c r="BR38" i="79"/>
  <c r="BO38" i="79"/>
  <c r="BL38" i="79"/>
  <c r="BI38" i="79"/>
  <c r="BF38" i="79"/>
  <c r="BC38" i="79"/>
  <c r="AZ38" i="79"/>
  <c r="AW38" i="79"/>
  <c r="AT38" i="79"/>
  <c r="AQ38" i="79"/>
  <c r="AN38" i="79"/>
  <c r="AK38" i="79"/>
  <c r="AB38" i="79"/>
  <c r="Y38" i="79"/>
  <c r="V38" i="79"/>
  <c r="S38" i="79"/>
  <c r="EH38" i="79" s="1"/>
  <c r="P38" i="79"/>
  <c r="M38" i="79"/>
  <c r="J38" i="79"/>
  <c r="G38" i="79"/>
  <c r="D38" i="79"/>
  <c r="EL37" i="79"/>
  <c r="EK37" i="79"/>
  <c r="EG37" i="79"/>
  <c r="EI37" i="79" s="1"/>
  <c r="EB37" i="79"/>
  <c r="EC37" i="79" s="1"/>
  <c r="DW37" i="79"/>
  <c r="DT37" i="79"/>
  <c r="DQ37" i="79"/>
  <c r="DN37" i="79"/>
  <c r="DK37" i="79"/>
  <c r="DH37" i="79"/>
  <c r="DE37" i="79"/>
  <c r="DB37" i="79"/>
  <c r="CY37" i="79"/>
  <c r="CV37" i="79"/>
  <c r="CS37" i="79"/>
  <c r="CP37" i="79"/>
  <c r="CM37" i="79"/>
  <c r="CJ37" i="79"/>
  <c r="CG37" i="79"/>
  <c r="CD37" i="79"/>
  <c r="CA37" i="79"/>
  <c r="BX37" i="79"/>
  <c r="BU37" i="79"/>
  <c r="BR37" i="79"/>
  <c r="BO37" i="79"/>
  <c r="BL37" i="79"/>
  <c r="BI37" i="79"/>
  <c r="BF37" i="79"/>
  <c r="BC37" i="79"/>
  <c r="AZ37" i="79"/>
  <c r="AW37" i="79"/>
  <c r="AT37" i="79"/>
  <c r="AQ37" i="79"/>
  <c r="AN37" i="79"/>
  <c r="AK37" i="79"/>
  <c r="AB37" i="79"/>
  <c r="Y37" i="79"/>
  <c r="V37" i="79"/>
  <c r="S37" i="79"/>
  <c r="EH37" i="79" s="1"/>
  <c r="P37" i="79"/>
  <c r="M37" i="79"/>
  <c r="J37" i="79"/>
  <c r="G37" i="79"/>
  <c r="D37" i="79"/>
  <c r="EL36" i="79"/>
  <c r="EK36" i="79"/>
  <c r="EG36" i="79"/>
  <c r="EI36" i="79" s="1"/>
  <c r="EB36" i="79"/>
  <c r="EC36" i="79" s="1"/>
  <c r="DW36" i="79"/>
  <c r="DT36" i="79"/>
  <c r="DQ36" i="79"/>
  <c r="DN36" i="79"/>
  <c r="DK36" i="79"/>
  <c r="DH36" i="79"/>
  <c r="DE36" i="79"/>
  <c r="DB36" i="79"/>
  <c r="CY36" i="79"/>
  <c r="CV36" i="79"/>
  <c r="CS36" i="79"/>
  <c r="CP36" i="79"/>
  <c r="CM36" i="79"/>
  <c r="CJ36" i="79"/>
  <c r="CG36" i="79"/>
  <c r="CD36" i="79"/>
  <c r="CA36" i="79"/>
  <c r="BX36" i="79"/>
  <c r="BU36" i="79"/>
  <c r="BR36" i="79"/>
  <c r="BO36" i="79"/>
  <c r="BL36" i="79"/>
  <c r="BI36" i="79"/>
  <c r="BF36" i="79"/>
  <c r="BC36" i="79"/>
  <c r="AZ36" i="79"/>
  <c r="AW36" i="79"/>
  <c r="AT36" i="79"/>
  <c r="AQ36" i="79"/>
  <c r="AN36" i="79"/>
  <c r="AK36" i="79"/>
  <c r="AB36" i="79"/>
  <c r="Y36" i="79"/>
  <c r="V36" i="79"/>
  <c r="EH36" i="79" s="1"/>
  <c r="S36" i="79"/>
  <c r="P36" i="79"/>
  <c r="M36" i="79"/>
  <c r="J36" i="79"/>
  <c r="G36" i="79"/>
  <c r="D36" i="79"/>
  <c r="EL35" i="79"/>
  <c r="EK35" i="79"/>
  <c r="EG35" i="79"/>
  <c r="EI35" i="79" s="1"/>
  <c r="EB35" i="79"/>
  <c r="DW35" i="79"/>
  <c r="DT35" i="79"/>
  <c r="DQ35" i="79"/>
  <c r="DN35" i="79"/>
  <c r="DK35" i="79"/>
  <c r="DH35" i="79"/>
  <c r="DE35" i="79"/>
  <c r="DB35" i="79"/>
  <c r="CY35" i="79"/>
  <c r="CV35" i="79"/>
  <c r="CS35" i="79"/>
  <c r="CP35" i="79"/>
  <c r="CM35" i="79"/>
  <c r="CJ35" i="79"/>
  <c r="CG35" i="79"/>
  <c r="CD35" i="79"/>
  <c r="CA35" i="79"/>
  <c r="BX35" i="79"/>
  <c r="BU35" i="79"/>
  <c r="BR35" i="79"/>
  <c r="BO35" i="79"/>
  <c r="BL35" i="79"/>
  <c r="BI35" i="79"/>
  <c r="BF35" i="79"/>
  <c r="BC35" i="79"/>
  <c r="AZ35" i="79"/>
  <c r="AW35" i="79"/>
  <c r="AT35" i="79"/>
  <c r="AQ35" i="79"/>
  <c r="AN35" i="79"/>
  <c r="AK35" i="79"/>
  <c r="AB35" i="79"/>
  <c r="Y35" i="79"/>
  <c r="V35" i="79"/>
  <c r="S35" i="79"/>
  <c r="P35" i="79"/>
  <c r="M35" i="79"/>
  <c r="J35" i="79"/>
  <c r="G35" i="79"/>
  <c r="D35" i="79"/>
  <c r="EL34" i="79"/>
  <c r="EK34" i="79"/>
  <c r="EG34" i="79"/>
  <c r="EI34" i="79" s="1"/>
  <c r="EB34" i="79"/>
  <c r="EC34" i="79" s="1"/>
  <c r="DW34" i="79"/>
  <c r="DT34" i="79"/>
  <c r="DQ34" i="79"/>
  <c r="DN34" i="79"/>
  <c r="DK34" i="79"/>
  <c r="DH34" i="79"/>
  <c r="DE34" i="79"/>
  <c r="DB34" i="79"/>
  <c r="CY34" i="79"/>
  <c r="CV34" i="79"/>
  <c r="CS34" i="79"/>
  <c r="CP34" i="79"/>
  <c r="CM34" i="79"/>
  <c r="CJ34" i="79"/>
  <c r="CG34" i="79"/>
  <c r="CD34" i="79"/>
  <c r="CA34" i="79"/>
  <c r="BX34" i="79"/>
  <c r="BU34" i="79"/>
  <c r="BR34" i="79"/>
  <c r="BO34" i="79"/>
  <c r="BL34" i="79"/>
  <c r="BI34" i="79"/>
  <c r="BF34" i="79"/>
  <c r="BC34" i="79"/>
  <c r="AZ34" i="79"/>
  <c r="AW34" i="79"/>
  <c r="AT34" i="79"/>
  <c r="AQ34" i="79"/>
  <c r="AN34" i="79"/>
  <c r="AK34" i="79"/>
  <c r="AB34" i="79"/>
  <c r="Y34" i="79"/>
  <c r="V34" i="79"/>
  <c r="S34" i="79"/>
  <c r="EH34" i="79" s="1"/>
  <c r="P34" i="79"/>
  <c r="M34" i="79"/>
  <c r="J34" i="79"/>
  <c r="G34" i="79"/>
  <c r="D34" i="79"/>
  <c r="EL33" i="79"/>
  <c r="EK33" i="79"/>
  <c r="EG33" i="79"/>
  <c r="EI33" i="79" s="1"/>
  <c r="EB33" i="79"/>
  <c r="EC33" i="79" s="1"/>
  <c r="DW33" i="79"/>
  <c r="DT33" i="79"/>
  <c r="DQ33" i="79"/>
  <c r="DN33" i="79"/>
  <c r="DK33" i="79"/>
  <c r="DH33" i="79"/>
  <c r="DE33" i="79"/>
  <c r="DB33" i="79"/>
  <c r="CY33" i="79"/>
  <c r="CV33" i="79"/>
  <c r="CS33" i="79"/>
  <c r="CP33" i="79"/>
  <c r="CM33" i="79"/>
  <c r="CJ33" i="79"/>
  <c r="CG33" i="79"/>
  <c r="CD33" i="79"/>
  <c r="CA33" i="79"/>
  <c r="BX33" i="79"/>
  <c r="BU33" i="79"/>
  <c r="BR33" i="79"/>
  <c r="BO33" i="79"/>
  <c r="BL33" i="79"/>
  <c r="BI33" i="79"/>
  <c r="BF33" i="79"/>
  <c r="BC33" i="79"/>
  <c r="AZ33" i="79"/>
  <c r="AW33" i="79"/>
  <c r="AT33" i="79"/>
  <c r="AQ33" i="79"/>
  <c r="AN33" i="79"/>
  <c r="AK33" i="79"/>
  <c r="AB33" i="79"/>
  <c r="Y33" i="79"/>
  <c r="V33" i="79"/>
  <c r="EH33" i="79" s="1"/>
  <c r="S33" i="79"/>
  <c r="P33" i="79"/>
  <c r="M33" i="79"/>
  <c r="J33" i="79"/>
  <c r="G33" i="79"/>
  <c r="D33" i="79"/>
  <c r="EL32" i="79"/>
  <c r="EK32" i="79"/>
  <c r="EI32" i="79"/>
  <c r="EG32" i="79"/>
  <c r="EB32" i="79"/>
  <c r="EC32" i="79" s="1"/>
  <c r="DW32" i="79"/>
  <c r="DT32" i="79"/>
  <c r="EM32" i="79" s="1"/>
  <c r="EN32" i="79" s="1"/>
  <c r="DQ32" i="79"/>
  <c r="DN32" i="79"/>
  <c r="DK32" i="79"/>
  <c r="DH32" i="79"/>
  <c r="DE32" i="79"/>
  <c r="DB32" i="79"/>
  <c r="CY32" i="79"/>
  <c r="CV32" i="79"/>
  <c r="CS32" i="79"/>
  <c r="CP32" i="79"/>
  <c r="CM32" i="79"/>
  <c r="CJ32" i="79"/>
  <c r="CG32" i="79"/>
  <c r="CD32" i="79"/>
  <c r="CA32" i="79"/>
  <c r="BX32" i="79"/>
  <c r="BU32" i="79"/>
  <c r="BR32" i="79"/>
  <c r="BO32" i="79"/>
  <c r="BL32" i="79"/>
  <c r="BI32" i="79"/>
  <c r="BF32" i="79"/>
  <c r="BC32" i="79"/>
  <c r="AZ32" i="79"/>
  <c r="AW32" i="79"/>
  <c r="AT32" i="79"/>
  <c r="AQ32" i="79"/>
  <c r="AN32" i="79"/>
  <c r="AK32" i="79"/>
  <c r="AB32" i="79"/>
  <c r="Y32" i="79"/>
  <c r="V32" i="79"/>
  <c r="S32" i="79"/>
  <c r="P32" i="79"/>
  <c r="M32" i="79"/>
  <c r="J32" i="79"/>
  <c r="G32" i="79"/>
  <c r="D32" i="79"/>
  <c r="EL31" i="79"/>
  <c r="EK31" i="79"/>
  <c r="EG31" i="79"/>
  <c r="EI31" i="79" s="1"/>
  <c r="EB31" i="79"/>
  <c r="DW31" i="79"/>
  <c r="DT31" i="79"/>
  <c r="DQ31" i="79"/>
  <c r="DN31" i="79"/>
  <c r="DK31" i="79"/>
  <c r="DH31" i="79"/>
  <c r="DE31" i="79"/>
  <c r="DB31" i="79"/>
  <c r="CY31" i="79"/>
  <c r="CV31" i="79"/>
  <c r="CS31" i="79"/>
  <c r="CP31" i="79"/>
  <c r="CM31" i="79"/>
  <c r="CJ31" i="79"/>
  <c r="CG31" i="79"/>
  <c r="CD31" i="79"/>
  <c r="CA31" i="79"/>
  <c r="BX31" i="79"/>
  <c r="BU31" i="79"/>
  <c r="BR31" i="79"/>
  <c r="BO31" i="79"/>
  <c r="BL31" i="79"/>
  <c r="BI31" i="79"/>
  <c r="BF31" i="79"/>
  <c r="BC31" i="79"/>
  <c r="AZ31" i="79"/>
  <c r="AW31" i="79"/>
  <c r="AT31" i="79"/>
  <c r="AQ31" i="79"/>
  <c r="AN31" i="79"/>
  <c r="AK31" i="79"/>
  <c r="AB31" i="79"/>
  <c r="Y31" i="79"/>
  <c r="V31" i="79"/>
  <c r="S31" i="79"/>
  <c r="P31" i="79"/>
  <c r="M31" i="79"/>
  <c r="J31" i="79"/>
  <c r="G31" i="79"/>
  <c r="D31" i="79"/>
  <c r="EL30" i="79"/>
  <c r="EK30" i="79"/>
  <c r="EG30" i="79"/>
  <c r="EI30" i="79" s="1"/>
  <c r="EB30" i="79"/>
  <c r="EC30" i="79" s="1"/>
  <c r="DW30" i="79"/>
  <c r="DT30" i="79"/>
  <c r="DQ30" i="79"/>
  <c r="DN30" i="79"/>
  <c r="DK30" i="79"/>
  <c r="DH30" i="79"/>
  <c r="DE30" i="79"/>
  <c r="DB30" i="79"/>
  <c r="CY30" i="79"/>
  <c r="CV30" i="79"/>
  <c r="CS30" i="79"/>
  <c r="CP30" i="79"/>
  <c r="CM30" i="79"/>
  <c r="CJ30" i="79"/>
  <c r="CG30" i="79"/>
  <c r="CD30" i="79"/>
  <c r="CA30" i="79"/>
  <c r="BX30" i="79"/>
  <c r="BU30" i="79"/>
  <c r="BR30" i="79"/>
  <c r="BO30" i="79"/>
  <c r="BL30" i="79"/>
  <c r="BI30" i="79"/>
  <c r="BF30" i="79"/>
  <c r="BC30" i="79"/>
  <c r="AZ30" i="79"/>
  <c r="AW30" i="79"/>
  <c r="AT30" i="79"/>
  <c r="AQ30" i="79"/>
  <c r="AN30" i="79"/>
  <c r="AK30" i="79"/>
  <c r="AB30" i="79"/>
  <c r="Y30" i="79"/>
  <c r="V30" i="79"/>
  <c r="S30" i="79"/>
  <c r="P30" i="79"/>
  <c r="M30" i="79"/>
  <c r="J30" i="79"/>
  <c r="G30" i="79"/>
  <c r="D30" i="79"/>
  <c r="EL29" i="79"/>
  <c r="EK29" i="79"/>
  <c r="EI29" i="79"/>
  <c r="EG29" i="79"/>
  <c r="EB29" i="79"/>
  <c r="DW29" i="79"/>
  <c r="DT29" i="79"/>
  <c r="EM29" i="79" s="1"/>
  <c r="EN29" i="79" s="1"/>
  <c r="DQ29" i="79"/>
  <c r="DN29" i="79"/>
  <c r="DK29" i="79"/>
  <c r="DH29" i="79"/>
  <c r="DE29" i="79"/>
  <c r="DB29" i="79"/>
  <c r="CY29" i="79"/>
  <c r="CV29" i="79"/>
  <c r="CS29" i="79"/>
  <c r="CP29" i="79"/>
  <c r="CM29" i="79"/>
  <c r="CJ29" i="79"/>
  <c r="CG29" i="79"/>
  <c r="CD29" i="79"/>
  <c r="CA29" i="79"/>
  <c r="BX29" i="79"/>
  <c r="BU29" i="79"/>
  <c r="BR29" i="79"/>
  <c r="BO29" i="79"/>
  <c r="BL29" i="79"/>
  <c r="BI29" i="79"/>
  <c r="BF29" i="79"/>
  <c r="BC29" i="79"/>
  <c r="AZ29" i="79"/>
  <c r="AW29" i="79"/>
  <c r="AT29" i="79"/>
  <c r="AQ29" i="79"/>
  <c r="AN29" i="79"/>
  <c r="AK29" i="79"/>
  <c r="AB29" i="79"/>
  <c r="Y29" i="79"/>
  <c r="V29" i="79"/>
  <c r="S29" i="79"/>
  <c r="P29" i="79"/>
  <c r="M29" i="79"/>
  <c r="J29" i="79"/>
  <c r="G29" i="79"/>
  <c r="D29" i="79"/>
  <c r="ED29" i="79" s="1"/>
  <c r="EL28" i="79"/>
  <c r="EK28" i="79"/>
  <c r="EG28" i="79"/>
  <c r="EI28" i="79" s="1"/>
  <c r="EC28" i="79"/>
  <c r="EB28" i="79"/>
  <c r="DW28" i="79"/>
  <c r="DT28" i="79"/>
  <c r="DQ28" i="79"/>
  <c r="DN28" i="79"/>
  <c r="DK28" i="79"/>
  <c r="DH28" i="79"/>
  <c r="DE28" i="79"/>
  <c r="DB28" i="79"/>
  <c r="CY28" i="79"/>
  <c r="CV28" i="79"/>
  <c r="CS28" i="79"/>
  <c r="CP28" i="79"/>
  <c r="CM28" i="79"/>
  <c r="CJ28" i="79"/>
  <c r="CG28" i="79"/>
  <c r="CD28" i="79"/>
  <c r="CA28" i="79"/>
  <c r="BX28" i="79"/>
  <c r="BU28" i="79"/>
  <c r="BR28" i="79"/>
  <c r="BO28" i="79"/>
  <c r="BL28" i="79"/>
  <c r="BI28" i="79"/>
  <c r="BF28" i="79"/>
  <c r="BC28" i="79"/>
  <c r="AZ28" i="79"/>
  <c r="AW28" i="79"/>
  <c r="AT28" i="79"/>
  <c r="AQ28" i="79"/>
  <c r="AN28" i="79"/>
  <c r="AK28" i="79"/>
  <c r="AB28" i="79"/>
  <c r="Y28" i="79"/>
  <c r="V28" i="79"/>
  <c r="S28" i="79"/>
  <c r="EH28" i="79" s="1"/>
  <c r="P28" i="79"/>
  <c r="M28" i="79"/>
  <c r="J28" i="79"/>
  <c r="G28" i="79"/>
  <c r="D28" i="79"/>
  <c r="EL27" i="79"/>
  <c r="EK27" i="79"/>
  <c r="EG27" i="79"/>
  <c r="EI27" i="79" s="1"/>
  <c r="EB27" i="79"/>
  <c r="DW27" i="79"/>
  <c r="DT27" i="79"/>
  <c r="DQ27" i="79"/>
  <c r="DN27" i="79"/>
  <c r="DK27" i="79"/>
  <c r="DH27" i="79"/>
  <c r="DE27" i="79"/>
  <c r="DB27" i="79"/>
  <c r="CY27" i="79"/>
  <c r="CV27" i="79"/>
  <c r="CS27" i="79"/>
  <c r="CP27" i="79"/>
  <c r="CM27" i="79"/>
  <c r="CJ27" i="79"/>
  <c r="CG27" i="79"/>
  <c r="CD27" i="79"/>
  <c r="CA27" i="79"/>
  <c r="BX27" i="79"/>
  <c r="BU27" i="79"/>
  <c r="BR27" i="79"/>
  <c r="BO27" i="79"/>
  <c r="BL27" i="79"/>
  <c r="BI27" i="79"/>
  <c r="BF27" i="79"/>
  <c r="BC27" i="79"/>
  <c r="AZ27" i="79"/>
  <c r="AW27" i="79"/>
  <c r="AT27" i="79"/>
  <c r="AQ27" i="79"/>
  <c r="AN27" i="79"/>
  <c r="AK27" i="79"/>
  <c r="AB27" i="79"/>
  <c r="Y27" i="79"/>
  <c r="V27" i="79"/>
  <c r="EH27" i="79" s="1"/>
  <c r="S27" i="79"/>
  <c r="P27" i="79"/>
  <c r="M27" i="79"/>
  <c r="J27" i="79"/>
  <c r="G27" i="79"/>
  <c r="D27" i="79"/>
  <c r="EL26" i="79"/>
  <c r="EK26" i="79"/>
  <c r="EG26" i="79"/>
  <c r="EI26" i="79" s="1"/>
  <c r="EB26" i="79"/>
  <c r="DW26" i="79"/>
  <c r="DT26" i="79"/>
  <c r="DQ26" i="79"/>
  <c r="DN26" i="79"/>
  <c r="DK26" i="79"/>
  <c r="DH26" i="79"/>
  <c r="DE26" i="79"/>
  <c r="DB26" i="79"/>
  <c r="CY26" i="79"/>
  <c r="CV26" i="79"/>
  <c r="CS26" i="79"/>
  <c r="CP26" i="79"/>
  <c r="CM26" i="79"/>
  <c r="CJ26" i="79"/>
  <c r="CG26" i="79"/>
  <c r="CD26" i="79"/>
  <c r="CA26" i="79"/>
  <c r="BX26" i="79"/>
  <c r="BU26" i="79"/>
  <c r="BR26" i="79"/>
  <c r="BO26" i="79"/>
  <c r="BL26" i="79"/>
  <c r="BI26" i="79"/>
  <c r="BF26" i="79"/>
  <c r="BC26" i="79"/>
  <c r="AZ26" i="79"/>
  <c r="AW26" i="79"/>
  <c r="AT26" i="79"/>
  <c r="AQ26" i="79"/>
  <c r="AN26" i="79"/>
  <c r="AK26" i="79"/>
  <c r="AB26" i="79"/>
  <c r="Y26" i="79"/>
  <c r="V26" i="79"/>
  <c r="S26" i="79"/>
  <c r="EH26" i="79" s="1"/>
  <c r="P26" i="79"/>
  <c r="M26" i="79"/>
  <c r="J26" i="79"/>
  <c r="G26" i="79"/>
  <c r="D26" i="79"/>
  <c r="EL25" i="79"/>
  <c r="EK25" i="79"/>
  <c r="EN25" i="79" s="1"/>
  <c r="EG25" i="79"/>
  <c r="EI25" i="79" s="1"/>
  <c r="EB25" i="79"/>
  <c r="EE25" i="79" s="1"/>
  <c r="DW25" i="79"/>
  <c r="DT25" i="79"/>
  <c r="DQ25" i="79"/>
  <c r="DN25" i="79"/>
  <c r="DK25" i="79"/>
  <c r="DH25" i="79"/>
  <c r="DE25" i="79"/>
  <c r="DB25" i="79"/>
  <c r="CY25" i="79"/>
  <c r="CV25" i="79"/>
  <c r="CS25" i="79"/>
  <c r="CP25" i="79"/>
  <c r="CM25" i="79"/>
  <c r="CJ25" i="79"/>
  <c r="CG25" i="79"/>
  <c r="CD25" i="79"/>
  <c r="CA25" i="79"/>
  <c r="BX25" i="79"/>
  <c r="BU25" i="79"/>
  <c r="BR25" i="79"/>
  <c r="BO25" i="79"/>
  <c r="BL25" i="79"/>
  <c r="BI25" i="79"/>
  <c r="BF25" i="79"/>
  <c r="BC25" i="79"/>
  <c r="AZ25" i="79"/>
  <c r="AW25" i="79"/>
  <c r="AT25" i="79"/>
  <c r="AQ25" i="79"/>
  <c r="AN25" i="79"/>
  <c r="AK25" i="79"/>
  <c r="AB25" i="79"/>
  <c r="Y25" i="79"/>
  <c r="V25" i="79"/>
  <c r="S25" i="79"/>
  <c r="P25" i="79"/>
  <c r="M25" i="79"/>
  <c r="J25" i="79"/>
  <c r="G25" i="79"/>
  <c r="D25" i="79"/>
  <c r="EL24" i="79"/>
  <c r="EK24" i="79"/>
  <c r="EN24" i="79" s="1"/>
  <c r="EG24" i="79"/>
  <c r="EI24" i="79" s="1"/>
  <c r="EB24" i="79"/>
  <c r="DW24" i="79"/>
  <c r="DT24" i="79"/>
  <c r="DQ24" i="79"/>
  <c r="DN24" i="79"/>
  <c r="DK24" i="79"/>
  <c r="DH24" i="79"/>
  <c r="DE24" i="79"/>
  <c r="DB24" i="79"/>
  <c r="CY24" i="79"/>
  <c r="CV24" i="79"/>
  <c r="CS24" i="79"/>
  <c r="CP24" i="79"/>
  <c r="CM24" i="79"/>
  <c r="CJ24" i="79"/>
  <c r="CG24" i="79"/>
  <c r="CD24" i="79"/>
  <c r="CA24" i="79"/>
  <c r="BX24" i="79"/>
  <c r="BU24" i="79"/>
  <c r="BR24" i="79"/>
  <c r="BO24" i="79"/>
  <c r="BL24" i="79"/>
  <c r="BI24" i="79"/>
  <c r="BF24" i="79"/>
  <c r="BC24" i="79"/>
  <c r="AZ24" i="79"/>
  <c r="AW24" i="79"/>
  <c r="AT24" i="79"/>
  <c r="AQ24" i="79"/>
  <c r="AN24" i="79"/>
  <c r="AK24" i="79"/>
  <c r="AB24" i="79"/>
  <c r="EH24" i="79" s="1"/>
  <c r="Y24" i="79"/>
  <c r="V24" i="79"/>
  <c r="S24" i="79"/>
  <c r="P24" i="79"/>
  <c r="M24" i="79"/>
  <c r="J24" i="79"/>
  <c r="G24" i="79"/>
  <c r="D24" i="79"/>
  <c r="EL23" i="79"/>
  <c r="EK23" i="79"/>
  <c r="EI23" i="79"/>
  <c r="EG23" i="79"/>
  <c r="EB23" i="79"/>
  <c r="DW23" i="79"/>
  <c r="DT23" i="79"/>
  <c r="DQ23" i="79"/>
  <c r="DN23" i="79"/>
  <c r="DK23" i="79"/>
  <c r="DH23" i="79"/>
  <c r="DE23" i="79"/>
  <c r="EM23" i="79" s="1"/>
  <c r="EN23" i="79" s="1"/>
  <c r="DB23" i="79"/>
  <c r="CY23" i="79"/>
  <c r="CV23" i="79"/>
  <c r="CS23" i="79"/>
  <c r="CP23" i="79"/>
  <c r="CM23" i="79"/>
  <c r="CJ23" i="79"/>
  <c r="CG23" i="79"/>
  <c r="CD23" i="79"/>
  <c r="CA23" i="79"/>
  <c r="BX23" i="79"/>
  <c r="BU23" i="79"/>
  <c r="BR23" i="79"/>
  <c r="BO23" i="79"/>
  <c r="BL23" i="79"/>
  <c r="BI23" i="79"/>
  <c r="BF23" i="79"/>
  <c r="BC23" i="79"/>
  <c r="AZ23" i="79"/>
  <c r="AW23" i="79"/>
  <c r="AT23" i="79"/>
  <c r="AQ23" i="79"/>
  <c r="AN23" i="79"/>
  <c r="AK23" i="79"/>
  <c r="AB23" i="79"/>
  <c r="Y23" i="79"/>
  <c r="V23" i="79"/>
  <c r="S23" i="79"/>
  <c r="P23" i="79"/>
  <c r="M23" i="79"/>
  <c r="J23" i="79"/>
  <c r="G23" i="79"/>
  <c r="D23" i="79"/>
  <c r="EL22" i="79"/>
  <c r="EK22" i="79"/>
  <c r="EG22" i="79"/>
  <c r="EI22" i="79" s="1"/>
  <c r="EB22" i="79"/>
  <c r="EC22" i="79" s="1"/>
  <c r="DW22" i="79"/>
  <c r="DT22" i="79"/>
  <c r="DQ22" i="79"/>
  <c r="DN22" i="79"/>
  <c r="DK22" i="79"/>
  <c r="DH22" i="79"/>
  <c r="DE22" i="79"/>
  <c r="DB22" i="79"/>
  <c r="CY22" i="79"/>
  <c r="CV22" i="79"/>
  <c r="CS22" i="79"/>
  <c r="CP22" i="79"/>
  <c r="CM22" i="79"/>
  <c r="CJ22" i="79"/>
  <c r="CG22" i="79"/>
  <c r="CD22" i="79"/>
  <c r="CA22" i="79"/>
  <c r="BX22" i="79"/>
  <c r="BU22" i="79"/>
  <c r="BR22" i="79"/>
  <c r="BO22" i="79"/>
  <c r="BL22" i="79"/>
  <c r="BI22" i="79"/>
  <c r="BF22" i="79"/>
  <c r="BC22" i="79"/>
  <c r="AZ22" i="79"/>
  <c r="AW22" i="79"/>
  <c r="AT22" i="79"/>
  <c r="AQ22" i="79"/>
  <c r="AN22" i="79"/>
  <c r="AK22" i="79"/>
  <c r="AB22" i="79"/>
  <c r="Y22" i="79"/>
  <c r="V22" i="79"/>
  <c r="S22" i="79"/>
  <c r="P22" i="79"/>
  <c r="M22" i="79"/>
  <c r="J22" i="79"/>
  <c r="G22" i="79"/>
  <c r="D22" i="79"/>
  <c r="EL21" i="79"/>
  <c r="EK21" i="79"/>
  <c r="EG21" i="79"/>
  <c r="EI21" i="79" s="1"/>
  <c r="EB21" i="79"/>
  <c r="EC21" i="79" s="1"/>
  <c r="DW21" i="79"/>
  <c r="DT21" i="79"/>
  <c r="DQ21" i="79"/>
  <c r="DN21" i="79"/>
  <c r="DK21" i="79"/>
  <c r="DH21" i="79"/>
  <c r="DE21" i="79"/>
  <c r="DB21" i="79"/>
  <c r="CY21" i="79"/>
  <c r="CV21" i="79"/>
  <c r="CS21" i="79"/>
  <c r="CP21" i="79"/>
  <c r="CM21" i="79"/>
  <c r="CJ21" i="79"/>
  <c r="CG21" i="79"/>
  <c r="CD21" i="79"/>
  <c r="CA21" i="79"/>
  <c r="BX21" i="79"/>
  <c r="BU21" i="79"/>
  <c r="BR21" i="79"/>
  <c r="BO21" i="79"/>
  <c r="BL21" i="79"/>
  <c r="BI21" i="79"/>
  <c r="BF21" i="79"/>
  <c r="BC21" i="79"/>
  <c r="AZ21" i="79"/>
  <c r="AW21" i="79"/>
  <c r="AT21" i="79"/>
  <c r="AQ21" i="79"/>
  <c r="AN21" i="79"/>
  <c r="AK21" i="79"/>
  <c r="AB21" i="79"/>
  <c r="Y21" i="79"/>
  <c r="V21" i="79"/>
  <c r="EH21" i="79" s="1"/>
  <c r="S21" i="79"/>
  <c r="P21" i="79"/>
  <c r="M21" i="79"/>
  <c r="J21" i="79"/>
  <c r="G21" i="79"/>
  <c r="D21" i="79"/>
  <c r="EL20" i="79"/>
  <c r="EK20" i="79"/>
  <c r="EI20" i="79"/>
  <c r="EG20" i="79"/>
  <c r="EB20" i="79"/>
  <c r="EC20" i="79" s="1"/>
  <c r="DW20" i="79"/>
  <c r="DT20" i="79"/>
  <c r="EM20" i="79" s="1"/>
  <c r="EN20" i="79" s="1"/>
  <c r="DQ20" i="79"/>
  <c r="DN20" i="79"/>
  <c r="DK20" i="79"/>
  <c r="DH20" i="79"/>
  <c r="DE20" i="79"/>
  <c r="DB20" i="79"/>
  <c r="CY20" i="79"/>
  <c r="CV20" i="79"/>
  <c r="CS20" i="79"/>
  <c r="CP20" i="79"/>
  <c r="CM20" i="79"/>
  <c r="CJ20" i="79"/>
  <c r="CG20" i="79"/>
  <c r="CD20" i="79"/>
  <c r="CA20" i="79"/>
  <c r="BX20" i="79"/>
  <c r="BU20" i="79"/>
  <c r="BR20" i="79"/>
  <c r="BO20" i="79"/>
  <c r="BL20" i="79"/>
  <c r="BI20" i="79"/>
  <c r="BF20" i="79"/>
  <c r="BC20" i="79"/>
  <c r="AZ20" i="79"/>
  <c r="AW20" i="79"/>
  <c r="AT20" i="79"/>
  <c r="AQ20" i="79"/>
  <c r="AN20" i="79"/>
  <c r="AK20" i="79"/>
  <c r="AB20" i="79"/>
  <c r="Y20" i="79"/>
  <c r="V20" i="79"/>
  <c r="S20" i="79"/>
  <c r="P20" i="79"/>
  <c r="M20" i="79"/>
  <c r="J20" i="79"/>
  <c r="G20" i="79"/>
  <c r="D20" i="79"/>
  <c r="EL19" i="79"/>
  <c r="EK19" i="79"/>
  <c r="EG19" i="79"/>
  <c r="EI19" i="79" s="1"/>
  <c r="EB19" i="79"/>
  <c r="DW19" i="79"/>
  <c r="DT19" i="79"/>
  <c r="DQ19" i="79"/>
  <c r="DN19" i="79"/>
  <c r="DK19" i="79"/>
  <c r="DH19" i="79"/>
  <c r="DE19" i="79"/>
  <c r="DB19" i="79"/>
  <c r="CY19" i="79"/>
  <c r="CV19" i="79"/>
  <c r="CS19" i="79"/>
  <c r="CP19" i="79"/>
  <c r="CM19" i="79"/>
  <c r="CJ19" i="79"/>
  <c r="CG19" i="79"/>
  <c r="CD19" i="79"/>
  <c r="CA19" i="79"/>
  <c r="BX19" i="79"/>
  <c r="BU19" i="79"/>
  <c r="BR19" i="79"/>
  <c r="BO19" i="79"/>
  <c r="BL19" i="79"/>
  <c r="BI19" i="79"/>
  <c r="BF19" i="79"/>
  <c r="BC19" i="79"/>
  <c r="AZ19" i="79"/>
  <c r="AW19" i="79"/>
  <c r="AT19" i="79"/>
  <c r="AQ19" i="79"/>
  <c r="AN19" i="79"/>
  <c r="AK19" i="79"/>
  <c r="AB19" i="79"/>
  <c r="Y19" i="79"/>
  <c r="V19" i="79"/>
  <c r="S19" i="79"/>
  <c r="P19" i="79"/>
  <c r="M19" i="79"/>
  <c r="J19" i="79"/>
  <c r="G19" i="79"/>
  <c r="D19" i="79"/>
  <c r="EL18" i="79"/>
  <c r="EK18" i="79"/>
  <c r="EG18" i="79"/>
  <c r="EI18" i="79" s="1"/>
  <c r="EB18" i="79"/>
  <c r="EC18" i="79" s="1"/>
  <c r="DW18" i="79"/>
  <c r="DT18" i="79"/>
  <c r="DQ18" i="79"/>
  <c r="DN18" i="79"/>
  <c r="DK18" i="79"/>
  <c r="DH18" i="79"/>
  <c r="DE18" i="79"/>
  <c r="DB18" i="79"/>
  <c r="CY18" i="79"/>
  <c r="CV18" i="79"/>
  <c r="CS18" i="79"/>
  <c r="CP18" i="79"/>
  <c r="CM18" i="79"/>
  <c r="CJ18" i="79"/>
  <c r="CG18" i="79"/>
  <c r="CD18" i="79"/>
  <c r="CA18" i="79"/>
  <c r="BX18" i="79"/>
  <c r="BU18" i="79"/>
  <c r="BR18" i="79"/>
  <c r="BO18" i="79"/>
  <c r="BL18" i="79"/>
  <c r="BI18" i="79"/>
  <c r="BF18" i="79"/>
  <c r="BC18" i="79"/>
  <c r="AZ18" i="79"/>
  <c r="AW18" i="79"/>
  <c r="AT18" i="79"/>
  <c r="AQ18" i="79"/>
  <c r="AN18" i="79"/>
  <c r="AK18" i="79"/>
  <c r="AB18" i="79"/>
  <c r="Y18" i="79"/>
  <c r="V18" i="79"/>
  <c r="S18" i="79"/>
  <c r="EH18" i="79" s="1"/>
  <c r="P18" i="79"/>
  <c r="M18" i="79"/>
  <c r="J18" i="79"/>
  <c r="G18" i="79"/>
  <c r="D18" i="79"/>
  <c r="EL17" i="79"/>
  <c r="EK17" i="79"/>
  <c r="EI17" i="79"/>
  <c r="EG17" i="79"/>
  <c r="EB17" i="79"/>
  <c r="DW17" i="79"/>
  <c r="DT17" i="79"/>
  <c r="DQ17" i="79"/>
  <c r="DN17" i="79"/>
  <c r="DK17" i="79"/>
  <c r="DH17" i="79"/>
  <c r="DE17" i="79"/>
  <c r="DB17" i="79"/>
  <c r="CY17" i="79"/>
  <c r="CV17" i="79"/>
  <c r="CS17" i="79"/>
  <c r="CP17" i="79"/>
  <c r="CM17" i="79"/>
  <c r="CJ17" i="79"/>
  <c r="CG17" i="79"/>
  <c r="CD17" i="79"/>
  <c r="CA17" i="79"/>
  <c r="BX17" i="79"/>
  <c r="BU17" i="79"/>
  <c r="BR17" i="79"/>
  <c r="BO17" i="79"/>
  <c r="BL17" i="79"/>
  <c r="BI17" i="79"/>
  <c r="BF17" i="79"/>
  <c r="BC17" i="79"/>
  <c r="AZ17" i="79"/>
  <c r="AW17" i="79"/>
  <c r="AT17" i="79"/>
  <c r="AQ17" i="79"/>
  <c r="AN17" i="79"/>
  <c r="AK17" i="79"/>
  <c r="AB17" i="79"/>
  <c r="Y17" i="79"/>
  <c r="V17" i="79"/>
  <c r="S17" i="79"/>
  <c r="P17" i="79"/>
  <c r="M17" i="79"/>
  <c r="J17" i="79"/>
  <c r="G17" i="79"/>
  <c r="D17" i="79"/>
  <c r="ED17" i="79" s="1"/>
  <c r="EL16" i="79"/>
  <c r="EK16" i="79"/>
  <c r="EG16" i="79"/>
  <c r="EI16" i="79" s="1"/>
  <c r="EB16" i="79"/>
  <c r="EC16" i="79" s="1"/>
  <c r="DW16" i="79"/>
  <c r="DT16" i="79"/>
  <c r="DQ16" i="79"/>
  <c r="DN16" i="79"/>
  <c r="DK16" i="79"/>
  <c r="DH16" i="79"/>
  <c r="DE16" i="79"/>
  <c r="DB16" i="79"/>
  <c r="CY16" i="79"/>
  <c r="CV16" i="79"/>
  <c r="CS16" i="79"/>
  <c r="CP16" i="79"/>
  <c r="CM16" i="79"/>
  <c r="CJ16" i="79"/>
  <c r="CG16" i="79"/>
  <c r="CD16" i="79"/>
  <c r="CA16" i="79"/>
  <c r="BX16" i="79"/>
  <c r="BU16" i="79"/>
  <c r="BR16" i="79"/>
  <c r="BO16" i="79"/>
  <c r="BL16" i="79"/>
  <c r="BI16" i="79"/>
  <c r="BF16" i="79"/>
  <c r="BC16" i="79"/>
  <c r="AZ16" i="79"/>
  <c r="AW16" i="79"/>
  <c r="AT16" i="79"/>
  <c r="AQ16" i="79"/>
  <c r="AN16" i="79"/>
  <c r="AK16" i="79"/>
  <c r="AB16" i="79"/>
  <c r="Y16" i="79"/>
  <c r="V16" i="79"/>
  <c r="S16" i="79"/>
  <c r="P16" i="79"/>
  <c r="M16" i="79"/>
  <c r="J16" i="79"/>
  <c r="G16" i="79"/>
  <c r="D16" i="79"/>
  <c r="EL15" i="79"/>
  <c r="EK15" i="79"/>
  <c r="EN15" i="79" s="1"/>
  <c r="EG15" i="79"/>
  <c r="EI15" i="79" s="1"/>
  <c r="EB15" i="79"/>
  <c r="DW15" i="79"/>
  <c r="DT15" i="79"/>
  <c r="DQ15" i="79"/>
  <c r="DN15" i="79"/>
  <c r="DK15" i="79"/>
  <c r="DH15" i="79"/>
  <c r="DE15" i="79"/>
  <c r="DB15" i="79"/>
  <c r="CY15" i="79"/>
  <c r="CV15" i="79"/>
  <c r="CS15" i="79"/>
  <c r="CP15" i="79"/>
  <c r="CM15" i="79"/>
  <c r="CJ15" i="79"/>
  <c r="CG15" i="79"/>
  <c r="CD15" i="79"/>
  <c r="CA15" i="79"/>
  <c r="BX15" i="79"/>
  <c r="BU15" i="79"/>
  <c r="BR15" i="79"/>
  <c r="BO15" i="79"/>
  <c r="BL15" i="79"/>
  <c r="BI15" i="79"/>
  <c r="BF15" i="79"/>
  <c r="BC15" i="79"/>
  <c r="AZ15" i="79"/>
  <c r="AW15" i="79"/>
  <c r="AT15" i="79"/>
  <c r="AQ15" i="79"/>
  <c r="AN15" i="79"/>
  <c r="AK15" i="79"/>
  <c r="AB15" i="79"/>
  <c r="Y15" i="79"/>
  <c r="V15" i="79"/>
  <c r="S15" i="79"/>
  <c r="P15" i="79"/>
  <c r="M15" i="79"/>
  <c r="J15" i="79"/>
  <c r="G15" i="79"/>
  <c r="D15" i="79"/>
  <c r="EL14" i="79"/>
  <c r="EK14" i="79"/>
  <c r="EN14" i="79" s="1"/>
  <c r="EG14" i="79"/>
  <c r="EI14" i="79" s="1"/>
  <c r="EB14" i="79"/>
  <c r="EE14" i="79" s="1"/>
  <c r="DW14" i="79"/>
  <c r="DT14" i="79"/>
  <c r="DQ14" i="79"/>
  <c r="DN14" i="79"/>
  <c r="DK14" i="79"/>
  <c r="DH14" i="79"/>
  <c r="DE14" i="79"/>
  <c r="EM14" i="79" s="1"/>
  <c r="DB14" i="79"/>
  <c r="CY14" i="79"/>
  <c r="CV14" i="79"/>
  <c r="CS14" i="79"/>
  <c r="CP14" i="79"/>
  <c r="CM14" i="79"/>
  <c r="CJ14" i="79"/>
  <c r="CG14" i="79"/>
  <c r="CD14" i="79"/>
  <c r="CA14" i="79"/>
  <c r="BX14" i="79"/>
  <c r="BU14" i="79"/>
  <c r="BR14" i="79"/>
  <c r="BO14" i="79"/>
  <c r="BL14" i="79"/>
  <c r="BI14" i="79"/>
  <c r="BF14" i="79"/>
  <c r="BC14" i="79"/>
  <c r="AZ14" i="79"/>
  <c r="AW14" i="79"/>
  <c r="AT14" i="79"/>
  <c r="AQ14" i="79"/>
  <c r="AN14" i="79"/>
  <c r="AK14" i="79"/>
  <c r="AB14" i="79"/>
  <c r="Y14" i="79"/>
  <c r="V14" i="79"/>
  <c r="S14" i="79"/>
  <c r="EH14" i="79" s="1"/>
  <c r="P14" i="79"/>
  <c r="M14" i="79"/>
  <c r="J14" i="79"/>
  <c r="G14" i="79"/>
  <c r="D14" i="79"/>
  <c r="EL13" i="79"/>
  <c r="EK13" i="79"/>
  <c r="EN13" i="79" s="1"/>
  <c r="EG13" i="79"/>
  <c r="EI13" i="79" s="1"/>
  <c r="EB13" i="79"/>
  <c r="EE13" i="79" s="1"/>
  <c r="DW13" i="79"/>
  <c r="DT13" i="79"/>
  <c r="DQ13" i="79"/>
  <c r="DN13" i="79"/>
  <c r="DK13" i="79"/>
  <c r="DH13" i="79"/>
  <c r="DE13" i="79"/>
  <c r="DB13" i="79"/>
  <c r="CY13" i="79"/>
  <c r="CY42" i="79" s="1"/>
  <c r="CV13" i="79"/>
  <c r="CS13" i="79"/>
  <c r="CP13" i="79"/>
  <c r="CM13" i="79"/>
  <c r="CJ13" i="79"/>
  <c r="CG13" i="79"/>
  <c r="CD13" i="79"/>
  <c r="CA13" i="79"/>
  <c r="BX13" i="79"/>
  <c r="BU13" i="79"/>
  <c r="BR13" i="79"/>
  <c r="BO13" i="79"/>
  <c r="BO42" i="79" s="1"/>
  <c r="BL13" i="79"/>
  <c r="BI13" i="79"/>
  <c r="BF13" i="79"/>
  <c r="BC13" i="79"/>
  <c r="AZ13" i="79"/>
  <c r="AW13" i="79"/>
  <c r="AT13" i="79"/>
  <c r="AQ13" i="79"/>
  <c r="AN13" i="79"/>
  <c r="AK13" i="79"/>
  <c r="AB13" i="79"/>
  <c r="Y13" i="79"/>
  <c r="V13" i="79"/>
  <c r="S13" i="79"/>
  <c r="EH13" i="79" s="1"/>
  <c r="P13" i="79"/>
  <c r="M13" i="79"/>
  <c r="J13" i="79"/>
  <c r="G13" i="79"/>
  <c r="D13" i="79"/>
  <c r="EL12" i="79"/>
  <c r="EK12" i="79"/>
  <c r="EN12" i="79" s="1"/>
  <c r="EG12" i="79"/>
  <c r="EB12" i="79"/>
  <c r="EC12" i="79" s="1"/>
  <c r="DW12" i="79"/>
  <c r="DT12" i="79"/>
  <c r="DQ12" i="79"/>
  <c r="DN12" i="79"/>
  <c r="DK12" i="79"/>
  <c r="DH12" i="79"/>
  <c r="DE12" i="79"/>
  <c r="DB12" i="79"/>
  <c r="CY12" i="79"/>
  <c r="CV12" i="79"/>
  <c r="CS12" i="79"/>
  <c r="CP12" i="79"/>
  <c r="CM12" i="79"/>
  <c r="CJ12" i="79"/>
  <c r="CG12" i="79"/>
  <c r="CD12" i="79"/>
  <c r="CA12" i="79"/>
  <c r="BX12" i="79"/>
  <c r="BU12" i="79"/>
  <c r="BR12" i="79"/>
  <c r="BO12" i="79"/>
  <c r="BL12" i="79"/>
  <c r="BI12" i="79"/>
  <c r="BF12" i="79"/>
  <c r="BC12" i="79"/>
  <c r="AZ12" i="79"/>
  <c r="AW12" i="79"/>
  <c r="AT12" i="79"/>
  <c r="AQ12" i="79"/>
  <c r="AN12" i="79"/>
  <c r="AK12" i="79"/>
  <c r="AB12" i="79"/>
  <c r="Y12" i="79"/>
  <c r="V12" i="79"/>
  <c r="S12" i="79"/>
  <c r="EH12" i="79" s="1"/>
  <c r="P12" i="79"/>
  <c r="M12" i="79"/>
  <c r="J12" i="79"/>
  <c r="G12" i="79"/>
  <c r="D12" i="79"/>
  <c r="A12" i="79"/>
  <c r="A13" i="79" s="1"/>
  <c r="A14" i="79" s="1"/>
  <c r="A15" i="79" s="1"/>
  <c r="A16" i="79" s="1"/>
  <c r="A17" i="79" s="1"/>
  <c r="A18" i="79" s="1"/>
  <c r="A19" i="79" s="1"/>
  <c r="A20" i="79" s="1"/>
  <c r="A21" i="79" s="1"/>
  <c r="A22" i="79" s="1"/>
  <c r="A23" i="79" s="1"/>
  <c r="A24" i="79" s="1"/>
  <c r="A25" i="79" s="1"/>
  <c r="A26" i="79" s="1"/>
  <c r="A27" i="79" s="1"/>
  <c r="A28" i="79" s="1"/>
  <c r="A29" i="79" s="1"/>
  <c r="A30" i="79" s="1"/>
  <c r="A31" i="79" s="1"/>
  <c r="A32" i="79" s="1"/>
  <c r="A33" i="79" s="1"/>
  <c r="A34" i="79" s="1"/>
  <c r="A35" i="79" s="1"/>
  <c r="A36" i="79" s="1"/>
  <c r="A37" i="79" s="1"/>
  <c r="A38" i="79" s="1"/>
  <c r="A39" i="79" s="1"/>
  <c r="A40" i="79" s="1"/>
  <c r="EN11" i="79"/>
  <c r="EL11" i="79"/>
  <c r="EK11" i="79"/>
  <c r="EI11" i="79"/>
  <c r="EG11" i="79"/>
  <c r="EB11" i="79"/>
  <c r="DW11" i="79"/>
  <c r="DT11" i="79"/>
  <c r="EM11" i="79" s="1"/>
  <c r="DQ11" i="79"/>
  <c r="DN11" i="79"/>
  <c r="DK11" i="79"/>
  <c r="DH11" i="79"/>
  <c r="DE11" i="79"/>
  <c r="DB11" i="79"/>
  <c r="CY11" i="79"/>
  <c r="CV11" i="79"/>
  <c r="CS11" i="79"/>
  <c r="CP11" i="79"/>
  <c r="CM11" i="79"/>
  <c r="CJ11" i="79"/>
  <c r="CG11" i="79"/>
  <c r="CD11" i="79"/>
  <c r="CA11" i="79"/>
  <c r="BX11" i="79"/>
  <c r="BU11" i="79"/>
  <c r="BR11" i="79"/>
  <c r="BO11" i="79"/>
  <c r="BL11" i="79"/>
  <c r="BI11" i="79"/>
  <c r="BF11" i="79"/>
  <c r="BC11" i="79"/>
  <c r="AZ11" i="79"/>
  <c r="AW11" i="79"/>
  <c r="AT11" i="79"/>
  <c r="AQ11" i="79"/>
  <c r="AN11" i="79"/>
  <c r="AK11" i="79"/>
  <c r="AB11" i="79"/>
  <c r="Y11" i="79"/>
  <c r="V11" i="79"/>
  <c r="S11" i="79"/>
  <c r="P11" i="79"/>
  <c r="M11" i="79"/>
  <c r="J11" i="79"/>
  <c r="G11" i="79"/>
  <c r="D11" i="79"/>
  <c r="EN2" i="79"/>
  <c r="EP2" i="79" s="1"/>
  <c r="CP42" i="79" l="1"/>
  <c r="EM40" i="79"/>
  <c r="EH11" i="79"/>
  <c r="EE12" i="79"/>
  <c r="EH17" i="79"/>
  <c r="ED25" i="79"/>
  <c r="EH29" i="79"/>
  <c r="ED35" i="79"/>
  <c r="EE35" i="79" s="1"/>
  <c r="EH15" i="79"/>
  <c r="M42" i="79"/>
  <c r="DW42" i="79"/>
  <c r="ED22" i="79"/>
  <c r="P42" i="79"/>
  <c r="BF42" i="79"/>
  <c r="EE3" i="79"/>
  <c r="EI3" i="79"/>
  <c r="EI4" i="79" s="1"/>
  <c r="EM16" i="79"/>
  <c r="ED23" i="79"/>
  <c r="EE23" i="79" s="1"/>
  <c r="EH25" i="79"/>
  <c r="EH30" i="79"/>
  <c r="EM35" i="79"/>
  <c r="EN35" i="79" s="1"/>
  <c r="ED39" i="79"/>
  <c r="EE39" i="79" s="1"/>
  <c r="EM39" i="79"/>
  <c r="EN39" i="79" s="1"/>
  <c r="ED40" i="79"/>
  <c r="EC40" i="79"/>
  <c r="Y42" i="79"/>
  <c r="ED14" i="79"/>
  <c r="EH20" i="79"/>
  <c r="EH32" i="79"/>
  <c r="EH40" i="79"/>
  <c r="EM17" i="79"/>
  <c r="EN17" i="79" s="1"/>
  <c r="CM42" i="79"/>
  <c r="EM25" i="79"/>
  <c r="BR42" i="79"/>
  <c r="ED16" i="79"/>
  <c r="EE16" i="79" s="1"/>
  <c r="EM19" i="79"/>
  <c r="EC24" i="79"/>
  <c r="EM31" i="79"/>
  <c r="ED38" i="79"/>
  <c r="EE38" i="79" s="1"/>
  <c r="EH16" i="79"/>
  <c r="ED18" i="79"/>
  <c r="EE18" i="79" s="1"/>
  <c r="EE24" i="79"/>
  <c r="EC35" i="79"/>
  <c r="EC15" i="79"/>
  <c r="EM18" i="79"/>
  <c r="EN18" i="79" s="1"/>
  <c r="ED19" i="79"/>
  <c r="EC23" i="79"/>
  <c r="EC27" i="79"/>
  <c r="ED30" i="79"/>
  <c r="EE30" i="79" s="1"/>
  <c r="ED31" i="79"/>
  <c r="EH35" i="79"/>
  <c r="ED34" i="79"/>
  <c r="ED32" i="79"/>
  <c r="EE32" i="79" s="1"/>
  <c r="EH39" i="79"/>
  <c r="BC42" i="79"/>
  <c r="EC13" i="79"/>
  <c r="DB42" i="79"/>
  <c r="EN3" i="79"/>
  <c r="AQ42" i="79"/>
  <c r="CA42" i="79"/>
  <c r="DK42" i="79"/>
  <c r="EE15" i="79"/>
  <c r="EH19" i="79"/>
  <c r="EM22" i="79"/>
  <c r="EN22" i="79" s="1"/>
  <c r="EH23" i="79"/>
  <c r="EM26" i="79"/>
  <c r="EN26" i="79" s="1"/>
  <c r="EM30" i="79"/>
  <c r="EN30" i="79" s="1"/>
  <c r="EH31" i="79"/>
  <c r="EM34" i="79"/>
  <c r="EN34" i="79" s="1"/>
  <c r="BI42" i="79"/>
  <c r="EE19" i="79"/>
  <c r="EC19" i="79"/>
  <c r="EI12" i="79"/>
  <c r="ED15" i="79"/>
  <c r="BU42" i="79"/>
  <c r="ED21" i="79"/>
  <c r="EE21" i="79" s="1"/>
  <c r="EM21" i="79"/>
  <c r="EN21" i="79" s="1"/>
  <c r="EM33" i="79"/>
  <c r="EN33" i="79" s="1"/>
  <c r="ED11" i="79"/>
  <c r="D42" i="79"/>
  <c r="AT42" i="79"/>
  <c r="CD42" i="79"/>
  <c r="DN42" i="79"/>
  <c r="ED12" i="79"/>
  <c r="EM12" i="79"/>
  <c r="ED20" i="79"/>
  <c r="EE20" i="79" s="1"/>
  <c r="EE29" i="79"/>
  <c r="EC38" i="79"/>
  <c r="ED41" i="79"/>
  <c r="EE41" i="79" s="1"/>
  <c r="ED13" i="79"/>
  <c r="V42" i="79"/>
  <c r="BL42" i="79"/>
  <c r="ED24" i="79"/>
  <c r="EM24" i="79"/>
  <c r="EE31" i="79"/>
  <c r="AB42" i="79"/>
  <c r="EE17" i="79"/>
  <c r="BX42" i="79"/>
  <c r="ED33" i="79"/>
  <c r="EE33" i="79" s="1"/>
  <c r="G42" i="79"/>
  <c r="AW42" i="79"/>
  <c r="CG42" i="79"/>
  <c r="DQ42" i="79"/>
  <c r="EM13" i="79"/>
  <c r="EE22" i="79"/>
  <c r="EM28" i="79"/>
  <c r="EN28" i="79" s="1"/>
  <c r="EM37" i="79"/>
  <c r="EN37" i="79" s="1"/>
  <c r="G5" i="79"/>
  <c r="CS42" i="79"/>
  <c r="EI5" i="79"/>
  <c r="EE40" i="79"/>
  <c r="EC31" i="79"/>
  <c r="AK42" i="79"/>
  <c r="DE42" i="79"/>
  <c r="EM15" i="79"/>
  <c r="AN42" i="79"/>
  <c r="DH42" i="79"/>
  <c r="EC25" i="79"/>
  <c r="EN31" i="79"/>
  <c r="EN40" i="79"/>
  <c r="EE34" i="79"/>
  <c r="J42" i="79"/>
  <c r="AZ42" i="79"/>
  <c r="CJ42" i="79"/>
  <c r="DT42" i="79"/>
  <c r="EH22" i="79"/>
  <c r="ED27" i="79"/>
  <c r="EE27" i="79" s="1"/>
  <c r="ED36" i="79"/>
  <c r="EE36" i="79" s="1"/>
  <c r="CV42" i="79"/>
  <c r="EN19" i="79"/>
  <c r="EN16" i="79"/>
  <c r="ED26" i="79"/>
  <c r="EE26" i="79" s="1"/>
  <c r="EM27" i="79"/>
  <c r="EN27" i="79" s="1"/>
  <c r="ED28" i="79"/>
  <c r="EE28" i="79"/>
  <c r="EM36" i="79"/>
  <c r="EN36" i="79" s="1"/>
  <c r="ED37" i="79"/>
  <c r="EE37" i="79"/>
  <c r="EE5" i="79"/>
  <c r="G7" i="79" s="1"/>
  <c r="S42" i="79"/>
  <c r="EC11" i="79"/>
  <c r="EC14" i="79"/>
  <c r="EC17" i="79"/>
  <c r="EC26" i="79"/>
  <c r="EC29" i="79"/>
  <c r="EN5" i="79"/>
  <c r="EC39" i="79"/>
  <c r="EI40" i="79"/>
  <c r="EC41" i="79"/>
  <c r="EE11" i="79"/>
  <c r="EM42" i="79" l="1"/>
  <c r="EN4" i="79"/>
  <c r="EH42" i="79"/>
  <c r="EE4" i="79"/>
  <c r="G6" i="79" s="1"/>
  <c r="ED42" i="79"/>
  <c r="I39" i="86" l="1"/>
  <c r="I25" i="86" s="1"/>
  <c r="C20" i="86"/>
  <c r="E14" i="86" s="1"/>
  <c r="I14" i="86" s="1"/>
  <c r="E18" i="86"/>
  <c r="I18" i="86" s="1"/>
  <c r="E16" i="86"/>
  <c r="I16" i="86" s="1"/>
  <c r="I26" i="86" s="1"/>
  <c r="I27" i="86" l="1"/>
  <c r="E12" i="86"/>
  <c r="I12" i="86" l="1"/>
  <c r="E20" i="86"/>
  <c r="I28" i="86" l="1"/>
  <c r="I30" i="86" s="1"/>
  <c r="I20" i="86"/>
  <c r="B47" i="84" l="1"/>
  <c r="C21" i="84"/>
  <c r="B21" i="84"/>
  <c r="B49" i="84"/>
  <c r="B56" i="84" l="1"/>
  <c r="C56" i="84" s="1"/>
  <c r="D26" i="84"/>
  <c r="D36" i="84"/>
  <c r="C37" i="84"/>
  <c r="D12" i="84"/>
  <c r="C47" i="84"/>
  <c r="C9" i="9"/>
  <c r="C49" i="84"/>
  <c r="D33" i="84"/>
  <c r="C28" i="84"/>
  <c r="D15" i="84"/>
  <c r="C17" i="84"/>
  <c r="D14" i="84"/>
  <c r="D25" i="84"/>
  <c r="D35" i="84"/>
  <c r="D11" i="84"/>
  <c r="D20" i="84"/>
  <c r="D21" i="84" s="1"/>
  <c r="D24" i="84"/>
  <c r="D34" i="84"/>
  <c r="D10" i="84"/>
  <c r="B17" i="84"/>
  <c r="B50" i="84"/>
  <c r="C50" i="84" s="1"/>
  <c r="D13" i="84"/>
  <c r="B37" i="84"/>
  <c r="D27" i="84"/>
  <c r="B46" i="84"/>
  <c r="C8" i="9" s="1"/>
  <c r="B51" i="84"/>
  <c r="C51" i="84" s="1"/>
  <c r="B28" i="84"/>
  <c r="D16" i="84"/>
  <c r="B55" i="84"/>
  <c r="B48" i="84"/>
  <c r="D32" i="84"/>
  <c r="C40" i="84" l="1"/>
  <c r="D37" i="84"/>
  <c r="C11" i="9"/>
  <c r="C48" i="84"/>
  <c r="C10" i="9"/>
  <c r="B40" i="84"/>
  <c r="D28" i="84"/>
  <c r="D17" i="84"/>
  <c r="B57" i="84"/>
  <c r="C55" i="84"/>
  <c r="C57" i="84" s="1"/>
  <c r="C46" i="84"/>
  <c r="B52" i="84"/>
  <c r="D40" i="84" l="1"/>
  <c r="C52" i="84"/>
  <c r="M25" i="67" l="1"/>
  <c r="L25" i="67"/>
  <c r="C25" i="67"/>
  <c r="D25" i="67"/>
  <c r="H25" i="67"/>
  <c r="E25" i="67"/>
  <c r="G25" i="67"/>
  <c r="F25" i="67"/>
  <c r="K25" i="67"/>
  <c r="I25" i="67"/>
  <c r="J25" i="67"/>
  <c r="B25" i="67"/>
  <c r="E13" i="32" l="1"/>
  <c r="E10" i="32" l="1"/>
  <c r="E9" i="32"/>
  <c r="E11" i="32"/>
  <c r="E12" i="32"/>
  <c r="P3" i="10" l="1"/>
  <c r="P4" i="10"/>
  <c r="P5" i="10"/>
  <c r="P6" i="10"/>
  <c r="P7" i="10"/>
  <c r="P8" i="10"/>
  <c r="P9" i="10"/>
  <c r="P10" i="10"/>
  <c r="P11" i="10"/>
  <c r="P12" i="10"/>
  <c r="P13" i="10"/>
  <c r="P2" i="10"/>
  <c r="C18" i="2" l="1"/>
  <c r="H31" i="62"/>
  <c r="B13" i="32" l="1"/>
  <c r="B10" i="9" l="1"/>
  <c r="B9" i="9"/>
  <c r="B8" i="9"/>
  <c r="D8" i="9" s="1"/>
  <c r="I25" i="63"/>
  <c r="I26" i="63" s="1"/>
  <c r="J25" i="63"/>
  <c r="J26" i="63" s="1"/>
  <c r="K25" i="63"/>
  <c r="K26" i="63" s="1"/>
  <c r="L25" i="63"/>
  <c r="L26" i="63" s="1"/>
  <c r="M25" i="63"/>
  <c r="M26" i="63" s="1"/>
  <c r="N25" i="63"/>
  <c r="H25" i="63"/>
  <c r="H26" i="63" s="1"/>
  <c r="G8" i="32"/>
  <c r="B12" i="9" l="1"/>
  <c r="D10" i="9"/>
  <c r="D9" i="9"/>
  <c r="D11" i="9"/>
  <c r="B19" i="32"/>
  <c r="B18" i="32"/>
  <c r="B17" i="32"/>
  <c r="B16" i="32"/>
  <c r="B15" i="32"/>
  <c r="B14" i="32"/>
  <c r="B12" i="32"/>
  <c r="B11" i="32"/>
  <c r="B10" i="32"/>
  <c r="B9" i="32"/>
  <c r="B8" i="32"/>
  <c r="N25" i="62" l="1"/>
  <c r="N26" i="62" s="1"/>
  <c r="J25" i="62"/>
  <c r="J26" i="62" s="1"/>
  <c r="K25" i="62"/>
  <c r="K26" i="62" s="1"/>
  <c r="L25" i="62"/>
  <c r="L26" i="62" s="1"/>
  <c r="M25" i="62"/>
  <c r="M26" i="62" s="1"/>
  <c r="I25" i="62"/>
  <c r="I26" i="62" s="1"/>
  <c r="N28" i="63" l="1"/>
  <c r="N28" i="62"/>
  <c r="M29" i="67"/>
  <c r="M28" i="63" l="1"/>
  <c r="M28" i="62"/>
  <c r="L29" i="67"/>
  <c r="L28" i="63" l="1"/>
  <c r="L28" i="62"/>
  <c r="K29" i="67"/>
  <c r="K28" i="63" l="1"/>
  <c r="K28" i="62"/>
  <c r="J29" i="67"/>
  <c r="J28" i="63" l="1"/>
  <c r="J28" i="62"/>
  <c r="I29" i="67"/>
  <c r="I28" i="63" l="1"/>
  <c r="H29" i="67"/>
  <c r="I28" i="62"/>
  <c r="H28" i="63" l="1"/>
  <c r="G29" i="67"/>
  <c r="H28" i="62"/>
  <c r="G28" i="63" l="1"/>
  <c r="F29" i="67"/>
  <c r="G28" i="62"/>
  <c r="F28" i="63" l="1"/>
  <c r="E29" i="67"/>
  <c r="F28" i="62"/>
  <c r="E28" i="63" l="1"/>
  <c r="D29" i="67"/>
  <c r="E28" i="62"/>
  <c r="D28" i="62" l="1"/>
  <c r="D28" i="63"/>
  <c r="C29" i="67"/>
  <c r="C28" i="62" l="1"/>
  <c r="C28" i="63"/>
  <c r="B29" i="67"/>
  <c r="G26" i="67"/>
  <c r="F26" i="67"/>
  <c r="E26" i="67"/>
  <c r="D26" i="67"/>
  <c r="C26" i="67"/>
  <c r="B26" i="67"/>
  <c r="M21" i="67"/>
  <c r="L21" i="67"/>
  <c r="K21" i="67"/>
  <c r="J21" i="67"/>
  <c r="I21" i="67"/>
  <c r="H21" i="67"/>
  <c r="G21" i="67"/>
  <c r="F21" i="67"/>
  <c r="E21" i="67"/>
  <c r="D21" i="67"/>
  <c r="C21" i="67"/>
  <c r="B21" i="67"/>
  <c r="E27" i="67" l="1"/>
  <c r="C9" i="2"/>
  <c r="G27" i="67"/>
  <c r="F27" i="67"/>
  <c r="C27" i="67"/>
  <c r="B27" i="67"/>
  <c r="B30" i="67" s="1"/>
  <c r="B32" i="67" s="1"/>
  <c r="D27" i="67"/>
  <c r="C30" i="67" l="1"/>
  <c r="C32" i="67" s="1"/>
  <c r="D30" i="67" s="1"/>
  <c r="D32" i="67" s="1"/>
  <c r="E30" i="67" s="1"/>
  <c r="E32" i="67" s="1"/>
  <c r="F30" i="67" s="1"/>
  <c r="F32" i="67" s="1"/>
  <c r="G30" i="67" s="1"/>
  <c r="G32" i="67" s="1"/>
  <c r="C12" i="9" l="1"/>
  <c r="G25" i="63" l="1"/>
  <c r="F25" i="63"/>
  <c r="E25" i="63"/>
  <c r="D25" i="63"/>
  <c r="C25" i="63"/>
  <c r="N20" i="63"/>
  <c r="G20" i="63"/>
  <c r="F20" i="63"/>
  <c r="E20" i="63"/>
  <c r="D20" i="63"/>
  <c r="C20" i="63"/>
  <c r="C26" i="63" l="1"/>
  <c r="C29" i="63" s="1"/>
  <c r="C33" i="63" s="1"/>
  <c r="D26" i="63"/>
  <c r="E26" i="63"/>
  <c r="F26" i="63"/>
  <c r="G26" i="63"/>
  <c r="N26" i="63"/>
  <c r="D29" i="63" l="1"/>
  <c r="D33" i="63" s="1"/>
  <c r="E29" i="63" s="1"/>
  <c r="E33" i="63" s="1"/>
  <c r="F29" i="63" s="1"/>
  <c r="F33" i="63" s="1"/>
  <c r="G29" i="63" s="1"/>
  <c r="G33" i="63" s="1"/>
  <c r="H29" i="63" s="1"/>
  <c r="H33" i="63" s="1"/>
  <c r="I29" i="63" s="1"/>
  <c r="I33" i="63" s="1"/>
  <c r="J29" i="63" s="1"/>
  <c r="J33" i="63" s="1"/>
  <c r="K29" i="63" s="1"/>
  <c r="K33" i="63" s="1"/>
  <c r="L29" i="63" s="1"/>
  <c r="L33" i="63" s="1"/>
  <c r="M29" i="63" s="1"/>
  <c r="M33" i="63" s="1"/>
  <c r="N29" i="63" s="1"/>
  <c r="N33" i="63" s="1"/>
  <c r="H25" i="62"/>
  <c r="G25" i="62"/>
  <c r="F25" i="62"/>
  <c r="E25" i="62"/>
  <c r="D25" i="62"/>
  <c r="C25" i="62"/>
  <c r="N20" i="62"/>
  <c r="M20" i="62"/>
  <c r="L20" i="62"/>
  <c r="K20" i="62"/>
  <c r="J20" i="62"/>
  <c r="I20" i="62"/>
  <c r="H20" i="62"/>
  <c r="G20" i="62"/>
  <c r="F20" i="62"/>
  <c r="F26" i="62" s="1"/>
  <c r="E20" i="62"/>
  <c r="E26" i="62" s="1"/>
  <c r="D20" i="62"/>
  <c r="D26" i="62" s="1"/>
  <c r="C20" i="62"/>
  <c r="G26" i="62" l="1"/>
  <c r="H26" i="62"/>
  <c r="C26" i="62"/>
  <c r="B7" i="48" l="1"/>
  <c r="B10" i="48" s="1"/>
  <c r="B17" i="48" l="1"/>
  <c r="G9" i="32" l="1"/>
  <c r="G10" i="32"/>
  <c r="G11" i="32"/>
  <c r="G12" i="32"/>
  <c r="G13" i="32"/>
  <c r="B27" i="32" l="1"/>
  <c r="H13" i="32"/>
  <c r="H11" i="32"/>
  <c r="H9" i="32"/>
  <c r="H8" i="32"/>
  <c r="H12" i="32" l="1"/>
  <c r="H10" i="32"/>
  <c r="D27" i="32" l="1"/>
  <c r="D12" i="9" l="1"/>
  <c r="C14" i="2" s="1"/>
  <c r="G14" i="32" l="1"/>
  <c r="E25" i="32"/>
  <c r="E24" i="32"/>
  <c r="E23" i="32"/>
  <c r="E22" i="32"/>
  <c r="E21" i="32"/>
  <c r="E20" i="32"/>
  <c r="C20" i="32" s="1"/>
  <c r="E19" i="32"/>
  <c r="G19" i="32" s="1"/>
  <c r="H19" i="32" s="1"/>
  <c r="E18" i="32"/>
  <c r="G18" i="32" s="1"/>
  <c r="H18" i="32" s="1"/>
  <c r="E17" i="32"/>
  <c r="G17" i="32" s="1"/>
  <c r="H17" i="32" s="1"/>
  <c r="E16" i="32"/>
  <c r="G16" i="32" s="1"/>
  <c r="H16" i="32" s="1"/>
  <c r="E15" i="32"/>
  <c r="G15" i="32" s="1"/>
  <c r="H15" i="32" s="1"/>
  <c r="G20" i="32" l="1"/>
  <c r="H20" i="32" s="1"/>
  <c r="G21" i="32"/>
  <c r="C21" i="32"/>
  <c r="G22" i="32"/>
  <c r="C22" i="32"/>
  <c r="G23" i="32"/>
  <c r="C23" i="32"/>
  <c r="G24" i="32"/>
  <c r="C24" i="32"/>
  <c r="G25" i="32"/>
  <c r="C25" i="32"/>
  <c r="H14" i="32"/>
  <c r="H25" i="32" l="1"/>
  <c r="H24" i="32"/>
  <c r="H23" i="32"/>
  <c r="H22" i="32"/>
  <c r="H21" i="32"/>
  <c r="C27" i="32"/>
  <c r="G27" i="32"/>
  <c r="H27" i="32" l="1"/>
  <c r="C15" i="2" s="1"/>
  <c r="M26" i="67"/>
  <c r="M27" i="67" s="1"/>
  <c r="I26" i="67"/>
  <c r="I27" i="67" s="1"/>
  <c r="J26" i="67"/>
  <c r="J27" i="67" s="1"/>
  <c r="K26" i="67"/>
  <c r="K27" i="67" s="1"/>
  <c r="L26" i="67"/>
  <c r="L27" i="67" s="1"/>
  <c r="H26" i="67"/>
  <c r="C10" i="2" l="1"/>
  <c r="C13" i="2" s="1"/>
  <c r="H27" i="67"/>
  <c r="H30" i="67" s="1"/>
  <c r="H32" i="67" l="1"/>
  <c r="I30" i="67" s="1"/>
  <c r="I32" i="67" s="1"/>
  <c r="J30" i="67" s="1"/>
  <c r="J32" i="67" s="1"/>
  <c r="K30" i="67" s="1"/>
  <c r="K32" i="67" s="1"/>
  <c r="L30" i="67" s="1"/>
  <c r="L32" i="67" s="1"/>
  <c r="M30" i="67" s="1"/>
  <c r="M32" i="67" s="1"/>
  <c r="C29" i="62" l="1"/>
  <c r="C33" i="62" l="1"/>
  <c r="D29" i="62" s="1"/>
  <c r="D33" i="62" s="1"/>
  <c r="E29" i="62" s="1"/>
  <c r="E33" i="62" s="1"/>
  <c r="F29" i="62" s="1"/>
  <c r="F33" i="62" s="1"/>
  <c r="G29" i="62" s="1"/>
  <c r="G33" i="62" s="1"/>
  <c r="H29" i="62" s="1"/>
  <c r="H33" i="62" s="1"/>
  <c r="I29" i="62" s="1"/>
  <c r="I33" i="62" s="1"/>
  <c r="J29" i="62" s="1"/>
  <c r="J33" i="62" s="1"/>
  <c r="K29" i="62" s="1"/>
  <c r="K33" i="62" s="1"/>
  <c r="L29" i="62" s="1"/>
  <c r="L33" i="62" s="1"/>
  <c r="M29" i="62" s="1"/>
  <c r="M33" i="62" s="1"/>
  <c r="N29" i="62" s="1"/>
  <c r="N33" i="62" s="1"/>
  <c r="C12" i="2" l="1"/>
  <c r="C11" i="2" l="1"/>
  <c r="C17" i="2" s="1"/>
  <c r="C19" i="2" s="1"/>
  <c r="C21" i="2" s="1"/>
</calcChain>
</file>

<file path=xl/sharedStrings.xml><?xml version="1.0" encoding="utf-8"?>
<sst xmlns="http://schemas.openxmlformats.org/spreadsheetml/2006/main" count="3361" uniqueCount="286">
  <si>
    <t>Ameren Missouri</t>
  </si>
  <si>
    <t>RESRAM Monthly Accounting</t>
  </si>
  <si>
    <t>Return on Plant Assets</t>
  </si>
  <si>
    <t>Depreciation Expense</t>
  </si>
  <si>
    <t>Operations and Maintenance Expense</t>
  </si>
  <si>
    <t>Property Taxes</t>
  </si>
  <si>
    <t>ARC Total</t>
  </si>
  <si>
    <t>Monthly Under/(Over) - RCR-ARC</t>
  </si>
  <si>
    <t>Interest %</t>
  </si>
  <si>
    <t>Interest Revenue (Expense)</t>
  </si>
  <si>
    <t>ROUR - Under/(Over) with Interest</t>
  </si>
  <si>
    <t>Rider RESRAM</t>
  </si>
  <si>
    <t>Interest</t>
  </si>
  <si>
    <t>(Over)/Under Recovered Costs</t>
  </si>
  <si>
    <t>Required Offset Amount</t>
  </si>
  <si>
    <t>RESRAM Rate</t>
  </si>
  <si>
    <t>Actual RES Costs (ARC)</t>
  </si>
  <si>
    <t>RESRAM Base Amount (RBA)</t>
  </si>
  <si>
    <t>Monthly Base Amount (MBA)</t>
  </si>
  <si>
    <t>RCR (RES Costs Recovered)</t>
  </si>
  <si>
    <t>REC Costs</t>
  </si>
  <si>
    <t>Solar Rebates</t>
  </si>
  <si>
    <t>Year</t>
  </si>
  <si>
    <t>Month</t>
  </si>
  <si>
    <t>RES</t>
  </si>
  <si>
    <t>COMSGS</t>
  </si>
  <si>
    <t>COMLGS</t>
  </si>
  <si>
    <t>COMSPS</t>
  </si>
  <si>
    <t>COMLPS</t>
  </si>
  <si>
    <t>INDSGS</t>
  </si>
  <si>
    <t>INDLGS</t>
  </si>
  <si>
    <t>INDSPS</t>
  </si>
  <si>
    <t>INDLPS</t>
  </si>
  <si>
    <t>LIGHTING</t>
  </si>
  <si>
    <t>TOTAL Retail</t>
  </si>
  <si>
    <t>Total</t>
  </si>
  <si>
    <t>Total RESRAM Recoveries (TRR)</t>
  </si>
  <si>
    <t>Total (PAR CP)</t>
  </si>
  <si>
    <t>Revolver</t>
  </si>
  <si>
    <t>PAR CP</t>
  </si>
  <si>
    <t>ACCRUED AFTER REPORT PERIOD</t>
  </si>
  <si>
    <t>CP BALANCE</t>
  </si>
  <si>
    <t>TOTAL ST BALANCE</t>
  </si>
  <si>
    <t>MONTHLY SHORT-TERM BORROWING ANALYSIS</t>
  </si>
  <si>
    <t>Amount Outstanding</t>
  </si>
  <si>
    <t>TOTAL FOR MONTH</t>
  </si>
  <si>
    <t>Avg Daily Borrowing</t>
  </si>
  <si>
    <t>ST Balance on GL</t>
  </si>
  <si>
    <t>Weighted Average Rate</t>
  </si>
  <si>
    <t>Peak Borrowing</t>
  </si>
  <si>
    <t>Total Borrowings</t>
  </si>
  <si>
    <t>Total Revolver Borrowings</t>
  </si>
  <si>
    <t>Total Commercial Paper Borrowings</t>
  </si>
  <si>
    <t>PAR AMT USED FOR RATE CALC ONLY</t>
  </si>
  <si>
    <t>Weighted</t>
  </si>
  <si>
    <t>PAR</t>
  </si>
  <si>
    <t>NET</t>
  </si>
  <si>
    <t>CP</t>
  </si>
  <si>
    <t>Regulated Money Pool</t>
  </si>
  <si>
    <t>Non-Regulated Money Pool</t>
  </si>
  <si>
    <t>AMC Direct Loan</t>
  </si>
  <si>
    <t>AMC Subordinated Loan</t>
  </si>
  <si>
    <t>AMC Direct Loan (Notes Backed)</t>
  </si>
  <si>
    <t>Revolver Loan 1</t>
  </si>
  <si>
    <t>Revolver Loan 2</t>
  </si>
  <si>
    <t>Revolver Loan 3</t>
  </si>
  <si>
    <t>Revolver Loan 4</t>
  </si>
  <si>
    <t>Revolver Loan 5 (ABR 365)</t>
  </si>
  <si>
    <t>Revolver Loan 6 (ABR 365)</t>
  </si>
  <si>
    <t>Commercial Paper 1</t>
  </si>
  <si>
    <t>Commercial Paper 2</t>
  </si>
  <si>
    <t>Commercial Paper 3</t>
  </si>
  <si>
    <t>Commercial Paper 4</t>
  </si>
  <si>
    <t>Commercial Paper 5</t>
  </si>
  <si>
    <t>Commercial Paper 6</t>
  </si>
  <si>
    <t>Commercial Paper 7</t>
  </si>
  <si>
    <t>Commercial Paper 8</t>
  </si>
  <si>
    <t>Commercial Paper 9</t>
  </si>
  <si>
    <t>Commercial Paper 10</t>
  </si>
  <si>
    <t>Commercial Paper 11</t>
  </si>
  <si>
    <t>Commercial Paper 12</t>
  </si>
  <si>
    <t>Commercial Paper 13</t>
  </si>
  <si>
    <t>Commercial Paper 14</t>
  </si>
  <si>
    <t>Commercial Paper 15</t>
  </si>
  <si>
    <t>Commercial Paper 16</t>
  </si>
  <si>
    <t>Commercial Paper 17</t>
  </si>
  <si>
    <t>Commercial Paper 18</t>
  </si>
  <si>
    <t>Commercial Paper 19</t>
  </si>
  <si>
    <t>Commercial Paper 20</t>
  </si>
  <si>
    <t>Commercial Paper 21</t>
  </si>
  <si>
    <t>Commercial Paper 22</t>
  </si>
  <si>
    <t>Commercial Paper 23</t>
  </si>
  <si>
    <t>Commercial Paper 24</t>
  </si>
  <si>
    <t>Commercial Paper 25</t>
  </si>
  <si>
    <t>Commercial Paper 26</t>
  </si>
  <si>
    <t>Commercial Paper 27</t>
  </si>
  <si>
    <t>Commercial Paper 28</t>
  </si>
  <si>
    <t>Commercial Paper 29</t>
  </si>
  <si>
    <t>Commercial Paper 30</t>
  </si>
  <si>
    <t>Future Use 1 - Term Loan</t>
  </si>
  <si>
    <t>TOTAL NET CP PROCEEDS</t>
  </si>
  <si>
    <t>(PAR CP)</t>
  </si>
  <si>
    <t>(NET CP)</t>
  </si>
  <si>
    <t>Daily</t>
  </si>
  <si>
    <t>Average</t>
  </si>
  <si>
    <t>Revolvers</t>
  </si>
  <si>
    <t>Date</t>
  </si>
  <si>
    <t>Amount</t>
  </si>
  <si>
    <t>Rate</t>
  </si>
  <si>
    <t>Outstanding</t>
  </si>
  <si>
    <t>Projected RESRAM Billed kWh</t>
  </si>
  <si>
    <t>Calculated Projected RESRAM Revenues</t>
  </si>
  <si>
    <t>Revenue Authorized for Collection</t>
  </si>
  <si>
    <t>True-Up Calculation</t>
  </si>
  <si>
    <t>Annual Total</t>
  </si>
  <si>
    <t>(Over)/Under Difference between Billed/Authorized and Projected</t>
  </si>
  <si>
    <t>ROUR+True-Up Amortization</t>
  </si>
  <si>
    <t>Interconnection Expenses</t>
  </si>
  <si>
    <t>Billed RESRAM ROUR &amp; True-Up Revenues</t>
  </si>
  <si>
    <t>Final ROUR &amp; True-Up RESRAM Rate</t>
  </si>
  <si>
    <t>Capital Investments</t>
  </si>
  <si>
    <t>PLANT IN-SERVICE ACCOUNTING</t>
  </si>
  <si>
    <t>Electric plant placed in-service</t>
  </si>
  <si>
    <t>Less: New Business</t>
  </si>
  <si>
    <t>Total qualifying electric plant</t>
  </si>
  <si>
    <t>Less: Assets depreciated to clearing accounts</t>
  </si>
  <si>
    <t>Less:  Retirements of plant related to in-service additions</t>
  </si>
  <si>
    <t>Total Plant for Deferred Depreciation</t>
  </si>
  <si>
    <t>Incremental rate base</t>
  </si>
  <si>
    <t>Total qualifying electric plant (from above)</t>
  </si>
  <si>
    <t>Less: Change in accumulated depreciation</t>
  </si>
  <si>
    <t>Less: Marginal increase in ADIT</t>
  </si>
  <si>
    <t>Qualifying electric plant rate base for cost of capital return</t>
  </si>
  <si>
    <t xml:space="preserve">            1 - Tax Rate</t>
  </si>
  <si>
    <t>(1) Tax Rate</t>
  </si>
  <si>
    <t>Weighted Cost of Debt</t>
  </si>
  <si>
    <t>Tax weighted Cost of Equity (Including Preferred Stock)</t>
  </si>
  <si>
    <t>Tax Multiplier (1/1-tax rate) (1)</t>
  </si>
  <si>
    <t>Tax Weighted Rate of Return</t>
  </si>
  <si>
    <t>TOTAL</t>
  </si>
  <si>
    <t>Common Equity</t>
  </si>
  <si>
    <t>Preferred Stock</t>
  </si>
  <si>
    <t>Short Term Debt</t>
  </si>
  <si>
    <t>Long Term Debt</t>
  </si>
  <si>
    <t>Cost</t>
  </si>
  <si>
    <t>Each Type</t>
  </si>
  <si>
    <t>of Total</t>
  </si>
  <si>
    <t>Type of Capital</t>
  </si>
  <si>
    <t xml:space="preserve">Cost of </t>
  </si>
  <si>
    <t>Proportion</t>
  </si>
  <si>
    <t>Pro Forma</t>
  </si>
  <si>
    <t>input 08/02/05</t>
  </si>
  <si>
    <t>CONFIDENTIAL</t>
  </si>
  <si>
    <t>PRO FORMA</t>
  </si>
  <si>
    <t>COST OF CAPITAL SUMMARY</t>
  </si>
  <si>
    <t>AMEREN MISSOURI</t>
  </si>
  <si>
    <t>RESRAM-eligible capital investments</t>
  </si>
  <si>
    <t>Qualifying electric plant</t>
  </si>
  <si>
    <t>Cumulative Depreciation</t>
  </si>
  <si>
    <t>OSSR</t>
  </si>
  <si>
    <t>4074RR</t>
  </si>
  <si>
    <t>MBA pieces</t>
  </si>
  <si>
    <t>Monthly Total</t>
  </si>
  <si>
    <t>Under-recovery</t>
  </si>
  <si>
    <t>Under FSLI</t>
  </si>
  <si>
    <t>Over-recovery</t>
  </si>
  <si>
    <t>Over FSLI</t>
  </si>
  <si>
    <t>4074RM</t>
  </si>
  <si>
    <t>Purchased Power</t>
  </si>
  <si>
    <t>4073RV</t>
  </si>
  <si>
    <t>Other Misc Electric Revenues</t>
  </si>
  <si>
    <t>O&amp;M Expense</t>
  </si>
  <si>
    <t>Other Interchange and Wholesale Billed Revenue</t>
  </si>
  <si>
    <t>Return on Plant</t>
  </si>
  <si>
    <t>Return-Debt</t>
  </si>
  <si>
    <t>431RRM</t>
  </si>
  <si>
    <t>Interest Charges</t>
  </si>
  <si>
    <t>Return-Equity</t>
  </si>
  <si>
    <t>Remaining Plant</t>
  </si>
  <si>
    <t>4074RE</t>
  </si>
  <si>
    <t>Depreciation &amp; Amortization</t>
  </si>
  <si>
    <t xml:space="preserve">        Total Current Income Tax</t>
  </si>
  <si>
    <t xml:space="preserve">        Divide by Net Taxable Income</t>
  </si>
  <si>
    <t>÷</t>
  </si>
  <si>
    <t xml:space="preserve">            Tax Rate</t>
  </si>
  <si>
    <t>ER-2022-0337</t>
  </si>
  <si>
    <t>Renewable Energy Standard Rate Adjustment Mechanism Base Cost (RESRAM)</t>
  </si>
  <si>
    <t>Difference</t>
  </si>
  <si>
    <t>Costs &amp; Expenses</t>
  </si>
  <si>
    <t xml:space="preserve">  Plant Related Costs</t>
  </si>
  <si>
    <t xml:space="preserve">     Depreciation High Prairie &amp; Atchison - Acct 403</t>
  </si>
  <si>
    <t xml:space="preserve">     Property Taxes - Acct 408</t>
  </si>
  <si>
    <t xml:space="preserve">     Non-Labor O&amp;M High Prairie - Acct 546-554</t>
  </si>
  <si>
    <t xml:space="preserve">     Non-Labor O&amp;M Atchison - Acct 546-554</t>
  </si>
  <si>
    <t xml:space="preserve">     Property Insurance - Acct 924</t>
  </si>
  <si>
    <t xml:space="preserve">     Return on Plant</t>
  </si>
  <si>
    <t xml:space="preserve">  Total Plant Related Costs</t>
  </si>
  <si>
    <t xml:space="preserve">  Transmission Related Costs</t>
  </si>
  <si>
    <t xml:space="preserve">     FSA Agreements - Acct 565</t>
  </si>
  <si>
    <t xml:space="preserve">  Total Transmission Related Costs</t>
  </si>
  <si>
    <t xml:space="preserve">  Other Costs</t>
  </si>
  <si>
    <t xml:space="preserve">     REC Costs Acct 509/557</t>
  </si>
  <si>
    <t xml:space="preserve">     Ancillary Expenses Acct 555</t>
  </si>
  <si>
    <t xml:space="preserve">     MISO &amp; SPP Day 2 Expenses - Acct 555</t>
  </si>
  <si>
    <t xml:space="preserve">     Solar Rebates - Acct 908</t>
  </si>
  <si>
    <t xml:space="preserve">  Total Other Costs</t>
  </si>
  <si>
    <t>Revenues &amp; Credits</t>
  </si>
  <si>
    <t xml:space="preserve">     Production Tax Credits - Acct 409</t>
  </si>
  <si>
    <t xml:space="preserve">     Off System Energy Sales - Acct 447</t>
  </si>
  <si>
    <t xml:space="preserve">     Capacity Sales - Acct 447</t>
  </si>
  <si>
    <t xml:space="preserve">     Ancillary Services Revenue - Acct 447</t>
  </si>
  <si>
    <t xml:space="preserve">     MISO &amp; SPP Day 2 Revenue - Acct 447</t>
  </si>
  <si>
    <t>Total Revenues &amp; Credits</t>
  </si>
  <si>
    <t>Net Base RESRAM Costs</t>
  </si>
  <si>
    <t>Allocations for RESRAM entry</t>
  </si>
  <si>
    <t>4074RO</t>
  </si>
  <si>
    <t>4073RO</t>
  </si>
  <si>
    <t>182RQx</t>
  </si>
  <si>
    <t>Regulatory Asset</t>
  </si>
  <si>
    <t>254RQ4</t>
  </si>
  <si>
    <t>Regulatory Liability</t>
  </si>
  <si>
    <t>Calculated RRR</t>
  </si>
  <si>
    <t>Annual ARC Total</t>
  </si>
  <si>
    <t>Total KWh</t>
  </si>
  <si>
    <t>RES Over/Under Recovery (ROUR)</t>
  </si>
  <si>
    <t>RES Revenue Requirement (RRR)</t>
  </si>
  <si>
    <t>True-Up (T)</t>
  </si>
  <si>
    <t>Ordered Adjustment (OA)</t>
  </si>
  <si>
    <t>Wind REC Costs - 509RWD/557RWD</t>
  </si>
  <si>
    <t>Solar REC Costs - 509RCS/557RCS</t>
  </si>
  <si>
    <t>Biomass REC Costs - 509RBM/557RBM</t>
  </si>
  <si>
    <t>Hydro REC Costs - 509RH2/557RH2</t>
  </si>
  <si>
    <t>Non Customer Solar REC Costs - 509RPS/557RPS</t>
  </si>
  <si>
    <t>Solar Rebate Processing Costs - 509SRP/557SRP</t>
  </si>
  <si>
    <t>Rider SR Solar Rebates - 908SR2</t>
  </si>
  <si>
    <t>Production Tax Credit Benefit - 409 - 411</t>
  </si>
  <si>
    <t>Net OSSR/Purchased Power portion - 447 &amp; 555</t>
  </si>
  <si>
    <t>Actual RES Costs Incurred in Accumulation Period (ARC)</t>
  </si>
  <si>
    <t>RES Expenses Recovered in Accumulation Period (RCR)</t>
  </si>
  <si>
    <t>From US Bank Monthly Accrued Interest Report</t>
  </si>
  <si>
    <t>Negative Number</t>
  </si>
  <si>
    <t>Accumulation Period 6</t>
  </si>
  <si>
    <t>TRR Rate</t>
  </si>
  <si>
    <t>Accumulation Period 7</t>
  </si>
  <si>
    <t>Wind REC Costs - 509RWD/5553RW/557RWD</t>
  </si>
  <si>
    <t>Solar REC Costs - 509RCS/5553RC/557RCS</t>
  </si>
  <si>
    <t>Biomass REC Costs - 509RBM/5553RB/557RBM</t>
  </si>
  <si>
    <t>Hydro REC Costs - 509RH2/5553RH/557RH2</t>
  </si>
  <si>
    <t>Non Customer Solar REC Costs - 509RPS/5553RP/557RPS</t>
  </si>
  <si>
    <t>ER-2024-0319</t>
  </si>
  <si>
    <t>12 Months Ended March 31, 2024 With True-Up Through December 31, 2024 Compared to ER-2022-0337</t>
  </si>
  <si>
    <t xml:space="preserve">     Non-Labor O&amp;M Huck Finn - Acct 546-554</t>
  </si>
  <si>
    <t>ER-2022-0377</t>
  </si>
  <si>
    <t>Depreciation for Plant Additions In-Service as of 12/31/2024</t>
  </si>
  <si>
    <t>Weighted Cost of Equity and Preferred Stock</t>
  </si>
  <si>
    <r>
      <t>Estimated Recovery Period Sales (kWh) (S</t>
    </r>
    <r>
      <rPr>
        <vertAlign val="subscript"/>
        <sz val="11"/>
        <color theme="1"/>
        <rFont val="Calibri"/>
        <family val="2"/>
        <scheme val="minor"/>
      </rPr>
      <t>RP</t>
    </r>
    <r>
      <rPr>
        <sz val="11"/>
        <color theme="1"/>
        <rFont val="Calibri"/>
        <family val="2"/>
        <scheme val="minor"/>
      </rPr>
      <t>)</t>
    </r>
  </si>
  <si>
    <r>
      <t>Net base RESRAM Costs</t>
    </r>
    <r>
      <rPr>
        <vertAlign val="superscript"/>
        <sz val="11"/>
        <color theme="1"/>
        <rFont val="Calibri"/>
        <family val="2"/>
        <scheme val="minor"/>
      </rPr>
      <t>1</t>
    </r>
  </si>
  <si>
    <r>
      <rPr>
        <vertAlign val="superscript"/>
        <sz val="11"/>
        <rFont val="Calibri"/>
        <family val="2"/>
        <scheme val="minor"/>
      </rPr>
      <t xml:space="preserve">1 </t>
    </r>
    <r>
      <rPr>
        <sz val="11"/>
        <rFont val="Calibri"/>
        <family val="2"/>
        <scheme val="minor"/>
      </rPr>
      <t>Taken from the "ER-2024-0319" tab detailing the RESRAM Base Amount/MBA.</t>
    </r>
  </si>
  <si>
    <t>JULY 2026</t>
  </si>
  <si>
    <t>JUNE 2026</t>
  </si>
  <si>
    <t>MAY 2026</t>
  </si>
  <si>
    <t>APRIL 2026</t>
  </si>
  <si>
    <t>MARCH 2026</t>
  </si>
  <si>
    <t>FEBRUARY 2026</t>
  </si>
  <si>
    <t>JANUARY 2026</t>
  </si>
  <si>
    <t>DECEMBER 2025</t>
  </si>
  <si>
    <t>NOVEMBER 2025</t>
  </si>
  <si>
    <t>OCTOBER 2025</t>
  </si>
  <si>
    <t>SEPTEMBER 2025</t>
  </si>
  <si>
    <t>AUG 2025</t>
  </si>
  <si>
    <t>Reclass AP6 to AP7</t>
  </si>
  <si>
    <t>Accumulation Period 8</t>
  </si>
  <si>
    <t>Wind REC Costs - 5553RW/557RWD</t>
  </si>
  <si>
    <t>Solar REC Costs - 5553RC/557RCS</t>
  </si>
  <si>
    <t>Biomass REC Costs - 5553RB/557RBM</t>
  </si>
  <si>
    <t>Hydro REC Costs - 5553RH/557RH2</t>
  </si>
  <si>
    <t>Non Customer Solar REC Costs - 5553RP/557RPS</t>
  </si>
  <si>
    <t>Solar Rebate Processing Costs - 557SRP</t>
  </si>
  <si>
    <t>Other Misc Revenues - 456001</t>
  </si>
  <si>
    <t>RESRAM Revenue Requirement (RRR) for Recovery Period 8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</si>
  <si>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This rate is calculated by taking Factors ROUR and T divided by Factor S</t>
    </r>
    <r>
      <rPr>
        <vertAlign val="subscript"/>
        <sz val="11"/>
        <color theme="1"/>
        <rFont val="Calibri"/>
        <family val="2"/>
        <scheme val="minor"/>
      </rPr>
      <t>RP</t>
    </r>
    <r>
      <rPr>
        <sz val="11"/>
        <color theme="1"/>
        <rFont val="Calibri"/>
        <family val="2"/>
        <scheme val="minor"/>
      </rPr>
      <t xml:space="preserve"> from the AP 6 filing 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</si>
  <si>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This rate is calculated by taking Factors ROUR and T divided by Factor S</t>
    </r>
    <r>
      <rPr>
        <vertAlign val="subscript"/>
        <sz val="11"/>
        <color theme="1"/>
        <rFont val="Calibri"/>
        <family val="2"/>
        <scheme val="minor"/>
      </rPr>
      <t>RP</t>
    </r>
    <r>
      <rPr>
        <sz val="11"/>
        <color theme="1"/>
        <rFont val="Calibri"/>
        <family val="2"/>
        <scheme val="minor"/>
      </rPr>
      <t xml:space="preserve"> from the AP 7 filing </t>
    </r>
  </si>
  <si>
    <t>Rate Calcuation for Recovery Period 8</t>
  </si>
  <si>
    <t>August 2025 - July 2026</t>
  </si>
  <si>
    <t>RRR for RP 8</t>
  </si>
  <si>
    <t>LLT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</si>
</sst>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\-yyyy"/>
    <numFmt numFmtId="165" formatCode="[$-409]mmm\-yy;@"/>
    <numFmt numFmtId="166" formatCode="0.0000%"/>
    <numFmt numFmtId="167" formatCode="_(* #,##0_);_(* \(#,##0\);_(* &quot;-&quot;??_);_(@_)"/>
    <numFmt numFmtId="168" formatCode="#,##0;\-#,##0"/>
    <numFmt numFmtId="169" formatCode="_(* #,##0.00000_);_(* \(#,##0.00000\);_(* &quot;-&quot;??_);_(@_)"/>
    <numFmt numFmtId="170" formatCode="&quot;$&quot;#,##0"/>
    <numFmt numFmtId="171" formatCode="0.000000%"/>
    <numFmt numFmtId="172" formatCode="[$-409]mmmm\ yyyy;@"/>
    <numFmt numFmtId="173" formatCode="_(&quot;$&quot;* #,##0_);_(&quot;$&quot;* \(#,##0\);_(&quot;$&quot;* &quot;-&quot;??_);_(@_)"/>
    <numFmt numFmtId="174" formatCode="_(&quot;$&quot;* #,##0.00000_);_(&quot;$&quot;* \(#,##0.00000\);_(&quot;$&quot;* &quot;-&quot;??_);_(@_)"/>
    <numFmt numFmtId="175" formatCode="0.000%"/>
    <numFmt numFmtId="176" formatCode="mm/dd/yy"/>
    <numFmt numFmtId="177" formatCode="0_);[Red]\(0\)"/>
    <numFmt numFmtId="178" formatCode="_(* #,##0.0000_);_(* \(#,##0.0000\);_(* &quot;-&quot;??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8"/>
      <name val="Trebuchet MS"/>
      <family val="2"/>
    </font>
    <font>
      <sz val="11"/>
      <name val="Calibri"/>
      <family val="2"/>
    </font>
    <font>
      <sz val="10"/>
      <name val="Arial"/>
      <family val="2"/>
    </font>
    <font>
      <i/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</font>
    <font>
      <sz val="11"/>
      <color rgb="FF0000FF"/>
      <name val="Calibri"/>
      <family val="2"/>
      <scheme val="minor"/>
    </font>
    <font>
      <sz val="11"/>
      <color rgb="FF3333FF"/>
      <name val="Calibri"/>
      <family val="2"/>
      <scheme val="minor"/>
    </font>
    <font>
      <vertAlign val="superscript"/>
      <sz val="11"/>
      <name val="Calibri"/>
      <family val="2"/>
      <scheme val="minor"/>
    </font>
    <font>
      <i/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b/>
      <i/>
      <u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name val="Calibri"/>
      <family val="2"/>
    </font>
    <font>
      <b/>
      <i/>
      <u/>
      <sz val="11"/>
      <name val="Calibri"/>
      <family val="2"/>
    </font>
    <font>
      <sz val="11"/>
      <color indexed="9"/>
      <name val="Calibri"/>
      <family val="2"/>
    </font>
    <font>
      <b/>
      <u/>
      <sz val="11"/>
      <name val="Calibri"/>
      <family val="2"/>
    </font>
    <font>
      <sz val="11"/>
      <color rgb="FF0000FF"/>
      <name val="Calibri"/>
      <family val="2"/>
    </font>
    <font>
      <sz val="11"/>
      <color indexed="12"/>
      <name val="Calibri"/>
      <family val="2"/>
    </font>
    <font>
      <b/>
      <sz val="11"/>
      <color rgb="FFFF0000"/>
      <name val="Calibri"/>
      <family val="2"/>
    </font>
    <font>
      <b/>
      <u/>
      <sz val="11"/>
      <color theme="1"/>
      <name val="Calibri"/>
      <family val="2"/>
    </font>
    <font>
      <u/>
      <sz val="11"/>
      <color theme="1"/>
      <name val="Calibri"/>
      <family val="2"/>
    </font>
    <font>
      <u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0" fillId="0" borderId="0"/>
    <xf numFmtId="0" fontId="2" fillId="0" borderId="0"/>
    <xf numFmtId="0" fontId="13" fillId="0" borderId="0"/>
    <xf numFmtId="0" fontId="15" fillId="0" borderId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</cellStyleXfs>
  <cellXfs count="256">
    <xf numFmtId="0" fontId="0" fillId="0" borderId="0" xfId="0"/>
    <xf numFmtId="0" fontId="3" fillId="0" borderId="0" xfId="4" applyFont="1" applyAlignment="1">
      <alignment horizontal="center" wrapText="1"/>
    </xf>
    <xf numFmtId="0" fontId="3" fillId="0" borderId="0" xfId="4" applyFont="1" applyAlignment="1">
      <alignment wrapText="1"/>
    </xf>
    <xf numFmtId="0" fontId="0" fillId="0" borderId="0" xfId="0" applyAlignment="1">
      <alignment horizontal="left" indent="2"/>
    </xf>
    <xf numFmtId="0" fontId="3" fillId="2" borderId="1" xfId="4" applyFont="1" applyFill="1" applyBorder="1" applyAlignment="1">
      <alignment wrapText="1"/>
    </xf>
    <xf numFmtId="166" fontId="0" fillId="0" borderId="3" xfId="3" applyNumberFormat="1" applyFont="1" applyFill="1" applyBorder="1"/>
    <xf numFmtId="0" fontId="3" fillId="0" borderId="0" xfId="4" applyFont="1" applyAlignment="1">
      <alignment horizontal="left" wrapText="1" indent="2"/>
    </xf>
    <xf numFmtId="0" fontId="5" fillId="0" borderId="0" xfId="0" applyFont="1"/>
    <xf numFmtId="0" fontId="7" fillId="0" borderId="0" xfId="0" applyFont="1" applyAlignment="1">
      <alignment horizontal="right"/>
    </xf>
    <xf numFmtId="0" fontId="4" fillId="0" borderId="9" xfId="4" applyFont="1" applyBorder="1"/>
    <xf numFmtId="43" fontId="1" fillId="0" borderId="0" xfId="5" applyFont="1" applyBorder="1"/>
    <xf numFmtId="43" fontId="0" fillId="0" borderId="9" xfId="0" applyNumberFormat="1" applyBorder="1"/>
    <xf numFmtId="43" fontId="4" fillId="0" borderId="9" xfId="1" applyFont="1" applyBorder="1"/>
    <xf numFmtId="166" fontId="0" fillId="0" borderId="12" xfId="3" applyNumberFormat="1" applyFont="1" applyFill="1" applyBorder="1"/>
    <xf numFmtId="166" fontId="0" fillId="0" borderId="0" xfId="0" applyNumberFormat="1"/>
    <xf numFmtId="43" fontId="0" fillId="0" borderId="0" xfId="1" applyFont="1"/>
    <xf numFmtId="173" fontId="0" fillId="0" borderId="0" xfId="2" applyNumberFormat="1" applyFont="1" applyFill="1"/>
    <xf numFmtId="173" fontId="1" fillId="0" borderId="0" xfId="2" quotePrefix="1" applyNumberFormat="1" applyFont="1" applyFill="1" applyBorder="1"/>
    <xf numFmtId="173" fontId="0" fillId="0" borderId="0" xfId="2" applyNumberFormat="1" applyFont="1" applyBorder="1"/>
    <xf numFmtId="173" fontId="1" fillId="2" borderId="1" xfId="2" applyNumberFormat="1" applyFont="1" applyFill="1" applyBorder="1"/>
    <xf numFmtId="167" fontId="0" fillId="0" borderId="0" xfId="1" applyNumberFormat="1" applyFont="1" applyBorder="1"/>
    <xf numFmtId="167" fontId="0" fillId="0" borderId="9" xfId="1" applyNumberFormat="1" applyFont="1" applyBorder="1"/>
    <xf numFmtId="167" fontId="0" fillId="0" borderId="0" xfId="0" applyNumberFormat="1"/>
    <xf numFmtId="173" fontId="0" fillId="0" borderId="9" xfId="2" applyNumberFormat="1" applyFont="1" applyBorder="1"/>
    <xf numFmtId="173" fontId="0" fillId="0" borderId="0" xfId="2" applyNumberFormat="1" applyFont="1" applyFill="1" applyBorder="1"/>
    <xf numFmtId="173" fontId="4" fillId="0" borderId="9" xfId="4" applyNumberFormat="1" applyFont="1" applyBorder="1"/>
    <xf numFmtId="173" fontId="1" fillId="0" borderId="0" xfId="5" quotePrefix="1" applyNumberFormat="1" applyFont="1" applyBorder="1"/>
    <xf numFmtId="173" fontId="1" fillId="0" borderId="9" xfId="2" quotePrefix="1" applyNumberFormat="1" applyFont="1" applyBorder="1"/>
    <xf numFmtId="173" fontId="1" fillId="2" borderId="11" xfId="2" applyNumberFormat="1" applyFont="1" applyFill="1" applyBorder="1"/>
    <xf numFmtId="173" fontId="0" fillId="0" borderId="0" xfId="0" applyNumberFormat="1"/>
    <xf numFmtId="0" fontId="11" fillId="0" borderId="0" xfId="0" applyFont="1"/>
    <xf numFmtId="169" fontId="0" fillId="0" borderId="0" xfId="1" applyNumberFormat="1" applyFont="1"/>
    <xf numFmtId="0" fontId="14" fillId="0" borderId="0" xfId="0" applyFont="1"/>
    <xf numFmtId="0" fontId="3" fillId="0" borderId="2" xfId="4" applyFont="1" applyBorder="1" applyAlignment="1">
      <alignment horizontal="left" wrapText="1" indent="2"/>
    </xf>
    <xf numFmtId="44" fontId="0" fillId="0" borderId="0" xfId="0" applyNumberFormat="1"/>
    <xf numFmtId="0" fontId="7" fillId="0" borderId="0" xfId="0" applyFont="1" applyAlignment="1">
      <alignment horizontal="left"/>
    </xf>
    <xf numFmtId="169" fontId="0" fillId="0" borderId="0" xfId="1" applyNumberFormat="1" applyFont="1" applyFill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8" fillId="0" borderId="0" xfId="0" applyFont="1"/>
    <xf numFmtId="0" fontId="17" fillId="0" borderId="2" xfId="4" applyFont="1" applyBorder="1" applyAlignment="1">
      <alignment horizontal="center"/>
    </xf>
    <xf numFmtId="167" fontId="0" fillId="0" borderId="0" xfId="1" applyNumberFormat="1" applyFont="1"/>
    <xf numFmtId="0" fontId="19" fillId="0" borderId="0" xfId="0" applyFont="1"/>
    <xf numFmtId="44" fontId="0" fillId="0" borderId="0" xfId="2" applyFont="1"/>
    <xf numFmtId="43" fontId="1" fillId="0" borderId="10" xfId="5" applyFont="1" applyBorder="1"/>
    <xf numFmtId="173" fontId="0" fillId="0" borderId="10" xfId="2" applyNumberFormat="1" applyFont="1" applyBorder="1"/>
    <xf numFmtId="173" fontId="0" fillId="0" borderId="10" xfId="2" applyNumberFormat="1" applyFont="1" applyFill="1" applyBorder="1"/>
    <xf numFmtId="43" fontId="0" fillId="0" borderId="10" xfId="0" applyNumberFormat="1" applyBorder="1"/>
    <xf numFmtId="173" fontId="1" fillId="0" borderId="10" xfId="5" quotePrefix="1" applyNumberFormat="1" applyFont="1" applyBorder="1"/>
    <xf numFmtId="173" fontId="1" fillId="0" borderId="10" xfId="2" quotePrefix="1" applyNumberFormat="1" applyFont="1" applyFill="1" applyBorder="1"/>
    <xf numFmtId="173" fontId="0" fillId="0" borderId="29" xfId="2" applyNumberFormat="1" applyFont="1" applyBorder="1"/>
    <xf numFmtId="173" fontId="1" fillId="2" borderId="28" xfId="2" applyNumberFormat="1" applyFont="1" applyFill="1" applyBorder="1"/>
    <xf numFmtId="166" fontId="0" fillId="0" borderId="30" xfId="3" applyNumberFormat="1" applyFont="1" applyFill="1" applyBorder="1"/>
    <xf numFmtId="178" fontId="0" fillId="0" borderId="0" xfId="0" applyNumberFormat="1"/>
    <xf numFmtId="0" fontId="4" fillId="0" borderId="0" xfId="0" applyFont="1"/>
    <xf numFmtId="167" fontId="0" fillId="0" borderId="10" xfId="1" applyNumberFormat="1" applyFont="1" applyBorder="1"/>
    <xf numFmtId="43" fontId="0" fillId="0" borderId="0" xfId="0" applyNumberFormat="1"/>
    <xf numFmtId="0" fontId="1" fillId="0" borderId="0" xfId="20"/>
    <xf numFmtId="44" fontId="1" fillId="0" borderId="0" xfId="20" applyNumberFormat="1"/>
    <xf numFmtId="0" fontId="17" fillId="0" borderId="0" xfId="4" applyFont="1" applyAlignment="1">
      <alignment horizontal="center"/>
    </xf>
    <xf numFmtId="0" fontId="2" fillId="0" borderId="0" xfId="10"/>
    <xf numFmtId="43" fontId="4" fillId="0" borderId="0" xfId="0" applyNumberFormat="1" applyFont="1"/>
    <xf numFmtId="0" fontId="20" fillId="0" borderId="0" xfId="10" applyFont="1"/>
    <xf numFmtId="44" fontId="0" fillId="0" borderId="0" xfId="2" applyFont="1" applyFill="1"/>
    <xf numFmtId="0" fontId="4" fillId="0" borderId="0" xfId="0" applyFont="1" applyAlignment="1">
      <alignment horizontal="left"/>
    </xf>
    <xf numFmtId="167" fontId="14" fillId="0" borderId="0" xfId="1" applyNumberFormat="1" applyFont="1" applyFill="1"/>
    <xf numFmtId="165" fontId="3" fillId="0" borderId="9" xfId="4" quotePrefix="1" applyNumberFormat="1" applyFont="1" applyBorder="1" applyAlignment="1">
      <alignment horizontal="center"/>
    </xf>
    <xf numFmtId="165" fontId="3" fillId="0" borderId="0" xfId="4" quotePrefix="1" applyNumberFormat="1" applyFont="1" applyAlignment="1">
      <alignment horizontal="center"/>
    </xf>
    <xf numFmtId="165" fontId="3" fillId="0" borderId="10" xfId="4" quotePrefix="1" applyNumberFormat="1" applyFont="1" applyBorder="1" applyAlignment="1">
      <alignment horizontal="center"/>
    </xf>
    <xf numFmtId="173" fontId="0" fillId="0" borderId="9" xfId="2" applyNumberFormat="1" applyFont="1" applyFill="1" applyBorder="1"/>
    <xf numFmtId="165" fontId="3" fillId="0" borderId="13" xfId="4" quotePrefix="1" applyNumberFormat="1" applyFont="1" applyBorder="1" applyAlignment="1">
      <alignment horizontal="center"/>
    </xf>
    <xf numFmtId="173" fontId="1" fillId="0" borderId="11" xfId="2" applyNumberFormat="1" applyFont="1" applyBorder="1"/>
    <xf numFmtId="173" fontId="1" fillId="0" borderId="1" xfId="2" applyNumberFormat="1" applyFont="1" applyBorder="1"/>
    <xf numFmtId="173" fontId="1" fillId="0" borderId="28" xfId="2" applyNumberFormat="1" applyFont="1" applyBorder="1"/>
    <xf numFmtId="0" fontId="1" fillId="0" borderId="0" xfId="0" applyFont="1"/>
    <xf numFmtId="0" fontId="1" fillId="0" borderId="0" xfId="0" applyFont="1" applyAlignment="1">
      <alignment horizontal="left" indent="2"/>
    </xf>
    <xf numFmtId="173" fontId="1" fillId="0" borderId="0" xfId="2" applyNumberFormat="1" applyFont="1" applyBorder="1"/>
    <xf numFmtId="173" fontId="1" fillId="0" borderId="29" xfId="2" applyNumberFormat="1" applyFont="1" applyBorder="1"/>
    <xf numFmtId="166" fontId="1" fillId="0" borderId="12" xfId="3" applyNumberFormat="1" applyFont="1" applyFill="1" applyBorder="1"/>
    <xf numFmtId="166" fontId="1" fillId="0" borderId="3" xfId="3" applyNumberFormat="1" applyFont="1" applyFill="1" applyBorder="1"/>
    <xf numFmtId="166" fontId="1" fillId="0" borderId="30" xfId="3" applyNumberFormat="1" applyFont="1" applyFill="1" applyBorder="1"/>
    <xf numFmtId="167" fontId="1" fillId="0" borderId="9" xfId="1" applyNumberFormat="1" applyFont="1" applyBorder="1"/>
    <xf numFmtId="167" fontId="1" fillId="0" borderId="0" xfId="1" applyNumberFormat="1" applyFont="1" applyBorder="1"/>
    <xf numFmtId="167" fontId="1" fillId="0" borderId="31" xfId="1" applyNumberFormat="1" applyFont="1" applyBorder="1"/>
    <xf numFmtId="167" fontId="1" fillId="0" borderId="9" xfId="0" applyNumberFormat="1" applyFont="1" applyBorder="1"/>
    <xf numFmtId="167" fontId="1" fillId="0" borderId="0" xfId="0" applyNumberFormat="1" applyFont="1"/>
    <xf numFmtId="167" fontId="1" fillId="0" borderId="10" xfId="0" applyNumberFormat="1" applyFont="1" applyBorder="1"/>
    <xf numFmtId="173" fontId="23" fillId="0" borderId="9" xfId="2" applyNumberFormat="1" applyFont="1" applyFill="1" applyBorder="1" applyProtection="1">
      <protection locked="0"/>
    </xf>
    <xf numFmtId="173" fontId="23" fillId="0" borderId="0" xfId="2" applyNumberFormat="1" applyFont="1" applyFill="1" applyBorder="1" applyProtection="1">
      <protection locked="0"/>
    </xf>
    <xf numFmtId="173" fontId="23" fillId="2" borderId="1" xfId="11" applyNumberFormat="1" applyFont="1" applyFill="1" applyBorder="1" applyProtection="1">
      <protection locked="0"/>
    </xf>
    <xf numFmtId="173" fontId="1" fillId="0" borderId="9" xfId="2" applyNumberFormat="1" applyFont="1" applyBorder="1"/>
    <xf numFmtId="173" fontId="1" fillId="0" borderId="0" xfId="2" applyNumberFormat="1" applyFont="1" applyFill="1" applyBorder="1"/>
    <xf numFmtId="173" fontId="1" fillId="0" borderId="10" xfId="2" applyNumberFormat="1" applyFont="1" applyFill="1" applyBorder="1"/>
    <xf numFmtId="167" fontId="1" fillId="0" borderId="10" xfId="1" applyNumberFormat="1" applyFont="1" applyBorder="1"/>
    <xf numFmtId="167" fontId="1" fillId="0" borderId="0" xfId="1" applyNumberFormat="1" applyFont="1" applyFill="1" applyBorder="1"/>
    <xf numFmtId="173" fontId="23" fillId="0" borderId="10" xfId="2" applyNumberFormat="1" applyFont="1" applyFill="1" applyBorder="1" applyProtection="1">
      <protection locked="0"/>
    </xf>
    <xf numFmtId="43" fontId="0" fillId="0" borderId="0" xfId="5" applyFont="1" applyFill="1" applyBorder="1"/>
    <xf numFmtId="43" fontId="0" fillId="0" borderId="10" xfId="5" applyFont="1" applyFill="1" applyBorder="1"/>
    <xf numFmtId="173" fontId="0" fillId="0" borderId="11" xfId="2" applyNumberFormat="1" applyFont="1" applyBorder="1"/>
    <xf numFmtId="173" fontId="0" fillId="0" borderId="1" xfId="2" applyNumberFormat="1" applyFont="1" applyBorder="1"/>
    <xf numFmtId="173" fontId="0" fillId="0" borderId="28" xfId="2" applyNumberFormat="1" applyFont="1" applyBorder="1"/>
    <xf numFmtId="173" fontId="0" fillId="0" borderId="0" xfId="5" quotePrefix="1" applyNumberFormat="1" applyFont="1" applyBorder="1"/>
    <xf numFmtId="173" fontId="0" fillId="0" borderId="10" xfId="5" quotePrefix="1" applyNumberFormat="1" applyFont="1" applyBorder="1"/>
    <xf numFmtId="173" fontId="0" fillId="0" borderId="9" xfId="2" quotePrefix="1" applyNumberFormat="1" applyFont="1" applyFill="1" applyBorder="1"/>
    <xf numFmtId="173" fontId="0" fillId="0" borderId="0" xfId="2" quotePrefix="1" applyNumberFormat="1" applyFont="1" applyFill="1" applyBorder="1"/>
    <xf numFmtId="173" fontId="0" fillId="0" borderId="10" xfId="2" quotePrefix="1" applyNumberFormat="1" applyFont="1" applyFill="1" applyBorder="1"/>
    <xf numFmtId="173" fontId="0" fillId="2" borderId="11" xfId="2" applyNumberFormat="1" applyFont="1" applyFill="1" applyBorder="1"/>
    <xf numFmtId="173" fontId="0" fillId="2" borderId="1" xfId="2" applyNumberFormat="1" applyFont="1" applyFill="1" applyBorder="1"/>
    <xf numFmtId="173" fontId="0" fillId="2" borderId="28" xfId="2" applyNumberFormat="1" applyFont="1" applyFill="1" applyBorder="1"/>
    <xf numFmtId="43" fontId="0" fillId="0" borderId="0" xfId="5" applyFont="1" applyBorder="1"/>
    <xf numFmtId="43" fontId="0" fillId="0" borderId="10" xfId="5" applyFont="1" applyBorder="1"/>
    <xf numFmtId="167" fontId="0" fillId="0" borderId="9" xfId="0" applyNumberFormat="1" applyBorder="1"/>
    <xf numFmtId="167" fontId="0" fillId="0" borderId="10" xfId="0" applyNumberFormat="1" applyBorder="1"/>
    <xf numFmtId="42" fontId="0" fillId="0" borderId="0" xfId="0" applyNumberFormat="1"/>
    <xf numFmtId="172" fontId="3" fillId="0" borderId="0" xfId="0" quotePrefix="1" applyNumberFormat="1" applyFont="1" applyAlignment="1">
      <alignment horizontal="left"/>
    </xf>
    <xf numFmtId="0" fontId="3" fillId="5" borderId="23" xfId="7" applyFont="1" applyFill="1" applyBorder="1" applyAlignment="1">
      <alignment horizontal="center" wrapText="1"/>
    </xf>
    <xf numFmtId="164" fontId="4" fillId="0" borderId="0" xfId="0" applyNumberFormat="1" applyFont="1" applyAlignment="1">
      <alignment horizontal="left"/>
    </xf>
    <xf numFmtId="173" fontId="4" fillId="0" borderId="0" xfId="2" applyNumberFormat="1" applyFont="1" applyFill="1" applyBorder="1" applyAlignment="1"/>
    <xf numFmtId="167" fontId="23" fillId="0" borderId="0" xfId="1" applyNumberFormat="1" applyFont="1" applyFill="1" applyBorder="1" applyProtection="1">
      <protection locked="0"/>
    </xf>
    <xf numFmtId="174" fontId="23" fillId="0" borderId="0" xfId="2" applyNumberFormat="1" applyFont="1" applyFill="1" applyBorder="1" applyProtection="1">
      <protection locked="0"/>
    </xf>
    <xf numFmtId="0" fontId="25" fillId="0" borderId="0" xfId="2" applyNumberFormat="1" applyFont="1" applyFill="1" applyBorder="1" applyAlignment="1">
      <alignment horizontal="left" vertical="top"/>
    </xf>
    <xf numFmtId="42" fontId="4" fillId="0" borderId="0" xfId="2" applyNumberFormat="1" applyFont="1" applyFill="1" applyBorder="1" applyAlignment="1"/>
    <xf numFmtId="174" fontId="4" fillId="0" borderId="0" xfId="2" applyNumberFormat="1" applyFont="1" applyFill="1" applyBorder="1" applyAlignment="1"/>
    <xf numFmtId="167" fontId="4" fillId="0" borderId="0" xfId="1" applyNumberFormat="1" applyFont="1" applyFill="1" applyBorder="1" applyAlignment="1"/>
    <xf numFmtId="0" fontId="3" fillId="0" borderId="5" xfId="0" applyFont="1" applyBorder="1"/>
    <xf numFmtId="173" fontId="4" fillId="0" borderId="5" xfId="2" applyNumberFormat="1" applyFont="1" applyFill="1" applyBorder="1" applyAlignment="1"/>
    <xf numFmtId="167" fontId="4" fillId="0" borderId="5" xfId="1" applyNumberFormat="1" applyFont="1" applyFill="1" applyBorder="1" applyAlignment="1"/>
    <xf numFmtId="42" fontId="4" fillId="0" borderId="5" xfId="0" applyNumberFormat="1" applyFon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173" fontId="0" fillId="0" borderId="4" xfId="0" applyNumberFormat="1" applyBorder="1"/>
    <xf numFmtId="0" fontId="0" fillId="0" borderId="0" xfId="0" applyAlignment="1">
      <alignment horizontal="left" indent="3"/>
    </xf>
    <xf numFmtId="0" fontId="0" fillId="0" borderId="2" xfId="0" applyBorder="1" applyAlignment="1">
      <alignment horizontal="center" vertical="center"/>
    </xf>
    <xf numFmtId="44" fontId="0" fillId="0" borderId="5" xfId="0" applyNumberFormat="1" applyBorder="1"/>
    <xf numFmtId="0" fontId="22" fillId="0" borderId="0" xfId="20" applyFont="1"/>
    <xf numFmtId="0" fontId="26" fillId="0" borderId="0" xfId="20" applyFont="1"/>
    <xf numFmtId="0" fontId="27" fillId="0" borderId="0" xfId="20" applyFont="1"/>
    <xf numFmtId="41" fontId="22" fillId="0" borderId="0" xfId="20" applyNumberFormat="1" applyFont="1"/>
    <xf numFmtId="41" fontId="22" fillId="0" borderId="2" xfId="20" applyNumberFormat="1" applyFont="1" applyBorder="1"/>
    <xf numFmtId="41" fontId="22" fillId="0" borderId="5" xfId="20" applyNumberFormat="1" applyFont="1" applyBorder="1"/>
    <xf numFmtId="0" fontId="27" fillId="4" borderId="25" xfId="20" applyFont="1" applyFill="1" applyBorder="1" applyAlignment="1">
      <alignment horizontal="center"/>
    </xf>
    <xf numFmtId="0" fontId="28" fillId="0" borderId="0" xfId="20" applyFont="1"/>
    <xf numFmtId="0" fontId="27" fillId="4" borderId="14" xfId="20" applyFont="1" applyFill="1" applyBorder="1" applyAlignment="1">
      <alignment horizontal="center"/>
    </xf>
    <xf numFmtId="0" fontId="27" fillId="4" borderId="26" xfId="20" applyFont="1" applyFill="1" applyBorder="1" applyAlignment="1">
      <alignment horizontal="center"/>
    </xf>
    <xf numFmtId="0" fontId="27" fillId="4" borderId="27" xfId="20" applyFont="1" applyFill="1" applyBorder="1" applyAlignment="1">
      <alignment horizontal="center"/>
    </xf>
    <xf numFmtId="0" fontId="29" fillId="0" borderId="0" xfId="20" applyFont="1" applyAlignment="1">
      <alignment horizontal="left"/>
    </xf>
    <xf numFmtId="0" fontId="27" fillId="0" borderId="0" xfId="20" applyFont="1" applyAlignment="1">
      <alignment horizontal="center"/>
    </xf>
    <xf numFmtId="0" fontId="22" fillId="0" borderId="0" xfId="20" applyFont="1" applyAlignment="1">
      <alignment horizontal="left"/>
    </xf>
    <xf numFmtId="173" fontId="22" fillId="0" borderId="0" xfId="20" applyNumberFormat="1" applyFont="1"/>
    <xf numFmtId="0" fontId="30" fillId="0" borderId="0" xfId="20" applyFont="1"/>
    <xf numFmtId="167" fontId="22" fillId="0" borderId="32" xfId="21" applyNumberFormat="1" applyFont="1" applyFill="1" applyBorder="1"/>
    <xf numFmtId="167" fontId="22" fillId="0" borderId="33" xfId="21" applyNumberFormat="1" applyFont="1" applyFill="1" applyBorder="1"/>
    <xf numFmtId="43" fontId="22" fillId="0" borderId="0" xfId="20" applyNumberFormat="1" applyFont="1"/>
    <xf numFmtId="173" fontId="27" fillId="0" borderId="4" xfId="20" applyNumberFormat="1" applyFont="1" applyBorder="1"/>
    <xf numFmtId="173" fontId="27" fillId="0" borderId="34" xfId="20" applyNumberFormat="1" applyFont="1" applyBorder="1"/>
    <xf numFmtId="173" fontId="27" fillId="0" borderId="0" xfId="20" applyNumberFormat="1" applyFont="1"/>
    <xf numFmtId="0" fontId="29" fillId="0" borderId="0" xfId="20" applyFont="1"/>
    <xf numFmtId="44" fontId="22" fillId="0" borderId="0" xfId="20" applyNumberFormat="1" applyFont="1"/>
    <xf numFmtId="43" fontId="22" fillId="0" borderId="0" xfId="21" applyFont="1"/>
    <xf numFmtId="177" fontId="31" fillId="0" borderId="0" xfId="13" applyNumberFormat="1" applyFont="1" applyAlignment="1">
      <alignment horizontal="left"/>
    </xf>
    <xf numFmtId="0" fontId="31" fillId="0" borderId="0" xfId="4" applyFont="1" applyAlignment="1">
      <alignment horizontal="left"/>
    </xf>
    <xf numFmtId="14" fontId="0" fillId="0" borderId="0" xfId="0" applyNumberFormat="1"/>
    <xf numFmtId="3" fontId="0" fillId="0" borderId="0" xfId="0" applyNumberFormat="1"/>
    <xf numFmtId="168" fontId="0" fillId="0" borderId="0" xfId="0" applyNumberFormat="1"/>
    <xf numFmtId="0" fontId="22" fillId="0" borderId="0" xfId="0" applyFont="1" applyAlignment="1">
      <alignment horizontal="centerContinuous"/>
    </xf>
    <xf numFmtId="0" fontId="22" fillId="0" borderId="0" xfId="0" applyFont="1"/>
    <xf numFmtId="0" fontId="28" fillId="0" borderId="0" xfId="0" applyFont="1"/>
    <xf numFmtId="175" fontId="22" fillId="0" borderId="0" xfId="16" applyNumberFormat="1" applyFont="1"/>
    <xf numFmtId="0" fontId="31" fillId="0" borderId="0" xfId="0" applyFont="1" applyAlignment="1">
      <alignment horizontal="center"/>
    </xf>
    <xf numFmtId="173" fontId="35" fillId="0" borderId="0" xfId="11" applyNumberFormat="1" applyFont="1" applyFill="1" applyProtection="1">
      <protection locked="0"/>
    </xf>
    <xf numFmtId="173" fontId="36" fillId="0" borderId="0" xfId="10" applyNumberFormat="1" applyFont="1"/>
    <xf numFmtId="167" fontId="35" fillId="0" borderId="0" xfId="10" applyNumberFormat="1" applyFont="1" applyProtection="1">
      <protection locked="0"/>
    </xf>
    <xf numFmtId="167" fontId="17" fillId="0" borderId="0" xfId="10" applyNumberFormat="1" applyFont="1"/>
    <xf numFmtId="167" fontId="35" fillId="0" borderId="2" xfId="10" applyNumberFormat="1" applyFont="1" applyBorder="1" applyProtection="1">
      <protection locked="0"/>
    </xf>
    <xf numFmtId="0" fontId="17" fillId="0" borderId="0" xfId="0" applyFont="1"/>
    <xf numFmtId="169" fontId="17" fillId="0" borderId="0" xfId="15" applyNumberFormat="1" applyFont="1"/>
    <xf numFmtId="0" fontId="31" fillId="0" borderId="0" xfId="10" applyFont="1" applyAlignment="1">
      <alignment horizontal="centerContinuous"/>
    </xf>
    <xf numFmtId="0" fontId="17" fillId="0" borderId="0" xfId="10" applyFont="1" applyAlignment="1">
      <alignment horizontal="centerContinuous"/>
    </xf>
    <xf numFmtId="0" fontId="17" fillId="0" borderId="0" xfId="10" applyFont="1"/>
    <xf numFmtId="14" fontId="31" fillId="0" borderId="0" xfId="10" applyNumberFormat="1" applyFont="1" applyAlignment="1" applyProtection="1">
      <alignment horizontal="centerContinuous"/>
      <protection locked="0"/>
    </xf>
    <xf numFmtId="176" fontId="32" fillId="0" borderId="0" xfId="10" applyNumberFormat="1" applyFont="1" applyAlignment="1" applyProtection="1">
      <alignment horizontal="centerContinuous"/>
      <protection locked="0"/>
    </xf>
    <xf numFmtId="176" fontId="31" fillId="0" borderId="0" xfId="10" applyNumberFormat="1" applyFont="1" applyAlignment="1" applyProtection="1">
      <alignment horizontal="centerContinuous"/>
      <protection locked="0"/>
    </xf>
    <xf numFmtId="0" fontId="33" fillId="0" borderId="0" xfId="10" applyFont="1"/>
    <xf numFmtId="0" fontId="31" fillId="0" borderId="0" xfId="10" applyFont="1" applyAlignment="1">
      <alignment horizontal="center"/>
    </xf>
    <xf numFmtId="0" fontId="34" fillId="0" borderId="0" xfId="10" applyFont="1" applyAlignment="1">
      <alignment horizontal="center"/>
    </xf>
    <xf numFmtId="175" fontId="17" fillId="0" borderId="0" xfId="10" applyNumberFormat="1" applyFont="1"/>
    <xf numFmtId="175" fontId="36" fillId="3" borderId="0" xfId="10" applyNumberFormat="1" applyFont="1" applyFill="1"/>
    <xf numFmtId="175" fontId="36" fillId="0" borderId="0" xfId="10" applyNumberFormat="1" applyFont="1"/>
    <xf numFmtId="175" fontId="17" fillId="0" borderId="2" xfId="10" applyNumberFormat="1" applyFont="1" applyBorder="1"/>
    <xf numFmtId="173" fontId="17" fillId="0" borderId="24" xfId="10" applyNumberFormat="1" applyFont="1" applyBorder="1"/>
    <xf numFmtId="175" fontId="17" fillId="0" borderId="24" xfId="10" applyNumberFormat="1" applyFont="1" applyBorder="1"/>
    <xf numFmtId="173" fontId="17" fillId="0" borderId="0" xfId="10" applyNumberFormat="1" applyFont="1"/>
    <xf numFmtId="0" fontId="34" fillId="0" borderId="0" xfId="10" applyFont="1"/>
    <xf numFmtId="175" fontId="17" fillId="0" borderId="5" xfId="10" applyNumberFormat="1" applyFont="1" applyBorder="1"/>
    <xf numFmtId="42" fontId="17" fillId="0" borderId="0" xfId="10" applyNumberFormat="1" applyFont="1"/>
    <xf numFmtId="41" fontId="17" fillId="0" borderId="2" xfId="10" applyNumberFormat="1" applyFont="1" applyBorder="1"/>
    <xf numFmtId="0" fontId="27" fillId="0" borderId="0" xfId="0" applyFont="1"/>
    <xf numFmtId="17" fontId="28" fillId="0" borderId="0" xfId="0" applyNumberFormat="1" applyFont="1" applyAlignment="1">
      <alignment horizontal="left"/>
    </xf>
    <xf numFmtId="17" fontId="27" fillId="0" borderId="0" xfId="0" applyNumberFormat="1" applyFont="1" applyAlignment="1">
      <alignment horizontal="center"/>
    </xf>
    <xf numFmtId="17" fontId="37" fillId="0" borderId="0" xfId="0" applyNumberFormat="1" applyFont="1" applyAlignment="1">
      <alignment horizontal="center"/>
    </xf>
    <xf numFmtId="0" fontId="38" fillId="0" borderId="0" xfId="0" applyFont="1"/>
    <xf numFmtId="17" fontId="39" fillId="0" borderId="0" xfId="0" applyNumberFormat="1" applyFont="1" applyAlignment="1">
      <alignment horizontal="right" indent="1"/>
    </xf>
    <xf numFmtId="0" fontId="22" fillId="0" borderId="0" xfId="0" applyFont="1" applyAlignment="1">
      <alignment horizontal="left" indent="1"/>
    </xf>
    <xf numFmtId="167" fontId="22" fillId="0" borderId="0" xfId="1" applyNumberFormat="1" applyFont="1" applyFill="1"/>
    <xf numFmtId="167" fontId="22" fillId="0" borderId="2" xfId="1" applyNumberFormat="1" applyFont="1" applyFill="1" applyBorder="1"/>
    <xf numFmtId="9" fontId="22" fillId="0" borderId="0" xfId="3" applyFont="1" applyFill="1" applyBorder="1"/>
    <xf numFmtId="0" fontId="22" fillId="0" borderId="0" xfId="0" applyFont="1" applyAlignment="1">
      <alignment horizontal="left"/>
    </xf>
    <xf numFmtId="8" fontId="22" fillId="0" borderId="0" xfId="0" applyNumberFormat="1" applyFont="1"/>
    <xf numFmtId="171" fontId="22" fillId="0" borderId="0" xfId="0" applyNumberFormat="1" applyFont="1"/>
    <xf numFmtId="171" fontId="22" fillId="0" borderId="16" xfId="0" applyNumberFormat="1" applyFont="1" applyBorder="1"/>
    <xf numFmtId="0" fontId="22" fillId="0" borderId="17" xfId="0" applyFont="1" applyBorder="1"/>
    <xf numFmtId="0" fontId="22" fillId="0" borderId="18" xfId="0" applyFont="1" applyBorder="1"/>
    <xf numFmtId="8" fontId="22" fillId="0" borderId="19" xfId="0" applyNumberFormat="1" applyFont="1" applyBorder="1"/>
    <xf numFmtId="171" fontId="22" fillId="0" borderId="19" xfId="0" applyNumberFormat="1" applyFont="1" applyBorder="1"/>
    <xf numFmtId="0" fontId="22" fillId="0" borderId="20" xfId="0" applyFont="1" applyBorder="1"/>
    <xf numFmtId="8" fontId="22" fillId="0" borderId="21" xfId="0" applyNumberFormat="1" applyFont="1" applyBorder="1"/>
    <xf numFmtId="8" fontId="22" fillId="0" borderId="22" xfId="0" applyNumberFormat="1" applyFont="1" applyBorder="1"/>
    <xf numFmtId="0" fontId="22" fillId="0" borderId="2" xfId="0" applyFont="1" applyBorder="1" applyAlignment="1">
      <alignment horizontal="centerContinuous"/>
    </xf>
    <xf numFmtId="0" fontId="22" fillId="0" borderId="0" xfId="0" applyFont="1" applyAlignment="1">
      <alignment horizontal="center"/>
    </xf>
    <xf numFmtId="8" fontId="22" fillId="0" borderId="2" xfId="0" applyNumberFormat="1" applyFont="1" applyBorder="1" applyAlignment="1">
      <alignment horizontal="centerContinuous"/>
    </xf>
    <xf numFmtId="171" fontId="22" fillId="0" borderId="2" xfId="0" applyNumberFormat="1" applyFont="1" applyBorder="1" applyAlignment="1">
      <alignment horizontal="centerContinuous"/>
    </xf>
    <xf numFmtId="14" fontId="22" fillId="0" borderId="0" xfId="0" applyNumberFormat="1" applyFont="1"/>
    <xf numFmtId="170" fontId="22" fillId="0" borderId="0" xfId="0" applyNumberFormat="1" applyFont="1" applyProtection="1">
      <protection locked="0"/>
    </xf>
    <xf numFmtId="171" fontId="22" fillId="0" borderId="0" xfId="0" applyNumberFormat="1" applyFont="1" applyProtection="1">
      <protection locked="0"/>
    </xf>
    <xf numFmtId="8" fontId="22" fillId="0" borderId="4" xfId="0" applyNumberFormat="1" applyFont="1" applyBorder="1"/>
    <xf numFmtId="4" fontId="22" fillId="0" borderId="0" xfId="0" applyNumberFormat="1" applyFont="1"/>
    <xf numFmtId="0" fontId="31" fillId="0" borderId="0" xfId="0" applyFont="1"/>
    <xf numFmtId="8" fontId="17" fillId="0" borderId="0" xfId="0" applyNumberFormat="1" applyFont="1"/>
    <xf numFmtId="171" fontId="17" fillId="0" borderId="0" xfId="0" applyNumberFormat="1" applyFont="1"/>
    <xf numFmtId="8" fontId="31" fillId="0" borderId="0" xfId="0" applyNumberFormat="1" applyFont="1"/>
    <xf numFmtId="0" fontId="31" fillId="0" borderId="0" xfId="0" applyFont="1" applyAlignment="1">
      <alignment horizontal="left"/>
    </xf>
    <xf numFmtId="8" fontId="17" fillId="3" borderId="0" xfId="0" applyNumberFormat="1" applyFont="1" applyFill="1"/>
    <xf numFmtId="17" fontId="31" fillId="0" borderId="0" xfId="0" applyNumberFormat="1" applyFont="1"/>
    <xf numFmtId="8" fontId="31" fillId="0" borderId="15" xfId="0" applyNumberFormat="1" applyFont="1" applyBorder="1"/>
    <xf numFmtId="8" fontId="31" fillId="0" borderId="0" xfId="0" applyNumberFormat="1" applyFont="1" applyAlignment="1">
      <alignment horizontal="center"/>
    </xf>
    <xf numFmtId="0" fontId="17" fillId="0" borderId="2" xfId="0" applyFont="1" applyBorder="1" applyAlignment="1">
      <alignment horizontal="centerContinuous"/>
    </xf>
    <xf numFmtId="0" fontId="17" fillId="0" borderId="0" xfId="0" applyFont="1" applyAlignment="1">
      <alignment horizontal="center"/>
    </xf>
    <xf numFmtId="8" fontId="17" fillId="0" borderId="2" xfId="0" applyNumberFormat="1" applyFont="1" applyBorder="1" applyAlignment="1">
      <alignment horizontal="centerContinuous"/>
    </xf>
    <xf numFmtId="8" fontId="31" fillId="0" borderId="2" xfId="0" applyNumberFormat="1" applyFont="1" applyBorder="1" applyAlignment="1">
      <alignment horizontal="centerContinuous"/>
    </xf>
    <xf numFmtId="8" fontId="40" fillId="0" borderId="0" xfId="0" applyNumberFormat="1" applyFont="1" applyAlignment="1">
      <alignment horizontal="center"/>
    </xf>
    <xf numFmtId="171" fontId="40" fillId="0" borderId="0" xfId="0" applyNumberFormat="1" applyFont="1" applyAlignment="1">
      <alignment horizontal="center"/>
    </xf>
    <xf numFmtId="0" fontId="40" fillId="0" borderId="0" xfId="0" applyFont="1" applyAlignment="1">
      <alignment horizontal="center"/>
    </xf>
    <xf numFmtId="0" fontId="31" fillId="0" borderId="0" xfId="0" applyFont="1" applyAlignment="1">
      <alignment horizontal="right"/>
    </xf>
    <xf numFmtId="0" fontId="21" fillId="0" borderId="0" xfId="10" applyFont="1"/>
    <xf numFmtId="173" fontId="24" fillId="0" borderId="9" xfId="2" quotePrefix="1" applyNumberFormat="1" applyFont="1" applyFill="1" applyBorder="1"/>
    <xf numFmtId="173" fontId="24" fillId="0" borderId="0" xfId="2" quotePrefix="1" applyNumberFormat="1" applyFont="1" applyFill="1" applyBorder="1"/>
    <xf numFmtId="167" fontId="0" fillId="0" borderId="0" xfId="1" applyNumberFormat="1" applyFont="1" applyFill="1" applyAlignment="1">
      <alignment horizontal="right"/>
    </xf>
    <xf numFmtId="169" fontId="4" fillId="0" borderId="0" xfId="0" applyNumberFormat="1" applyFont="1"/>
    <xf numFmtId="8" fontId="22" fillId="0" borderId="2" xfId="0" applyNumberFormat="1" applyFont="1" applyBorder="1"/>
    <xf numFmtId="8" fontId="17" fillId="0" borderId="2" xfId="0" applyNumberFormat="1" applyFont="1" applyBorder="1"/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0" xfId="0" applyFill="1"/>
    <xf numFmtId="0" fontId="4" fillId="0" borderId="0" xfId="0" applyFont="1" applyFill="1"/>
  </cellXfs>
  <cellStyles count="23">
    <cellStyle name="Comma" xfId="1" builtinId="3"/>
    <cellStyle name="Comma 10" xfId="15" xr:uid="{00000000-0005-0000-0000-000001000000}"/>
    <cellStyle name="Comma 2" xfId="21" xr:uid="{CB0FB0E9-06B1-4BA5-8367-4926E4530191}"/>
    <cellStyle name="Comma 3" xfId="5" xr:uid="{00000000-0005-0000-0000-000002000000}"/>
    <cellStyle name="Currency" xfId="2" builtinId="4"/>
    <cellStyle name="Currency 2 2 2" xfId="11" xr:uid="{00000000-0005-0000-0000-000004000000}"/>
    <cellStyle name="Normal" xfId="0" builtinId="0"/>
    <cellStyle name="Normal 10 2" xfId="10" xr:uid="{00000000-0005-0000-0000-000006000000}"/>
    <cellStyle name="Normal 2" xfId="6" xr:uid="{00000000-0005-0000-0000-000007000000}"/>
    <cellStyle name="Normal 2 2" xfId="7" xr:uid="{00000000-0005-0000-0000-000008000000}"/>
    <cellStyle name="Normal 2 3" xfId="20" xr:uid="{F76AF5B8-29EC-456C-95DA-27D9D2C9925D}"/>
    <cellStyle name="Normal 3" xfId="4" xr:uid="{00000000-0005-0000-0000-000009000000}"/>
    <cellStyle name="Normal 4" xfId="8" xr:uid="{00000000-0005-0000-0000-00000A000000}"/>
    <cellStyle name="Normal 5" xfId="9" xr:uid="{00000000-0005-0000-0000-00000B000000}"/>
    <cellStyle name="Normal 5 4" xfId="14" xr:uid="{00000000-0005-0000-0000-00000C000000}"/>
    <cellStyle name="Normal 5 4 2" xfId="22" xr:uid="{903F3A2C-F6B1-4109-BC88-4B4148299F8E}"/>
    <cellStyle name="Normal 6" xfId="19" xr:uid="{00000000-0005-0000-0000-00000D000000}"/>
    <cellStyle name="Normal 94" xfId="17" xr:uid="{00000000-0005-0000-0000-00000E000000}"/>
    <cellStyle name="Normal 95" xfId="18" xr:uid="{00000000-0005-0000-0000-00000F000000}"/>
    <cellStyle name="Normal_OLE" xfId="13" xr:uid="{00000000-0005-0000-0000-000010000000}"/>
    <cellStyle name="Percent" xfId="3" builtinId="5"/>
    <cellStyle name="Percent 2 2" xfId="16" xr:uid="{00000000-0005-0000-0000-000012000000}"/>
    <cellStyle name="Percent 3" xfId="12" xr:uid="{00000000-0005-0000-0000-000013000000}"/>
  </cellStyles>
  <dxfs count="0"/>
  <tableStyles count="0" defaultTableStyle="TableStyleMedium2" defaultPivotStyle="PivotStyleLight16"/>
  <colors>
    <mruColors>
      <color rgb="FFFFFF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1000124</xdr:colOff>
      <xdr:row>2</xdr:row>
      <xdr:rowOff>38100</xdr:rowOff>
    </xdr:from>
    <xdr:to>
      <xdr:col>8</xdr:col>
      <xdr:colOff>1171574</xdr:colOff>
      <xdr:row>38</xdr:row>
      <xdr:rowOff>29528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7E9BF8-43DD-420D-ABDF-3F9D532B4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34274" y="628650"/>
          <a:ext cx="8048625" cy="68303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24</xdr:col>
      <xdr:colOff>235087</xdr:colOff>
      <xdr:row>29</xdr:row>
      <xdr:rowOff>93734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010214-102B-4CDF-991B-0B54F84AE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00" y="1333500"/>
          <a:ext cx="8564170" cy="4305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5">
    <pageSetUpPr fitToPage="1"/>
  </sheetPr>
  <dimension ref="A1:O43"/>
  <sheetViews>
    <sheetView tabSelected="1" zoomScaleNormal="100" workbookViewId="0">
      <selection activeCell="A24" sqref="A24"/>
    </sheetView>
  </sheetViews>
  <sheetFormatPr defaultColWidth="13.42578125" defaultRowHeight="15" x14ac:dyDescent="0.25"/>
  <cols>
    <col min="1" max="1" width="57.5703125" bestFit="1" customWidth="1"/>
    <col min="2" max="5" width="14.42578125" bestFit="1" customWidth="1"/>
    <col min="6" max="6" width="14" bestFit="1" customWidth="1"/>
    <col min="7" max="7" width="14.42578125" bestFit="1" customWidth="1"/>
    <col min="8" max="8" width="21.140625" customWidth="1"/>
    <col min="9" max="9" width="10.42578125" bestFit="1" customWidth="1"/>
    <col min="10" max="10" width="10.5703125" bestFit="1" customWidth="1"/>
    <col min="11" max="11" width="10.140625" bestFit="1" customWidth="1"/>
    <col min="12" max="12" width="10.85546875" bestFit="1" customWidth="1"/>
    <col min="13" max="13" width="10.140625" bestFit="1" customWidth="1"/>
    <col min="14" max="14" width="9.7109375" bestFit="1" customWidth="1"/>
  </cols>
  <sheetData>
    <row r="1" spans="1:14" x14ac:dyDescent="0.25">
      <c r="A1" t="s">
        <v>0</v>
      </c>
      <c r="E1" s="44"/>
      <c r="F1" s="44"/>
      <c r="G1" s="44"/>
      <c r="H1" s="44"/>
    </row>
    <row r="2" spans="1:14" ht="15.75" thickBot="1" x14ac:dyDescent="0.3">
      <c r="A2" t="s">
        <v>1</v>
      </c>
    </row>
    <row r="3" spans="1:14" ht="15.75" thickBot="1" x14ac:dyDescent="0.3">
      <c r="A3" t="s">
        <v>241</v>
      </c>
      <c r="C3" s="37"/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</row>
    <row r="4" spans="1:14" x14ac:dyDescent="0.25">
      <c r="A4" s="1"/>
      <c r="B4" s="68">
        <v>45839</v>
      </c>
      <c r="C4" s="67">
        <v>45870</v>
      </c>
      <c r="D4" s="68">
        <v>45901</v>
      </c>
      <c r="E4" s="68">
        <v>45931</v>
      </c>
      <c r="F4" s="68">
        <v>45962</v>
      </c>
      <c r="G4" s="68">
        <v>45992</v>
      </c>
      <c r="H4" s="68">
        <v>46023</v>
      </c>
      <c r="I4" s="68">
        <v>46054</v>
      </c>
      <c r="J4" s="68">
        <v>46082</v>
      </c>
      <c r="K4" s="68">
        <v>46113</v>
      </c>
      <c r="L4" s="68">
        <v>46143</v>
      </c>
      <c r="M4" s="68">
        <v>46174</v>
      </c>
      <c r="N4" s="71">
        <v>46204</v>
      </c>
    </row>
    <row r="5" spans="1:14" x14ac:dyDescent="0.25">
      <c r="A5" s="2" t="s">
        <v>16</v>
      </c>
      <c r="B5" s="2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45"/>
    </row>
    <row r="6" spans="1:14" x14ac:dyDescent="0.25">
      <c r="A6" s="3" t="s">
        <v>228</v>
      </c>
      <c r="B6" s="3"/>
      <c r="C6" s="23"/>
      <c r="D6" s="18"/>
      <c r="E6" s="18"/>
      <c r="F6" s="18"/>
      <c r="G6" s="18"/>
      <c r="H6" s="18"/>
      <c r="I6" s="18"/>
      <c r="J6" s="18"/>
      <c r="K6" s="18"/>
      <c r="L6" s="18"/>
      <c r="M6" s="18"/>
      <c r="N6" s="46"/>
    </row>
    <row r="7" spans="1:14" x14ac:dyDescent="0.25">
      <c r="A7" s="3" t="s">
        <v>229</v>
      </c>
      <c r="B7" s="3"/>
      <c r="C7" s="23"/>
      <c r="D7" s="18"/>
      <c r="E7" s="18"/>
      <c r="F7" s="18"/>
      <c r="G7" s="18"/>
      <c r="H7" s="18"/>
      <c r="I7" s="18"/>
      <c r="J7" s="18"/>
      <c r="K7" s="18"/>
      <c r="L7" s="18"/>
      <c r="M7" s="18"/>
      <c r="N7" s="46"/>
    </row>
    <row r="8" spans="1:14" x14ac:dyDescent="0.25">
      <c r="A8" s="3" t="s">
        <v>230</v>
      </c>
      <c r="B8" s="3"/>
      <c r="C8" s="23"/>
      <c r="D8" s="18"/>
      <c r="E8" s="18"/>
      <c r="F8" s="18"/>
      <c r="G8" s="18"/>
      <c r="H8" s="18"/>
      <c r="I8" s="18"/>
      <c r="J8" s="18"/>
      <c r="K8" s="18"/>
      <c r="L8" s="18"/>
      <c r="M8" s="18"/>
      <c r="N8" s="46"/>
    </row>
    <row r="9" spans="1:14" x14ac:dyDescent="0.25">
      <c r="A9" s="3" t="s">
        <v>231</v>
      </c>
      <c r="B9" s="3"/>
      <c r="C9" s="23"/>
      <c r="D9" s="18"/>
      <c r="E9" s="18"/>
      <c r="F9" s="18"/>
      <c r="G9" s="18"/>
      <c r="H9" s="18"/>
      <c r="I9" s="18"/>
      <c r="J9" s="18"/>
      <c r="K9" s="18"/>
      <c r="L9" s="18"/>
      <c r="M9" s="18"/>
      <c r="N9" s="46"/>
    </row>
    <row r="10" spans="1:14" x14ac:dyDescent="0.25">
      <c r="A10" s="3" t="s">
        <v>232</v>
      </c>
      <c r="B10" s="3"/>
      <c r="C10" s="23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46"/>
    </row>
    <row r="11" spans="1:14" x14ac:dyDescent="0.25">
      <c r="A11" s="3" t="s">
        <v>233</v>
      </c>
      <c r="B11" s="3"/>
      <c r="C11" s="23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46"/>
    </row>
    <row r="12" spans="1:14" x14ac:dyDescent="0.25">
      <c r="A12" s="3" t="s">
        <v>234</v>
      </c>
      <c r="B12" s="3"/>
      <c r="C12" s="23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47"/>
    </row>
    <row r="13" spans="1:14" x14ac:dyDescent="0.25">
      <c r="A13" s="3" t="s">
        <v>235</v>
      </c>
      <c r="B13" s="3"/>
      <c r="C13" s="11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48"/>
    </row>
    <row r="14" spans="1:14" x14ac:dyDescent="0.25">
      <c r="A14" s="3" t="s">
        <v>236</v>
      </c>
      <c r="B14" s="3"/>
      <c r="C14" s="11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48"/>
    </row>
    <row r="15" spans="1:14" x14ac:dyDescent="0.25">
      <c r="A15" s="3" t="s">
        <v>2</v>
      </c>
      <c r="B15" s="3"/>
      <c r="C15" s="11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48"/>
    </row>
    <row r="16" spans="1:14" x14ac:dyDescent="0.25">
      <c r="A16" s="3" t="s">
        <v>3</v>
      </c>
      <c r="B16" s="3"/>
      <c r="C16" s="11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48"/>
    </row>
    <row r="17" spans="1:15" x14ac:dyDescent="0.25">
      <c r="A17" s="3" t="s">
        <v>4</v>
      </c>
      <c r="B17" s="3"/>
      <c r="C17" s="11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48"/>
    </row>
    <row r="18" spans="1:15" x14ac:dyDescent="0.25">
      <c r="A18" s="3" t="s">
        <v>117</v>
      </c>
      <c r="B18" s="3"/>
      <c r="C18" s="11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48"/>
    </row>
    <row r="19" spans="1:15" x14ac:dyDescent="0.25">
      <c r="A19" s="3" t="s">
        <v>5</v>
      </c>
      <c r="B19" s="3"/>
      <c r="C19" s="11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48"/>
    </row>
    <row r="20" spans="1:15" ht="15.75" thickBot="1" x14ac:dyDescent="0.3">
      <c r="A20" s="2" t="s">
        <v>6</v>
      </c>
      <c r="B20" s="2"/>
      <c r="C20" s="72">
        <f t="shared" ref="C20:N20" si="0">SUM(C6:C14)</f>
        <v>0</v>
      </c>
      <c r="D20" s="73">
        <f t="shared" si="0"/>
        <v>0</v>
      </c>
      <c r="E20" s="73">
        <f t="shared" si="0"/>
        <v>0</v>
      </c>
      <c r="F20" s="73">
        <f t="shared" si="0"/>
        <v>0</v>
      </c>
      <c r="G20" s="73">
        <f t="shared" si="0"/>
        <v>0</v>
      </c>
      <c r="H20" s="73"/>
      <c r="I20" s="73"/>
      <c r="J20" s="73"/>
      <c r="K20" s="73"/>
      <c r="L20" s="73"/>
      <c r="M20" s="73"/>
      <c r="N20" s="74">
        <f t="shared" si="0"/>
        <v>0</v>
      </c>
    </row>
    <row r="21" spans="1:15" x14ac:dyDescent="0.25">
      <c r="B21" s="75"/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49"/>
    </row>
    <row r="22" spans="1:15" x14ac:dyDescent="0.25">
      <c r="A22" s="3" t="s">
        <v>116</v>
      </c>
      <c r="B22" s="76"/>
      <c r="C22" s="88">
        <v>-4259034.18</v>
      </c>
      <c r="D22" s="89">
        <v>-3694536.44</v>
      </c>
      <c r="E22" s="89">
        <v>-3327373.25</v>
      </c>
      <c r="F22" s="89">
        <v>-2831572.23</v>
      </c>
      <c r="G22" s="89">
        <v>-3566350.14</v>
      </c>
      <c r="H22" s="89">
        <v>-4025474.52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50">
        <v>0</v>
      </c>
    </row>
    <row r="23" spans="1:15" x14ac:dyDescent="0.25">
      <c r="A23" s="3" t="s">
        <v>17</v>
      </c>
      <c r="B23" s="76"/>
      <c r="C23" s="2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50">
        <v>0</v>
      </c>
    </row>
    <row r="24" spans="1:15" x14ac:dyDescent="0.25">
      <c r="A24" s="3" t="s">
        <v>18</v>
      </c>
      <c r="B24" s="76"/>
      <c r="C24" s="2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50">
        <v>0</v>
      </c>
    </row>
    <row r="25" spans="1:15" x14ac:dyDescent="0.25">
      <c r="A25" s="2" t="s">
        <v>19</v>
      </c>
      <c r="B25" s="2"/>
      <c r="C25" s="27">
        <f t="shared" ref="C25:N25" si="1">SUM(C22:C24)</f>
        <v>-4259034.18</v>
      </c>
      <c r="D25" s="77">
        <f t="shared" si="1"/>
        <v>-3694536.44</v>
      </c>
      <c r="E25" s="77">
        <f t="shared" si="1"/>
        <v>-3327373.25</v>
      </c>
      <c r="F25" s="77">
        <f t="shared" si="1"/>
        <v>-2831572.23</v>
      </c>
      <c r="G25" s="77">
        <f t="shared" si="1"/>
        <v>-3566350.14</v>
      </c>
      <c r="H25" s="77">
        <f t="shared" si="1"/>
        <v>-4025474.52</v>
      </c>
      <c r="I25" s="77">
        <f t="shared" si="1"/>
        <v>0</v>
      </c>
      <c r="J25" s="77">
        <f t="shared" si="1"/>
        <v>0</v>
      </c>
      <c r="K25" s="77">
        <f t="shared" si="1"/>
        <v>0</v>
      </c>
      <c r="L25" s="77">
        <f t="shared" si="1"/>
        <v>0</v>
      </c>
      <c r="M25" s="77">
        <f t="shared" si="1"/>
        <v>0</v>
      </c>
      <c r="N25" s="78">
        <f t="shared" si="1"/>
        <v>0</v>
      </c>
    </row>
    <row r="26" spans="1:15" ht="15.75" thickBot="1" x14ac:dyDescent="0.3">
      <c r="A26" s="4" t="s">
        <v>7</v>
      </c>
      <c r="B26" s="4"/>
      <c r="C26" s="28">
        <f t="shared" ref="C26:N26" si="2">C25+C20</f>
        <v>-4259034.18</v>
      </c>
      <c r="D26" s="19">
        <f t="shared" si="2"/>
        <v>-3694536.44</v>
      </c>
      <c r="E26" s="19">
        <f t="shared" si="2"/>
        <v>-3327373.25</v>
      </c>
      <c r="F26" s="19">
        <f t="shared" si="2"/>
        <v>-2831572.23</v>
      </c>
      <c r="G26" s="19">
        <f t="shared" si="2"/>
        <v>-3566350.14</v>
      </c>
      <c r="H26" s="19">
        <f t="shared" si="2"/>
        <v>-4025474.52</v>
      </c>
      <c r="I26" s="19">
        <f t="shared" si="2"/>
        <v>0</v>
      </c>
      <c r="J26" s="19">
        <f t="shared" si="2"/>
        <v>0</v>
      </c>
      <c r="K26" s="19">
        <f t="shared" si="2"/>
        <v>0</v>
      </c>
      <c r="L26" s="19">
        <f t="shared" si="2"/>
        <v>0</v>
      </c>
      <c r="M26" s="19">
        <f t="shared" si="2"/>
        <v>0</v>
      </c>
      <c r="N26" s="52">
        <f t="shared" si="2"/>
        <v>0</v>
      </c>
    </row>
    <row r="27" spans="1:15" x14ac:dyDescent="0.25">
      <c r="A27" s="2"/>
      <c r="B27" s="2"/>
      <c r="C27" s="12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45"/>
    </row>
    <row r="28" spans="1:15" x14ac:dyDescent="0.25">
      <c r="A28" s="33" t="s">
        <v>8</v>
      </c>
      <c r="B28" s="33"/>
      <c r="C28" s="79">
        <f>+'Aug 25 Int'!G6/12</f>
        <v>3.8069737980225408E-3</v>
      </c>
      <c r="D28" s="80">
        <f>+'Sept 25 Int'!G6/12</f>
        <v>3.6723125820898113E-3</v>
      </c>
      <c r="E28" s="80">
        <f>+'Oct 25 Int'!G6/12</f>
        <v>3.4541566901431088E-3</v>
      </c>
      <c r="F28" s="80">
        <f>'Nov 25 Int'!G6/12</f>
        <v>3.3009315866972667E-3</v>
      </c>
      <c r="G28" s="80">
        <f>'Dec 25 Int'!G6/12</f>
        <v>3.1940240560752839E-3</v>
      </c>
      <c r="H28" s="80">
        <f>'Jan 26 Int'!G6/12</f>
        <v>3.1753980105190005E-3</v>
      </c>
      <c r="I28" s="80">
        <f>'Feb 26 Int'!G6/12</f>
        <v>3.1920585912917393E-3</v>
      </c>
      <c r="J28" s="80">
        <f>'Mar 26 Int'!G6/12</f>
        <v>3.2478473141569954E-3</v>
      </c>
      <c r="K28" s="80">
        <f>'Apr 26 Int'!G6/12</f>
        <v>3.288105662660717E-3</v>
      </c>
      <c r="L28" s="80">
        <f>'May 26 Int'!G6/12</f>
        <v>3.2559205108200991E-3</v>
      </c>
      <c r="M28" s="80">
        <f>'Jun 26 Int'!G6/12</f>
        <v>3.2609388223866658E-3</v>
      </c>
      <c r="N28" s="81">
        <f>'Jul 26 Int'!G6/12</f>
        <v>3.2456047846463557E-3</v>
      </c>
    </row>
    <row r="29" spans="1:15" x14ac:dyDescent="0.25">
      <c r="A29" s="6" t="s">
        <v>9</v>
      </c>
      <c r="B29" s="6"/>
      <c r="C29" s="82">
        <f>(B33+C26)*C28</f>
        <v>57847.085278860694</v>
      </c>
      <c r="D29" s="83">
        <f t="shared" ref="D29:N29" si="3">(D26+C33)*D28</f>
        <v>42445.843839560912</v>
      </c>
      <c r="E29" s="83">
        <f t="shared" si="3"/>
        <v>28577.669508866555</v>
      </c>
      <c r="F29" s="83">
        <f t="shared" si="3"/>
        <v>18057.481457992868</v>
      </c>
      <c r="G29" s="83">
        <f t="shared" si="3"/>
        <v>6139.3202780253077</v>
      </c>
      <c r="H29" s="83">
        <f t="shared" si="3"/>
        <v>-6659.4703461873742</v>
      </c>
      <c r="I29" s="83">
        <f t="shared" si="3"/>
        <v>-1.4238580445354668E-5</v>
      </c>
      <c r="J29" s="83">
        <f t="shared" si="3"/>
        <v>-1.4533677824052223E-5</v>
      </c>
      <c r="K29" s="83">
        <f t="shared" si="3"/>
        <v>-1.476161676153602E-5</v>
      </c>
      <c r="L29" s="83">
        <f t="shared" si="3"/>
        <v>-1.4665187438637658E-5</v>
      </c>
      <c r="M29" s="83">
        <f t="shared" si="3"/>
        <v>-1.4735612996706572E-5</v>
      </c>
      <c r="N29" s="84">
        <f t="shared" si="3"/>
        <v>-1.4714147134382513E-5</v>
      </c>
      <c r="O29" s="22"/>
    </row>
    <row r="30" spans="1:15" x14ac:dyDescent="0.25">
      <c r="A30" s="2"/>
      <c r="B30" s="2"/>
      <c r="C30" s="85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7"/>
    </row>
    <row r="31" spans="1:15" x14ac:dyDescent="0.25">
      <c r="A31" s="2" t="s">
        <v>270</v>
      </c>
      <c r="B31" s="2"/>
      <c r="C31" s="85"/>
      <c r="D31" s="86"/>
      <c r="E31" s="86"/>
      <c r="F31" s="86"/>
      <c r="G31" s="86"/>
      <c r="H31" s="89">
        <v>2103867.54</v>
      </c>
      <c r="I31" s="86"/>
      <c r="J31" s="86"/>
      <c r="K31" s="86"/>
      <c r="L31" s="86"/>
      <c r="M31" s="86"/>
      <c r="N31" s="87"/>
    </row>
    <row r="32" spans="1:15" x14ac:dyDescent="0.25">
      <c r="A32" s="2"/>
      <c r="B32" s="2"/>
      <c r="C32" s="85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7"/>
    </row>
    <row r="33" spans="1:14" ht="15.75" thickBot="1" x14ac:dyDescent="0.3">
      <c r="A33" s="4" t="s">
        <v>10</v>
      </c>
      <c r="B33" s="90">
        <v>19454065.285522252</v>
      </c>
      <c r="C33" s="28">
        <f>C26+C29+B33</f>
        <v>15252878.190801114</v>
      </c>
      <c r="D33" s="19">
        <f>D26+D29+C33</f>
        <v>11600787.594640676</v>
      </c>
      <c r="E33" s="19">
        <f>E26+E29+D33</f>
        <v>8301992.0141495429</v>
      </c>
      <c r="F33" s="19">
        <f>F26+F29+E33</f>
        <v>5488477.2656075358</v>
      </c>
      <c r="G33" s="19">
        <f>G26+G29+F33</f>
        <v>1928266.4458855609</v>
      </c>
      <c r="H33" s="19">
        <f>H26+H29+G33+H31</f>
        <v>-4.4606262817978859E-3</v>
      </c>
      <c r="I33" s="19">
        <f t="shared" ref="I33:N33" si="4">I26+I29+H33+I31</f>
        <v>-4.4748648622432406E-3</v>
      </c>
      <c r="J33" s="19">
        <f t="shared" si="4"/>
        <v>-4.4893985400672924E-3</v>
      </c>
      <c r="K33" s="19">
        <f t="shared" si="4"/>
        <v>-4.5041601568288287E-3</v>
      </c>
      <c r="L33" s="19">
        <f t="shared" si="4"/>
        <v>-4.5188253442674667E-3</v>
      </c>
      <c r="M33" s="19">
        <f t="shared" si="4"/>
        <v>-4.5335609572641732E-3</v>
      </c>
      <c r="N33" s="52">
        <f t="shared" si="4"/>
        <v>-4.5482751043985558E-3</v>
      </c>
    </row>
    <row r="34" spans="1:14" x14ac:dyDescent="0.25">
      <c r="H34" s="40"/>
    </row>
    <row r="38" spans="1:14" x14ac:dyDescent="0.25">
      <c r="N38" s="29"/>
    </row>
    <row r="40" spans="1:14" x14ac:dyDescent="0.25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x14ac:dyDescent="0.25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x14ac:dyDescent="0.25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x14ac:dyDescent="0.25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</sheetData>
  <pageMargins left="0.7" right="0.7" top="0.75" bottom="0.75" header="0.3" footer="0.3"/>
  <pageSetup scale="53" fitToHeight="0" orientation="landscape" r:id="rId1"/>
  <headerFooter>
    <oddFooter>&amp;CSchedule RL-1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2">
    <pageSetUpPr fitToPage="1"/>
  </sheetPr>
  <dimension ref="A1:N43"/>
  <sheetViews>
    <sheetView zoomScaleNormal="100" workbookViewId="0">
      <selection activeCell="A16" sqref="A16"/>
    </sheetView>
  </sheetViews>
  <sheetFormatPr defaultColWidth="13.42578125" defaultRowHeight="15" x14ac:dyDescent="0.25"/>
  <cols>
    <col min="1" max="1" width="63.7109375" customWidth="1"/>
    <col min="2" max="3" width="14" bestFit="1" customWidth="1"/>
    <col min="4" max="8" width="14.42578125" bestFit="1" customWidth="1"/>
    <col min="9" max="10" width="13.28515625" bestFit="1" customWidth="1"/>
    <col min="11" max="11" width="12.7109375" bestFit="1" customWidth="1"/>
    <col min="12" max="12" width="13.7109375" bestFit="1" customWidth="1"/>
    <col min="13" max="13" width="13.28515625" bestFit="1" customWidth="1"/>
    <col min="14" max="14" width="13.7109375" bestFit="1" customWidth="1"/>
  </cols>
  <sheetData>
    <row r="1" spans="1:14" x14ac:dyDescent="0.25">
      <c r="A1" t="s">
        <v>0</v>
      </c>
    </row>
    <row r="2" spans="1:14" ht="15.75" thickBot="1" x14ac:dyDescent="0.3">
      <c r="A2" t="s">
        <v>1</v>
      </c>
    </row>
    <row r="3" spans="1:14" ht="15.75" thickBot="1" x14ac:dyDescent="0.3">
      <c r="A3" t="s">
        <v>243</v>
      </c>
      <c r="C3" s="251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3"/>
    </row>
    <row r="4" spans="1:14" x14ac:dyDescent="0.25">
      <c r="A4" s="1"/>
      <c r="B4" s="68">
        <f>'Monthly Cost Tracker 6'!B4</f>
        <v>45839</v>
      </c>
      <c r="C4" s="67">
        <f>'Monthly Cost Tracker 6'!C4</f>
        <v>45870</v>
      </c>
      <c r="D4" s="68">
        <f>'Monthly Cost Tracker 6'!D4</f>
        <v>45901</v>
      </c>
      <c r="E4" s="68">
        <f>'Monthly Cost Tracker 6'!E4</f>
        <v>45931</v>
      </c>
      <c r="F4" s="68">
        <f>'Monthly Cost Tracker 6'!F4</f>
        <v>45962</v>
      </c>
      <c r="G4" s="68">
        <f>'Monthly Cost Tracker 6'!G4</f>
        <v>45992</v>
      </c>
      <c r="H4" s="68">
        <f>'Monthly Cost Tracker 6'!H4</f>
        <v>46023</v>
      </c>
      <c r="I4" s="68">
        <f>'Monthly Cost Tracker 6'!I4</f>
        <v>46054</v>
      </c>
      <c r="J4" s="68">
        <f>'Monthly Cost Tracker 6'!J4</f>
        <v>46082</v>
      </c>
      <c r="K4" s="68">
        <f>'Monthly Cost Tracker 6'!K4</f>
        <v>46113</v>
      </c>
      <c r="L4" s="68">
        <f>'Monthly Cost Tracker 6'!L4</f>
        <v>46143</v>
      </c>
      <c r="M4" s="68">
        <f>'Monthly Cost Tracker 6'!M4</f>
        <v>46174</v>
      </c>
      <c r="N4" s="71">
        <f>'Monthly Cost Tracker 6'!N4</f>
        <v>46204</v>
      </c>
    </row>
    <row r="5" spans="1:14" x14ac:dyDescent="0.25">
      <c r="A5" s="2" t="s">
        <v>16</v>
      </c>
      <c r="B5" s="2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45"/>
    </row>
    <row r="6" spans="1:14" x14ac:dyDescent="0.25">
      <c r="A6" s="3" t="s">
        <v>244</v>
      </c>
      <c r="B6" s="76"/>
      <c r="C6" s="91"/>
      <c r="D6" s="77"/>
      <c r="E6" s="77"/>
      <c r="F6" s="77"/>
      <c r="G6" s="77"/>
      <c r="H6" s="77"/>
      <c r="I6" s="77"/>
      <c r="J6" s="77"/>
      <c r="K6" s="92"/>
      <c r="L6" s="92"/>
      <c r="M6" s="92"/>
      <c r="N6" s="93"/>
    </row>
    <row r="7" spans="1:14" x14ac:dyDescent="0.25">
      <c r="A7" s="3" t="s">
        <v>245</v>
      </c>
      <c r="B7" s="76"/>
      <c r="C7" s="91"/>
      <c r="D7" s="77"/>
      <c r="E7" s="77"/>
      <c r="F7" s="77"/>
      <c r="G7" s="77"/>
      <c r="H7" s="77"/>
      <c r="I7" s="77"/>
      <c r="J7" s="77"/>
      <c r="K7" s="92"/>
      <c r="L7" s="92"/>
      <c r="M7" s="92"/>
      <c r="N7" s="93"/>
    </row>
    <row r="8" spans="1:14" x14ac:dyDescent="0.25">
      <c r="A8" s="3" t="s">
        <v>246</v>
      </c>
      <c r="B8" s="76"/>
      <c r="C8" s="91"/>
      <c r="D8" s="77"/>
      <c r="E8" s="77"/>
      <c r="F8" s="77"/>
      <c r="G8" s="77"/>
      <c r="H8" s="77"/>
      <c r="I8" s="77"/>
      <c r="J8" s="77"/>
      <c r="K8" s="92"/>
      <c r="L8" s="92"/>
      <c r="M8" s="92"/>
      <c r="N8" s="93"/>
    </row>
    <row r="9" spans="1:14" x14ac:dyDescent="0.25">
      <c r="A9" s="3" t="s">
        <v>247</v>
      </c>
      <c r="B9" s="76"/>
      <c r="C9" s="91"/>
      <c r="D9" s="77"/>
      <c r="E9" s="77"/>
      <c r="F9" s="77"/>
      <c r="G9" s="77"/>
      <c r="H9" s="77"/>
      <c r="I9" s="77"/>
      <c r="J9" s="77"/>
      <c r="K9" s="92"/>
      <c r="L9" s="92"/>
      <c r="M9" s="92"/>
      <c r="N9" s="93"/>
    </row>
    <row r="10" spans="1:14" x14ac:dyDescent="0.25">
      <c r="A10" s="3" t="s">
        <v>248</v>
      </c>
      <c r="B10" s="76"/>
      <c r="C10" s="91"/>
      <c r="D10" s="77"/>
      <c r="E10" s="77"/>
      <c r="F10" s="77"/>
      <c r="G10" s="77"/>
      <c r="H10" s="77"/>
      <c r="I10" s="77"/>
      <c r="J10" s="77"/>
      <c r="K10" s="92"/>
      <c r="L10" s="92"/>
      <c r="M10" s="92"/>
      <c r="N10" s="93"/>
    </row>
    <row r="11" spans="1:14" x14ac:dyDescent="0.25">
      <c r="A11" s="3" t="s">
        <v>233</v>
      </c>
      <c r="B11" s="76"/>
      <c r="C11" s="91"/>
      <c r="D11" s="77"/>
      <c r="E11" s="77"/>
      <c r="F11" s="77"/>
      <c r="G11" s="77"/>
      <c r="H11" s="77"/>
      <c r="I11" s="77"/>
      <c r="J11" s="77"/>
      <c r="K11" s="92"/>
      <c r="L11" s="92"/>
      <c r="M11" s="92"/>
      <c r="N11" s="93"/>
    </row>
    <row r="12" spans="1:14" x14ac:dyDescent="0.25">
      <c r="A12" s="3" t="s">
        <v>234</v>
      </c>
      <c r="B12" s="76"/>
      <c r="C12" s="91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3"/>
    </row>
    <row r="13" spans="1:14" x14ac:dyDescent="0.25">
      <c r="A13" s="3" t="s">
        <v>235</v>
      </c>
      <c r="B13" s="76"/>
      <c r="C13" s="91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3"/>
    </row>
    <row r="14" spans="1:14" x14ac:dyDescent="0.25">
      <c r="A14" s="3" t="s">
        <v>236</v>
      </c>
      <c r="B14" s="76"/>
      <c r="C14" s="91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3"/>
    </row>
    <row r="15" spans="1:14" x14ac:dyDescent="0.25">
      <c r="A15" s="3" t="s">
        <v>2</v>
      </c>
      <c r="B15" s="76"/>
      <c r="C15" s="91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3"/>
    </row>
    <row r="16" spans="1:14" x14ac:dyDescent="0.25">
      <c r="A16" s="3" t="s">
        <v>3</v>
      </c>
      <c r="B16" s="76"/>
      <c r="C16" s="91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3"/>
    </row>
    <row r="17" spans="1:14" x14ac:dyDescent="0.25">
      <c r="A17" s="3" t="s">
        <v>4</v>
      </c>
      <c r="B17" s="76"/>
      <c r="C17" s="91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3"/>
    </row>
    <row r="18" spans="1:14" x14ac:dyDescent="0.25">
      <c r="A18" s="3" t="s">
        <v>117</v>
      </c>
      <c r="B18" s="76"/>
      <c r="C18" s="91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3"/>
    </row>
    <row r="19" spans="1:14" x14ac:dyDescent="0.25">
      <c r="A19" s="3" t="s">
        <v>5</v>
      </c>
      <c r="B19" s="76"/>
      <c r="C19" s="91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3"/>
    </row>
    <row r="20" spans="1:14" ht="15.75" thickBot="1" x14ac:dyDescent="0.3">
      <c r="A20" s="2" t="s">
        <v>6</v>
      </c>
      <c r="B20" s="2"/>
      <c r="C20" s="72">
        <f t="shared" ref="C20:N20" si="0">SUM(C6:C19)</f>
        <v>0</v>
      </c>
      <c r="D20" s="73">
        <f t="shared" si="0"/>
        <v>0</v>
      </c>
      <c r="E20" s="73">
        <f t="shared" si="0"/>
        <v>0</v>
      </c>
      <c r="F20" s="73">
        <f t="shared" si="0"/>
        <v>0</v>
      </c>
      <c r="G20" s="73">
        <f t="shared" si="0"/>
        <v>0</v>
      </c>
      <c r="H20" s="73">
        <f t="shared" si="0"/>
        <v>0</v>
      </c>
      <c r="I20" s="73">
        <f t="shared" si="0"/>
        <v>0</v>
      </c>
      <c r="J20" s="73">
        <f t="shared" si="0"/>
        <v>0</v>
      </c>
      <c r="K20" s="73">
        <f t="shared" si="0"/>
        <v>0</v>
      </c>
      <c r="L20" s="73">
        <f t="shared" si="0"/>
        <v>0</v>
      </c>
      <c r="M20" s="73">
        <f t="shared" si="0"/>
        <v>0</v>
      </c>
      <c r="N20" s="74">
        <f t="shared" si="0"/>
        <v>0</v>
      </c>
    </row>
    <row r="21" spans="1:14" x14ac:dyDescent="0.25">
      <c r="B21" s="75"/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49"/>
    </row>
    <row r="22" spans="1:14" x14ac:dyDescent="0.25">
      <c r="A22" s="3" t="s">
        <v>116</v>
      </c>
      <c r="B22" s="76"/>
      <c r="C22" s="2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89">
        <v>-859247.41999999993</v>
      </c>
      <c r="J22" s="89">
        <v>-878884.90999999992</v>
      </c>
      <c r="K22" s="89">
        <v>-800127.04</v>
      </c>
      <c r="L22" s="89">
        <v>-767768.63</v>
      </c>
      <c r="M22" s="89">
        <v>-937409.71</v>
      </c>
      <c r="N22" s="96">
        <v>-1137062.8699999999</v>
      </c>
    </row>
    <row r="23" spans="1:14" x14ac:dyDescent="0.25">
      <c r="A23" s="3" t="s">
        <v>17</v>
      </c>
      <c r="B23" s="76"/>
      <c r="C23" s="2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50">
        <v>0</v>
      </c>
    </row>
    <row r="24" spans="1:14" x14ac:dyDescent="0.25">
      <c r="A24" s="3" t="s">
        <v>18</v>
      </c>
      <c r="B24" s="76"/>
      <c r="C24" s="2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50">
        <v>0</v>
      </c>
    </row>
    <row r="25" spans="1:14" x14ac:dyDescent="0.25">
      <c r="A25" s="2" t="s">
        <v>19</v>
      </c>
      <c r="B25" s="2"/>
      <c r="C25" s="91">
        <f t="shared" ref="C25:H25" si="1">+C23+C24</f>
        <v>0</v>
      </c>
      <c r="D25" s="77">
        <f t="shared" si="1"/>
        <v>0</v>
      </c>
      <c r="E25" s="77">
        <f t="shared" si="1"/>
        <v>0</v>
      </c>
      <c r="F25" s="77">
        <f t="shared" si="1"/>
        <v>0</v>
      </c>
      <c r="G25" s="77">
        <f t="shared" si="1"/>
        <v>0</v>
      </c>
      <c r="H25" s="77">
        <f t="shared" si="1"/>
        <v>0</v>
      </c>
      <c r="I25" s="77">
        <f t="shared" ref="I25:N25" si="2">+I23+I24+I22</f>
        <v>-859247.41999999993</v>
      </c>
      <c r="J25" s="77">
        <f t="shared" si="2"/>
        <v>-878884.90999999992</v>
      </c>
      <c r="K25" s="77">
        <f t="shared" si="2"/>
        <v>-800127.04</v>
      </c>
      <c r="L25" s="77">
        <f t="shared" si="2"/>
        <v>-767768.63</v>
      </c>
      <c r="M25" s="77">
        <f t="shared" si="2"/>
        <v>-937409.71</v>
      </c>
      <c r="N25" s="78">
        <f t="shared" si="2"/>
        <v>-1137062.8699999999</v>
      </c>
    </row>
    <row r="26" spans="1:14" ht="15.75" thickBot="1" x14ac:dyDescent="0.3">
      <c r="A26" s="4" t="s">
        <v>7</v>
      </c>
      <c r="B26" s="4"/>
      <c r="C26" s="28">
        <f t="shared" ref="C26:H26" si="3">-C25+C20</f>
        <v>0</v>
      </c>
      <c r="D26" s="19">
        <f t="shared" si="3"/>
        <v>0</v>
      </c>
      <c r="E26" s="19">
        <f t="shared" si="3"/>
        <v>0</v>
      </c>
      <c r="F26" s="19">
        <f t="shared" si="3"/>
        <v>0</v>
      </c>
      <c r="G26" s="19">
        <f t="shared" si="3"/>
        <v>0</v>
      </c>
      <c r="H26" s="19">
        <f t="shared" si="3"/>
        <v>0</v>
      </c>
      <c r="I26" s="19">
        <f t="shared" ref="I26:N26" si="4">I25</f>
        <v>-859247.41999999993</v>
      </c>
      <c r="J26" s="19">
        <f t="shared" si="4"/>
        <v>-878884.90999999992</v>
      </c>
      <c r="K26" s="19">
        <f t="shared" si="4"/>
        <v>-800127.04</v>
      </c>
      <c r="L26" s="19">
        <f t="shared" si="4"/>
        <v>-767768.63</v>
      </c>
      <c r="M26" s="19">
        <f t="shared" si="4"/>
        <v>-937409.71</v>
      </c>
      <c r="N26" s="52">
        <f t="shared" si="4"/>
        <v>-1137062.8699999999</v>
      </c>
    </row>
    <row r="27" spans="1:14" x14ac:dyDescent="0.25">
      <c r="A27" s="2"/>
      <c r="B27" s="2"/>
      <c r="C27" s="12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45"/>
    </row>
    <row r="28" spans="1:14" x14ac:dyDescent="0.25">
      <c r="A28" s="33" t="s">
        <v>8</v>
      </c>
      <c r="B28" s="33"/>
      <c r="C28" s="79">
        <f>+'Aug 25 Int'!G6/12</f>
        <v>3.8069737980225408E-3</v>
      </c>
      <c r="D28" s="80">
        <f>+'Sept 25 Int'!G6/12</f>
        <v>3.6723125820898113E-3</v>
      </c>
      <c r="E28" s="80">
        <f>+'Oct 25 Int'!G6/12</f>
        <v>3.4541566901431088E-3</v>
      </c>
      <c r="F28" s="80">
        <f>'Nov 25 Int'!G6/12</f>
        <v>3.3009315866972667E-3</v>
      </c>
      <c r="G28" s="80">
        <f>'Dec 25 Int'!G6/12</f>
        <v>3.1940240560752839E-3</v>
      </c>
      <c r="H28" s="80">
        <f>'Jan 26 Int'!G6/12</f>
        <v>3.1753980105190005E-3</v>
      </c>
      <c r="I28" s="80">
        <f>'Feb 26 Int'!G6/12</f>
        <v>3.1920585912917393E-3</v>
      </c>
      <c r="J28" s="80">
        <f>'Mar 26 Int'!G6/12</f>
        <v>3.2478473141569954E-3</v>
      </c>
      <c r="K28" s="80">
        <f>'Apr 26 Int'!G6/12</f>
        <v>3.288105662660717E-3</v>
      </c>
      <c r="L28" s="80">
        <f>'May 26 Int'!G6/12</f>
        <v>3.2559205108200991E-3</v>
      </c>
      <c r="M28" s="80">
        <f>'Jun 26 Int'!G6/12</f>
        <v>3.2609388223866658E-3</v>
      </c>
      <c r="N28" s="81">
        <f>'Jul 26 Int'!G6/12</f>
        <v>3.2456047846463557E-3</v>
      </c>
    </row>
    <row r="29" spans="1:14" x14ac:dyDescent="0.25">
      <c r="A29" s="6" t="s">
        <v>9</v>
      </c>
      <c r="B29" s="6"/>
      <c r="C29" s="82">
        <f>(C26+B33)*C28</f>
        <v>47639.04809211984</v>
      </c>
      <c r="D29" s="83">
        <f t="shared" ref="D29:N29" si="5">(D26+C33)*D28</f>
        <v>46128.893411557554</v>
      </c>
      <c r="E29" s="83">
        <f t="shared" si="5"/>
        <v>43547.915754116912</v>
      </c>
      <c r="F29" s="83">
        <f t="shared" si="5"/>
        <v>41759.895131775142</v>
      </c>
      <c r="G29" s="83">
        <f t="shared" si="5"/>
        <v>40540.796237084265</v>
      </c>
      <c r="H29" s="83">
        <f t="shared" si="5"/>
        <v>40433.114550961131</v>
      </c>
      <c r="I29" s="83">
        <f>(I26+H33)*I28</f>
        <v>31315.886080405198</v>
      </c>
      <c r="J29" s="83">
        <f t="shared" si="5"/>
        <v>29110.429980986253</v>
      </c>
      <c r="K29" s="83">
        <f t="shared" si="5"/>
        <v>26936.081161185586</v>
      </c>
      <c r="L29" s="83">
        <f t="shared" si="5"/>
        <v>24260.329293711238</v>
      </c>
      <c r="M29" s="83">
        <f t="shared" si="5"/>
        <v>21319.997184584037</v>
      </c>
      <c r="N29" s="94">
        <f t="shared" si="5"/>
        <v>17598.482937371875</v>
      </c>
    </row>
    <row r="30" spans="1:14" x14ac:dyDescent="0.25">
      <c r="A30" s="6"/>
      <c r="B30" s="6"/>
      <c r="C30" s="82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94"/>
    </row>
    <row r="31" spans="1:14" x14ac:dyDescent="0.25">
      <c r="A31" s="2" t="s">
        <v>270</v>
      </c>
      <c r="B31" s="6"/>
      <c r="C31" s="82"/>
      <c r="D31" s="83"/>
      <c r="E31" s="83"/>
      <c r="F31" s="83"/>
      <c r="G31" s="83"/>
      <c r="H31" s="95">
        <f>-'Monthly Cost Tracker 6'!H31</f>
        <v>-2103867.54</v>
      </c>
      <c r="I31" s="83"/>
      <c r="J31" s="83"/>
      <c r="K31" s="83"/>
      <c r="L31" s="83"/>
      <c r="M31" s="83"/>
      <c r="N31" s="94"/>
    </row>
    <row r="32" spans="1:14" x14ac:dyDescent="0.25">
      <c r="A32" s="2"/>
      <c r="B32" s="2"/>
      <c r="C32" s="85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7"/>
    </row>
    <row r="33" spans="1:14" ht="15.75" thickBot="1" x14ac:dyDescent="0.3">
      <c r="A33" s="4" t="s">
        <v>10</v>
      </c>
      <c r="B33" s="90">
        <v>12513626.470679946</v>
      </c>
      <c r="C33" s="28">
        <f>C26+C29+B33</f>
        <v>12561265.518772066</v>
      </c>
      <c r="D33" s="19">
        <f>D26+D29+C33</f>
        <v>12607394.412183624</v>
      </c>
      <c r="E33" s="19">
        <f t="shared" ref="E33:N33" si="6">E26+E29+D33</f>
        <v>12650942.327937741</v>
      </c>
      <c r="F33" s="19">
        <f t="shared" si="6"/>
        <v>12692702.223069515</v>
      </c>
      <c r="G33" s="19">
        <f t="shared" si="6"/>
        <v>12733243.0193066</v>
      </c>
      <c r="H33" s="19">
        <f>H26+H29+G33+H31</f>
        <v>10669808.59385756</v>
      </c>
      <c r="I33" s="19">
        <f t="shared" si="6"/>
        <v>9841877.0599379651</v>
      </c>
      <c r="J33" s="19">
        <f t="shared" si="6"/>
        <v>8992102.5799189508</v>
      </c>
      <c r="K33" s="19">
        <f t="shared" si="6"/>
        <v>8218911.6210801359</v>
      </c>
      <c r="L33" s="19">
        <f t="shared" si="6"/>
        <v>7475403.3203738471</v>
      </c>
      <c r="M33" s="19">
        <f t="shared" si="6"/>
        <v>6559313.6075584311</v>
      </c>
      <c r="N33" s="52">
        <f t="shared" si="6"/>
        <v>5439849.2204958033</v>
      </c>
    </row>
    <row r="34" spans="1:14" x14ac:dyDescent="0.25">
      <c r="B34" s="2"/>
    </row>
    <row r="40" spans="1:14" x14ac:dyDescent="0.25">
      <c r="C40" s="14"/>
      <c r="D40" s="14"/>
      <c r="E40" s="14"/>
      <c r="F40" s="14"/>
      <c r="G40" s="14"/>
      <c r="H40" s="14"/>
      <c r="I40" s="14"/>
    </row>
    <row r="41" spans="1:14" x14ac:dyDescent="0.25">
      <c r="C41" s="15"/>
      <c r="D41" s="15"/>
      <c r="E41" s="15"/>
      <c r="F41" s="15"/>
      <c r="G41" s="15"/>
      <c r="H41" s="15"/>
      <c r="I41" s="15"/>
    </row>
    <row r="42" spans="1:14" x14ac:dyDescent="0.25">
      <c r="C42" s="15"/>
      <c r="D42" s="15"/>
      <c r="E42" s="15"/>
      <c r="F42" s="15"/>
      <c r="G42" s="15"/>
      <c r="H42" s="15"/>
      <c r="I42" s="15"/>
    </row>
    <row r="43" spans="1:14" x14ac:dyDescent="0.25">
      <c r="C43" s="15"/>
      <c r="D43" s="15"/>
      <c r="E43" s="15"/>
      <c r="F43" s="15"/>
      <c r="G43" s="15"/>
      <c r="H43" s="15"/>
      <c r="I43" s="15"/>
    </row>
  </sheetData>
  <mergeCells count="1">
    <mergeCell ref="C3:N3"/>
  </mergeCells>
  <pageMargins left="0.7" right="0.7" top="0.75" bottom="0.75" header="0.3" footer="0.3"/>
  <pageSetup scale="50" fitToHeight="0" orientation="landscape" r:id="rId1"/>
  <headerFooter>
    <oddFooter>&amp;CSchedule RL-1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M42"/>
  <sheetViews>
    <sheetView zoomScaleNormal="100" workbookViewId="0">
      <pane xSplit="1" topLeftCell="B1" activePane="topRight" state="frozen"/>
      <selection activeCell="B12" sqref="B12"/>
      <selection pane="topRight" activeCell="A18" sqref="A18"/>
    </sheetView>
  </sheetViews>
  <sheetFormatPr defaultColWidth="13.42578125" defaultRowHeight="15" x14ac:dyDescent="0.25"/>
  <cols>
    <col min="1" max="1" width="55.42578125" customWidth="1"/>
    <col min="2" max="2" width="15.140625" bestFit="1" customWidth="1"/>
    <col min="3" max="3" width="14.7109375" bestFit="1" customWidth="1"/>
    <col min="4" max="4" width="14" bestFit="1" customWidth="1"/>
    <col min="5" max="9" width="14.85546875" bestFit="1" customWidth="1"/>
    <col min="10" max="11" width="14.42578125" bestFit="1" customWidth="1"/>
    <col min="12" max="12" width="15.140625" bestFit="1" customWidth="1"/>
    <col min="13" max="13" width="14.7109375" bestFit="1" customWidth="1"/>
  </cols>
  <sheetData>
    <row r="1" spans="1:13" x14ac:dyDescent="0.25">
      <c r="A1" t="s">
        <v>0</v>
      </c>
    </row>
    <row r="2" spans="1:13" ht="15.75" thickBot="1" x14ac:dyDescent="0.3">
      <c r="A2" t="s">
        <v>1</v>
      </c>
    </row>
    <row r="3" spans="1:13" ht="15.75" thickBot="1" x14ac:dyDescent="0.3">
      <c r="A3" t="s">
        <v>271</v>
      </c>
      <c r="B3" s="251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3"/>
    </row>
    <row r="4" spans="1:13" x14ac:dyDescent="0.25">
      <c r="A4" s="1"/>
      <c r="B4" s="67">
        <f>'Monthly Cost Tracker 6'!C4</f>
        <v>45870</v>
      </c>
      <c r="C4" s="68">
        <f>'Monthly Cost Tracker 6'!D4</f>
        <v>45901</v>
      </c>
      <c r="D4" s="68">
        <f>'Monthly Cost Tracker 6'!E4</f>
        <v>45931</v>
      </c>
      <c r="E4" s="68">
        <f>'Monthly Cost Tracker 6'!F4</f>
        <v>45962</v>
      </c>
      <c r="F4" s="68">
        <f>'Monthly Cost Tracker 6'!G4</f>
        <v>45992</v>
      </c>
      <c r="G4" s="68">
        <f>'Monthly Cost Tracker 6'!H4</f>
        <v>46023</v>
      </c>
      <c r="H4" s="68">
        <f>'Monthly Cost Tracker 6'!I4</f>
        <v>46054</v>
      </c>
      <c r="I4" s="68">
        <f>'Monthly Cost Tracker 6'!J4</f>
        <v>46082</v>
      </c>
      <c r="J4" s="68">
        <f>'Monthly Cost Tracker 6'!K4</f>
        <v>46113</v>
      </c>
      <c r="K4" s="68">
        <f>'Monthly Cost Tracker 6'!L4</f>
        <v>46143</v>
      </c>
      <c r="L4" s="68">
        <f>'Monthly Cost Tracker 6'!M4</f>
        <v>46174</v>
      </c>
      <c r="M4" s="69">
        <f>'Monthly Cost Tracker 6'!N4</f>
        <v>46204</v>
      </c>
    </row>
    <row r="5" spans="1:13" x14ac:dyDescent="0.25">
      <c r="A5" s="2" t="s">
        <v>16</v>
      </c>
      <c r="B5" s="70"/>
      <c r="C5" s="97"/>
      <c r="D5" s="97"/>
      <c r="E5" s="97"/>
      <c r="F5" s="97"/>
      <c r="G5" s="97"/>
      <c r="H5" s="97"/>
      <c r="I5" s="97"/>
      <c r="J5" s="97"/>
      <c r="K5" s="97"/>
      <c r="L5" s="97"/>
      <c r="M5" s="98"/>
    </row>
    <row r="6" spans="1:13" x14ac:dyDescent="0.25">
      <c r="A6" s="3" t="s">
        <v>272</v>
      </c>
      <c r="B6" s="70">
        <v>94608.86</v>
      </c>
      <c r="C6" s="24">
        <v>81405.02</v>
      </c>
      <c r="D6" s="24">
        <v>283050.68</v>
      </c>
      <c r="E6" s="24">
        <v>92189.459999999948</v>
      </c>
      <c r="F6" s="24">
        <v>486018.52000000014</v>
      </c>
      <c r="G6" s="24">
        <v>11557.55</v>
      </c>
      <c r="H6" s="24">
        <v>7873.04</v>
      </c>
      <c r="I6" s="24">
        <v>1416593.02</v>
      </c>
      <c r="J6" s="24">
        <v>46100.85</v>
      </c>
      <c r="K6" s="24">
        <v>12462.349999999999</v>
      </c>
      <c r="L6" s="24">
        <v>17882.800000000003</v>
      </c>
      <c r="M6" s="47">
        <v>329299.78999999998</v>
      </c>
    </row>
    <row r="7" spans="1:13" x14ac:dyDescent="0.25">
      <c r="A7" s="3" t="s">
        <v>273</v>
      </c>
      <c r="B7" s="70">
        <v>2906.7400000000007</v>
      </c>
      <c r="C7" s="24">
        <v>5315.05</v>
      </c>
      <c r="D7" s="24">
        <v>7075.0999999999976</v>
      </c>
      <c r="E7" s="24">
        <v>3035.650000000001</v>
      </c>
      <c r="F7" s="24">
        <v>39874.76</v>
      </c>
      <c r="G7" s="24">
        <v>409.06999999999994</v>
      </c>
      <c r="H7" s="24">
        <v>252.58</v>
      </c>
      <c r="I7" s="24">
        <v>670.2299999999999</v>
      </c>
      <c r="J7" s="24">
        <v>6543.53</v>
      </c>
      <c r="K7" s="24">
        <v>1913.8600000000001</v>
      </c>
      <c r="L7" s="24">
        <v>7621.0199999999995</v>
      </c>
      <c r="M7" s="47">
        <v>3732.0100000000007</v>
      </c>
    </row>
    <row r="8" spans="1:13" x14ac:dyDescent="0.25">
      <c r="A8" s="3" t="s">
        <v>274</v>
      </c>
      <c r="B8" s="70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12308.210000000001</v>
      </c>
      <c r="L8" s="24">
        <v>2746.25</v>
      </c>
      <c r="M8" s="47">
        <v>3137.3000000000011</v>
      </c>
    </row>
    <row r="9" spans="1:13" x14ac:dyDescent="0.25">
      <c r="A9" s="3" t="s">
        <v>275</v>
      </c>
      <c r="B9" s="70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47">
        <v>0</v>
      </c>
    </row>
    <row r="10" spans="1:13" x14ac:dyDescent="0.25">
      <c r="A10" s="3" t="s">
        <v>276</v>
      </c>
      <c r="B10" s="70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47">
        <v>0</v>
      </c>
    </row>
    <row r="11" spans="1:13" x14ac:dyDescent="0.25">
      <c r="A11" s="3" t="s">
        <v>277</v>
      </c>
      <c r="B11" s="70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47">
        <v>0</v>
      </c>
    </row>
    <row r="12" spans="1:13" x14ac:dyDescent="0.25">
      <c r="A12" s="3" t="s">
        <v>234</v>
      </c>
      <c r="B12" s="70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47">
        <v>0</v>
      </c>
    </row>
    <row r="13" spans="1:13" x14ac:dyDescent="0.25">
      <c r="A13" s="3" t="s">
        <v>278</v>
      </c>
      <c r="B13" s="70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-1200000</v>
      </c>
      <c r="K13" s="24">
        <v>-4182506.69</v>
      </c>
      <c r="L13" s="24">
        <v>0</v>
      </c>
      <c r="M13" s="47">
        <v>0</v>
      </c>
    </row>
    <row r="14" spans="1:13" x14ac:dyDescent="0.25">
      <c r="A14" s="3" t="s">
        <v>235</v>
      </c>
      <c r="B14" s="70">
        <v>-14798674.299731195</v>
      </c>
      <c r="C14" s="24">
        <v>-10821619.97379142</v>
      </c>
      <c r="D14" s="24">
        <v>1046489.2360112891</v>
      </c>
      <c r="E14" s="24">
        <v>-2375288.40109431</v>
      </c>
      <c r="F14" s="24">
        <v>-2889753.445317477</v>
      </c>
      <c r="G14" s="24">
        <v>-3549272.7707787836</v>
      </c>
      <c r="H14" s="24">
        <v>-3522225.2275865572</v>
      </c>
      <c r="I14" s="24">
        <v>-1492946.2420386318</v>
      </c>
      <c r="J14" s="24">
        <v>728680.50030993484</v>
      </c>
      <c r="K14" s="24">
        <v>-787335.62170589343</v>
      </c>
      <c r="L14" s="24">
        <v>-17696947.820982553</v>
      </c>
      <c r="M14" s="47">
        <v>-18148297.343163297</v>
      </c>
    </row>
    <row r="15" spans="1:13" x14ac:dyDescent="0.25">
      <c r="A15" s="3" t="s">
        <v>236</v>
      </c>
      <c r="B15" s="70">
        <v>-7758623.6500000246</v>
      </c>
      <c r="C15" s="24">
        <v>-1377950.7600000203</v>
      </c>
      <c r="D15" s="24">
        <v>-1583900.5900000145</v>
      </c>
      <c r="E15" s="24">
        <v>-3825576.640000002</v>
      </c>
      <c r="F15" s="24">
        <v>-4581872.3000000007</v>
      </c>
      <c r="G15" s="24">
        <v>-11353441.660000002</v>
      </c>
      <c r="H15" s="24">
        <v>-4998471.6599999843</v>
      </c>
      <c r="I15" s="24">
        <v>-5797047.5399999851</v>
      </c>
      <c r="J15" s="24">
        <v>-4022670.0199999893</v>
      </c>
      <c r="K15" s="24">
        <v>-3241973.8299999936</v>
      </c>
      <c r="L15" s="24">
        <v>-7210605.9300000062</v>
      </c>
      <c r="M15" s="47">
        <v>-9585315.1999999955</v>
      </c>
    </row>
    <row r="16" spans="1:13" x14ac:dyDescent="0.25">
      <c r="A16" s="3" t="s">
        <v>2</v>
      </c>
      <c r="B16" s="70">
        <v>8507831.2549342569</v>
      </c>
      <c r="C16" s="24">
        <v>8499539.2549342569</v>
      </c>
      <c r="D16" s="24">
        <v>8491256.2549342569</v>
      </c>
      <c r="E16" s="24">
        <v>8483414.2549342569</v>
      </c>
      <c r="F16" s="24">
        <v>8476673.2549342569</v>
      </c>
      <c r="G16" s="24">
        <v>8470687.2549342569</v>
      </c>
      <c r="H16" s="24">
        <v>8464179.2549342569</v>
      </c>
      <c r="I16" s="24">
        <v>8457146.2549342569</v>
      </c>
      <c r="J16" s="24">
        <v>8450413.2549342569</v>
      </c>
      <c r="K16" s="24">
        <v>8443605.2549342569</v>
      </c>
      <c r="L16" s="24">
        <v>8439619.2549342569</v>
      </c>
      <c r="M16" s="47">
        <v>8435594.2549342569</v>
      </c>
    </row>
    <row r="17" spans="1:13" x14ac:dyDescent="0.25">
      <c r="A17" s="3" t="s">
        <v>3</v>
      </c>
      <c r="B17" s="70">
        <v>4554620.6140330834</v>
      </c>
      <c r="C17" s="24">
        <v>4554646.6140330834</v>
      </c>
      <c r="D17" s="24">
        <v>4554676.6140330834</v>
      </c>
      <c r="E17" s="24">
        <v>4554978.6140330834</v>
      </c>
      <c r="F17" s="24">
        <v>4555811.6140330834</v>
      </c>
      <c r="G17" s="24">
        <v>4556333.6140330834</v>
      </c>
      <c r="H17" s="24">
        <v>4560619.6140330834</v>
      </c>
      <c r="I17" s="24">
        <v>4556904.6140330834</v>
      </c>
      <c r="J17" s="24">
        <v>4557128.6140330834</v>
      </c>
      <c r="K17" s="24">
        <v>4557264.6140330834</v>
      </c>
      <c r="L17" s="24">
        <v>4558583.6140330834</v>
      </c>
      <c r="M17" s="47">
        <v>4559941.6140330834</v>
      </c>
    </row>
    <row r="18" spans="1:13" x14ac:dyDescent="0.25">
      <c r="A18" s="3" t="s">
        <v>4</v>
      </c>
      <c r="B18" s="70">
        <v>821252.36999999988</v>
      </c>
      <c r="C18" s="24">
        <v>1689448.35</v>
      </c>
      <c r="D18" s="24">
        <v>2411793.6900000004</v>
      </c>
      <c r="E18" s="24">
        <v>1419338.27</v>
      </c>
      <c r="F18" s="24">
        <v>4271205.3899999997</v>
      </c>
      <c r="G18" s="24">
        <v>3353469.3699999987</v>
      </c>
      <c r="H18" s="24">
        <v>1163166.3800000001</v>
      </c>
      <c r="I18" s="24">
        <v>2913914.4099999992</v>
      </c>
      <c r="J18" s="24">
        <v>2499521.0100000002</v>
      </c>
      <c r="K18" s="24">
        <v>1723356.78</v>
      </c>
      <c r="L18" s="24">
        <v>2310756.9100000006</v>
      </c>
      <c r="M18" s="47">
        <v>1727783.2199999997</v>
      </c>
    </row>
    <row r="19" spans="1:13" x14ac:dyDescent="0.25">
      <c r="A19" s="3" t="s">
        <v>117</v>
      </c>
      <c r="B19" s="70">
        <v>235298.51</v>
      </c>
      <c r="C19" s="24">
        <v>216148.43000000002</v>
      </c>
      <c r="D19" s="24">
        <v>216149.51</v>
      </c>
      <c r="E19" s="24">
        <v>216149.51</v>
      </c>
      <c r="F19" s="24">
        <v>216149.51</v>
      </c>
      <c r="G19" s="24">
        <v>208669.51</v>
      </c>
      <c r="H19" s="24">
        <v>215214.51</v>
      </c>
      <c r="I19" s="24">
        <v>215214.51</v>
      </c>
      <c r="J19" s="24">
        <v>215214.51</v>
      </c>
      <c r="K19" s="24">
        <v>215214.51</v>
      </c>
      <c r="L19" s="24">
        <v>213155.83000000002</v>
      </c>
      <c r="M19" s="47">
        <v>213315.51</v>
      </c>
    </row>
    <row r="20" spans="1:13" x14ac:dyDescent="0.25">
      <c r="A20" s="3" t="s">
        <v>5</v>
      </c>
      <c r="B20" s="70">
        <v>791666.66666666663</v>
      </c>
      <c r="C20" s="24">
        <v>791666.66666666663</v>
      </c>
      <c r="D20" s="24">
        <v>791666.66666666663</v>
      </c>
      <c r="E20" s="24">
        <v>791666.66666666663</v>
      </c>
      <c r="F20" s="24">
        <v>1145467.6666666679</v>
      </c>
      <c r="G20" s="24">
        <v>820833.33333333337</v>
      </c>
      <c r="H20" s="24">
        <v>820833.33333333337</v>
      </c>
      <c r="I20" s="24">
        <v>820833.33333333337</v>
      </c>
      <c r="J20" s="24">
        <v>820833.33333333337</v>
      </c>
      <c r="K20" s="24">
        <v>820833.33333333337</v>
      </c>
      <c r="L20" s="24">
        <v>1020833.3333333329</v>
      </c>
      <c r="M20" s="47">
        <v>854166.66666666663</v>
      </c>
    </row>
    <row r="21" spans="1:13" ht="15.75" thickBot="1" x14ac:dyDescent="0.3">
      <c r="A21" s="2" t="s">
        <v>6</v>
      </c>
      <c r="B21" s="99">
        <f t="shared" ref="B21:M21" si="0">SUM(B6:B20)</f>
        <v>-7549112.9340972165</v>
      </c>
      <c r="C21" s="100">
        <f t="shared" si="0"/>
        <v>3638598.6518425667</v>
      </c>
      <c r="D21" s="100">
        <f t="shared" si="0"/>
        <v>16218257.161645282</v>
      </c>
      <c r="E21" s="100">
        <f t="shared" si="0"/>
        <v>9359907.3845396936</v>
      </c>
      <c r="F21" s="100">
        <f t="shared" si="0"/>
        <v>11719574.970316531</v>
      </c>
      <c r="G21" s="100">
        <f t="shared" si="0"/>
        <v>2519245.2715218868</v>
      </c>
      <c r="H21" s="100">
        <f t="shared" si="0"/>
        <v>6711441.8247141326</v>
      </c>
      <c r="I21" s="100">
        <f t="shared" si="0"/>
        <v>11091282.590262055</v>
      </c>
      <c r="J21" s="100">
        <f t="shared" si="0"/>
        <v>12101765.58261062</v>
      </c>
      <c r="K21" s="100">
        <f t="shared" si="0"/>
        <v>7575142.7705947869</v>
      </c>
      <c r="L21" s="100">
        <f t="shared" si="0"/>
        <v>-8336354.7386818873</v>
      </c>
      <c r="M21" s="101">
        <f t="shared" si="0"/>
        <v>-11606642.177529283</v>
      </c>
    </row>
    <row r="22" spans="1:13" x14ac:dyDescent="0.25">
      <c r="B22" s="25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3"/>
    </row>
    <row r="23" spans="1:13" x14ac:dyDescent="0.25">
      <c r="A23" s="3" t="s">
        <v>116</v>
      </c>
      <c r="B23" s="104">
        <v>0</v>
      </c>
      <c r="C23" s="105">
        <v>0</v>
      </c>
      <c r="D23" s="105">
        <v>0</v>
      </c>
      <c r="E23" s="105">
        <v>0</v>
      </c>
      <c r="F23" s="105">
        <v>0</v>
      </c>
      <c r="G23" s="105">
        <v>0</v>
      </c>
      <c r="H23" s="105">
        <v>0</v>
      </c>
      <c r="I23" s="105">
        <v>0</v>
      </c>
      <c r="J23" s="105">
        <v>0</v>
      </c>
      <c r="K23" s="105">
        <v>0</v>
      </c>
      <c r="L23" s="105">
        <v>0</v>
      </c>
      <c r="M23" s="106">
        <v>0</v>
      </c>
    </row>
    <row r="24" spans="1:13" x14ac:dyDescent="0.25">
      <c r="A24" s="3" t="s">
        <v>17</v>
      </c>
      <c r="B24" s="245">
        <v>0</v>
      </c>
      <c r="C24" s="246">
        <v>0</v>
      </c>
      <c r="D24" s="246">
        <v>0</v>
      </c>
      <c r="E24" s="246">
        <v>0</v>
      </c>
      <c r="F24" s="246">
        <v>0</v>
      </c>
      <c r="G24" s="246">
        <v>0</v>
      </c>
      <c r="H24" s="246">
        <v>4399180.3430433227</v>
      </c>
      <c r="I24" s="246">
        <v>4399180.3430433227</v>
      </c>
      <c r="J24" s="246">
        <v>4399180.3430433227</v>
      </c>
      <c r="K24" s="246">
        <v>4399180.3430433227</v>
      </c>
      <c r="L24" s="246">
        <v>4399180.3430433227</v>
      </c>
      <c r="M24" s="96">
        <v>4399180.3430433227</v>
      </c>
    </row>
    <row r="25" spans="1:13" x14ac:dyDescent="0.25">
      <c r="A25" s="3" t="s">
        <v>18</v>
      </c>
      <c r="B25" s="104">
        <f>'ER-2024-0319'!$C$52</f>
        <v>198408.62274531857</v>
      </c>
      <c r="C25" s="105">
        <f>'ER-2024-0319'!$C$52</f>
        <v>198408.62274531857</v>
      </c>
      <c r="D25" s="105">
        <f>'ER-2024-0319'!$C$52</f>
        <v>198408.62274531857</v>
      </c>
      <c r="E25" s="105">
        <f>'ER-2024-0319'!$C$52</f>
        <v>198408.62274531857</v>
      </c>
      <c r="F25" s="105">
        <f>'ER-2024-0319'!$C$52</f>
        <v>198408.62274531857</v>
      </c>
      <c r="G25" s="105">
        <f>'ER-2024-0319'!$C$52</f>
        <v>198408.62274531857</v>
      </c>
      <c r="H25" s="105">
        <f>'ER-2024-0319'!$C$52</f>
        <v>198408.62274531857</v>
      </c>
      <c r="I25" s="105">
        <f>'ER-2024-0319'!$C$52</f>
        <v>198408.62274531857</v>
      </c>
      <c r="J25" s="105">
        <f>'ER-2024-0319'!$C$52</f>
        <v>198408.62274531857</v>
      </c>
      <c r="K25" s="105">
        <f>'ER-2024-0319'!$C$52</f>
        <v>198408.62274531857</v>
      </c>
      <c r="L25" s="105">
        <f>'ER-2024-0319'!$C$52</f>
        <v>198408.62274531857</v>
      </c>
      <c r="M25" s="106">
        <f>'ER-2024-0319'!$C$52</f>
        <v>198408.62274531857</v>
      </c>
    </row>
    <row r="26" spans="1:13" x14ac:dyDescent="0.25">
      <c r="A26" s="2" t="s">
        <v>19</v>
      </c>
      <c r="B26" s="23">
        <f>+B24+B25</f>
        <v>198408.62274531857</v>
      </c>
      <c r="C26" s="18">
        <f t="shared" ref="C26:M26" si="1">+C24+C25</f>
        <v>198408.62274531857</v>
      </c>
      <c r="D26" s="18">
        <f t="shared" si="1"/>
        <v>198408.62274531857</v>
      </c>
      <c r="E26" s="18">
        <f t="shared" si="1"/>
        <v>198408.62274531857</v>
      </c>
      <c r="F26" s="18">
        <f t="shared" si="1"/>
        <v>198408.62274531857</v>
      </c>
      <c r="G26" s="18">
        <f t="shared" si="1"/>
        <v>198408.62274531857</v>
      </c>
      <c r="H26" s="18">
        <f t="shared" si="1"/>
        <v>4597588.965788641</v>
      </c>
      <c r="I26" s="18">
        <f t="shared" si="1"/>
        <v>4597588.965788641</v>
      </c>
      <c r="J26" s="18">
        <f t="shared" si="1"/>
        <v>4597588.965788641</v>
      </c>
      <c r="K26" s="18">
        <f t="shared" si="1"/>
        <v>4597588.965788641</v>
      </c>
      <c r="L26" s="18">
        <f t="shared" si="1"/>
        <v>4597588.965788641</v>
      </c>
      <c r="M26" s="51">
        <f t="shared" si="1"/>
        <v>4597588.965788641</v>
      </c>
    </row>
    <row r="27" spans="1:13" ht="15.75" thickBot="1" x14ac:dyDescent="0.3">
      <c r="A27" s="4" t="s">
        <v>7</v>
      </c>
      <c r="B27" s="107">
        <f>-B26+B21</f>
        <v>-7747521.5568425348</v>
      </c>
      <c r="C27" s="108">
        <f t="shared" ref="C27:M27" si="2">-C26+C21</f>
        <v>3440190.0290972479</v>
      </c>
      <c r="D27" s="108">
        <f t="shared" si="2"/>
        <v>16019848.538899964</v>
      </c>
      <c r="E27" s="108">
        <f t="shared" si="2"/>
        <v>9161498.7617943753</v>
      </c>
      <c r="F27" s="108">
        <f t="shared" si="2"/>
        <v>11521166.347571213</v>
      </c>
      <c r="G27" s="108">
        <f t="shared" si="2"/>
        <v>2320836.6487765685</v>
      </c>
      <c r="H27" s="108">
        <f t="shared" si="2"/>
        <v>2113852.8589254916</v>
      </c>
      <c r="I27" s="108">
        <f t="shared" si="2"/>
        <v>6493693.6244734144</v>
      </c>
      <c r="J27" s="108">
        <f t="shared" si="2"/>
        <v>7504176.6168219792</v>
      </c>
      <c r="K27" s="108">
        <f t="shared" si="2"/>
        <v>2977553.8048061458</v>
      </c>
      <c r="L27" s="108">
        <f t="shared" si="2"/>
        <v>-12933943.704470528</v>
      </c>
      <c r="M27" s="109">
        <f t="shared" si="2"/>
        <v>-16204231.143317923</v>
      </c>
    </row>
    <row r="28" spans="1:13" x14ac:dyDescent="0.25">
      <c r="A28" s="2"/>
      <c r="B28" s="12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1"/>
    </row>
    <row r="29" spans="1:13" x14ac:dyDescent="0.25">
      <c r="A29" s="33" t="s">
        <v>8</v>
      </c>
      <c r="B29" s="13">
        <f>+'Aug 25 Int'!G6/12</f>
        <v>3.8069737980225408E-3</v>
      </c>
      <c r="C29" s="5">
        <f>+'Sept 25 Int'!G6/12</f>
        <v>3.6723125820898113E-3</v>
      </c>
      <c r="D29" s="5">
        <f>+'Oct 25 Int'!G6/12</f>
        <v>3.4541566901431088E-3</v>
      </c>
      <c r="E29" s="5">
        <f>'Nov 25 Int'!G6/12</f>
        <v>3.3009315866972667E-3</v>
      </c>
      <c r="F29" s="5">
        <f>'Dec 25 Int'!G6/12</f>
        <v>3.1940240560752839E-3</v>
      </c>
      <c r="G29" s="5">
        <f>'Jan 26 Int'!G6/12</f>
        <v>3.1753980105190005E-3</v>
      </c>
      <c r="H29" s="5">
        <f>'Feb 26 Int'!G6/12</f>
        <v>3.1920585912917393E-3</v>
      </c>
      <c r="I29" s="5">
        <f>'Mar 26 Int'!G6/12</f>
        <v>3.2478473141569954E-3</v>
      </c>
      <c r="J29" s="5">
        <f>'Apr 26 Int'!G6/12</f>
        <v>3.288105662660717E-3</v>
      </c>
      <c r="K29" s="5">
        <f>'May 26 Int'!G6/12</f>
        <v>3.2559205108200991E-3</v>
      </c>
      <c r="L29" s="5">
        <f>'Jun 26 Int'!G6/12</f>
        <v>3.2609388223866658E-3</v>
      </c>
      <c r="M29" s="53">
        <f>'Jul 26 Int'!G6/12</f>
        <v>3.2456047846463557E-3</v>
      </c>
    </row>
    <row r="30" spans="1:13" x14ac:dyDescent="0.25">
      <c r="A30" s="6" t="s">
        <v>9</v>
      </c>
      <c r="B30" s="21">
        <f>(B27)*B29</f>
        <v>-29494.611566514333</v>
      </c>
      <c r="C30" s="20">
        <f t="shared" ref="C30:M30" si="3">(C27+B32)*C29</f>
        <v>-15926.18119773071</v>
      </c>
      <c r="D30" s="20">
        <f t="shared" si="3"/>
        <v>40299.978457296675</v>
      </c>
      <c r="E30" s="20">
        <f t="shared" si="3"/>
        <v>68886.794548449063</v>
      </c>
      <c r="F30" s="20">
        <f t="shared" si="3"/>
        <v>103674.66106873222</v>
      </c>
      <c r="G30" s="20">
        <f t="shared" si="3"/>
        <v>110768.86761246197</v>
      </c>
      <c r="H30" s="20">
        <f t="shared" si="3"/>
        <v>118451.16920017467</v>
      </c>
      <c r="I30" s="20">
        <f t="shared" si="3"/>
        <v>141996.61836374624</v>
      </c>
      <c r="J30" s="20">
        <f t="shared" si="3"/>
        <v>168898.14796822958</v>
      </c>
      <c r="K30" s="20">
        <f t="shared" si="3"/>
        <v>177489.51006091395</v>
      </c>
      <c r="L30" s="20">
        <f t="shared" si="3"/>
        <v>136165.0558136623</v>
      </c>
      <c r="M30" s="56">
        <f t="shared" si="3"/>
        <v>83374.169473706992</v>
      </c>
    </row>
    <row r="31" spans="1:13" x14ac:dyDescent="0.25">
      <c r="A31" s="2"/>
      <c r="B31" s="11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113"/>
    </row>
    <row r="32" spans="1:13" ht="15.75" thickBot="1" x14ac:dyDescent="0.3">
      <c r="A32" s="4" t="s">
        <v>10</v>
      </c>
      <c r="B32" s="107">
        <f>B27+B30</f>
        <v>-7777016.1684090495</v>
      </c>
      <c r="C32" s="108">
        <f>C27+C30+B32</f>
        <v>-4352752.3205095325</v>
      </c>
      <c r="D32" s="108">
        <f t="shared" ref="D32:M32" si="4">D27+D30+C32</f>
        <v>11707396.196847728</v>
      </c>
      <c r="E32" s="108">
        <f t="shared" si="4"/>
        <v>20937781.753190551</v>
      </c>
      <c r="F32" s="108">
        <f t="shared" si="4"/>
        <v>32562622.761830494</v>
      </c>
      <c r="G32" s="108">
        <f t="shared" si="4"/>
        <v>34994228.278219521</v>
      </c>
      <c r="H32" s="108">
        <f t="shared" si="4"/>
        <v>37226532.306345187</v>
      </c>
      <c r="I32" s="108">
        <f t="shared" si="4"/>
        <v>43862222.549182348</v>
      </c>
      <c r="J32" s="108">
        <f t="shared" si="4"/>
        <v>51535297.313972555</v>
      </c>
      <c r="K32" s="108">
        <f t="shared" si="4"/>
        <v>54690340.628839612</v>
      </c>
      <c r="L32" s="108">
        <f t="shared" si="4"/>
        <v>41892561.980182745</v>
      </c>
      <c r="M32" s="109">
        <f t="shared" si="4"/>
        <v>25771705.006338529</v>
      </c>
    </row>
    <row r="39" spans="2:8" x14ac:dyDescent="0.25">
      <c r="B39" s="14"/>
      <c r="C39" s="14"/>
      <c r="D39" s="14"/>
      <c r="E39" s="14"/>
      <c r="F39" s="14"/>
      <c r="G39" s="14"/>
      <c r="H39" s="14"/>
    </row>
    <row r="40" spans="2:8" x14ac:dyDescent="0.25">
      <c r="B40" s="15"/>
      <c r="C40" s="15"/>
      <c r="D40" s="15"/>
      <c r="E40" s="15"/>
      <c r="F40" s="15"/>
      <c r="G40" s="15"/>
      <c r="H40" s="15"/>
    </row>
    <row r="41" spans="2:8" x14ac:dyDescent="0.25">
      <c r="B41" s="15"/>
      <c r="C41" s="15"/>
      <c r="D41" s="15"/>
      <c r="E41" s="15"/>
      <c r="F41" s="15"/>
      <c r="G41" s="15"/>
      <c r="H41" s="15"/>
    </row>
    <row r="42" spans="2:8" x14ac:dyDescent="0.25">
      <c r="B42" s="15"/>
      <c r="C42" s="15"/>
      <c r="D42" s="15"/>
      <c r="E42" s="15"/>
      <c r="F42" s="15"/>
      <c r="G42" s="15"/>
      <c r="H42" s="15"/>
    </row>
  </sheetData>
  <mergeCells count="1">
    <mergeCell ref="B3:M3"/>
  </mergeCells>
  <pageMargins left="0.7" right="0.7" top="0.75" bottom="0.75" header="0.3" footer="0.3"/>
  <pageSetup scale="52" fitToHeight="0" orientation="landscape" r:id="rId1"/>
  <headerFooter>
    <oddFooter>&amp;CSchedule RL-1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N30"/>
  <sheetViews>
    <sheetView zoomScaleNormal="100" workbookViewId="0">
      <selection activeCell="D36" sqref="D36"/>
    </sheetView>
  </sheetViews>
  <sheetFormatPr defaultRowHeight="15" x14ac:dyDescent="0.25"/>
  <cols>
    <col min="1" max="1" width="11.140625" customWidth="1"/>
    <col min="2" max="2" width="17.7109375" customWidth="1"/>
    <col min="3" max="3" width="16" customWidth="1"/>
    <col min="4" max="4" width="17.7109375" bestFit="1" customWidth="1"/>
    <col min="5" max="5" width="12" customWidth="1"/>
    <col min="6" max="6" width="1.7109375" bestFit="1" customWidth="1"/>
    <col min="7" max="7" width="17.42578125" customWidth="1"/>
    <col min="8" max="8" width="19.42578125" customWidth="1"/>
    <col min="14" max="14" width="11.5703125" bestFit="1" customWidth="1"/>
  </cols>
  <sheetData>
    <row r="1" spans="1:14" x14ac:dyDescent="0.25">
      <c r="A1" t="s">
        <v>0</v>
      </c>
      <c r="E1" s="40"/>
      <c r="F1" s="40"/>
      <c r="G1" s="40"/>
      <c r="H1" s="40"/>
    </row>
    <row r="2" spans="1:14" x14ac:dyDescent="0.25">
      <c r="A2" t="s">
        <v>11</v>
      </c>
      <c r="E2" s="40"/>
      <c r="F2" s="40"/>
      <c r="G2" s="40"/>
      <c r="H2" s="40"/>
    </row>
    <row r="3" spans="1:14" x14ac:dyDescent="0.25">
      <c r="A3" t="s">
        <v>271</v>
      </c>
    </row>
    <row r="4" spans="1:14" x14ac:dyDescent="0.25">
      <c r="A4" t="s">
        <v>113</v>
      </c>
    </row>
    <row r="5" spans="1:14" x14ac:dyDescent="0.25">
      <c r="A5" s="115"/>
      <c r="E5" s="36"/>
      <c r="F5" s="31"/>
    </row>
    <row r="6" spans="1:14" ht="15.75" thickBot="1" x14ac:dyDescent="0.3">
      <c r="H6" s="40"/>
    </row>
    <row r="7" spans="1:14" ht="59.25" customHeight="1" x14ac:dyDescent="0.25">
      <c r="A7" s="116" t="s">
        <v>23</v>
      </c>
      <c r="B7" s="116" t="s">
        <v>118</v>
      </c>
      <c r="C7" s="116" t="s">
        <v>112</v>
      </c>
      <c r="D7" s="116" t="s">
        <v>110</v>
      </c>
      <c r="E7" s="116" t="s">
        <v>119</v>
      </c>
      <c r="F7" s="116"/>
      <c r="G7" s="116" t="s">
        <v>111</v>
      </c>
      <c r="H7" s="116" t="s">
        <v>115</v>
      </c>
    </row>
    <row r="8" spans="1:14" ht="17.25" x14ac:dyDescent="0.25">
      <c r="A8" s="117">
        <v>45870</v>
      </c>
      <c r="B8" s="118">
        <f>-'Monthly Cost Tracker 6'!C22</f>
        <v>4259034.18</v>
      </c>
      <c r="C8" s="118"/>
      <c r="D8" s="119">
        <v>2884873377.2950001</v>
      </c>
      <c r="E8" s="120">
        <v>1.3255806890709791E-3</v>
      </c>
      <c r="F8" s="121">
        <v>1</v>
      </c>
      <c r="G8" s="118">
        <f t="shared" ref="G8:G18" si="0">D8*E8</f>
        <v>3824132.439357229</v>
      </c>
      <c r="H8" s="122">
        <f t="shared" ref="H8:H19" si="1">G8-B8</f>
        <v>-434901.74064277066</v>
      </c>
    </row>
    <row r="9" spans="1:14" ht="17.25" x14ac:dyDescent="0.25">
      <c r="A9" s="117">
        <v>45901</v>
      </c>
      <c r="B9" s="118">
        <f>-'Monthly Cost Tracker 6'!D22</f>
        <v>3694536.44</v>
      </c>
      <c r="C9" s="118"/>
      <c r="D9" s="119">
        <v>2360102822.96</v>
      </c>
      <c r="E9" s="123">
        <f>E8</f>
        <v>1.3255806890709791E-3</v>
      </c>
      <c r="F9" s="121">
        <v>1</v>
      </c>
      <c r="G9" s="118">
        <f t="shared" si="0"/>
        <v>3128506.7263376801</v>
      </c>
      <c r="H9" s="122">
        <f t="shared" si="1"/>
        <v>-566029.71366231982</v>
      </c>
    </row>
    <row r="10" spans="1:14" ht="17.25" x14ac:dyDescent="0.25">
      <c r="A10" s="117">
        <v>45931</v>
      </c>
      <c r="B10" s="118">
        <f>-'Monthly Cost Tracker 6'!E22</f>
        <v>3327373.25</v>
      </c>
      <c r="C10" s="118"/>
      <c r="D10" s="119">
        <v>2161322194.02</v>
      </c>
      <c r="E10" s="123">
        <f>E8</f>
        <v>1.3255806890709791E-3</v>
      </c>
      <c r="F10" s="121">
        <v>1</v>
      </c>
      <c r="G10" s="118">
        <f t="shared" si="0"/>
        <v>2865006.963253432</v>
      </c>
      <c r="H10" s="122">
        <f t="shared" si="1"/>
        <v>-462366.28674656805</v>
      </c>
    </row>
    <row r="11" spans="1:14" ht="17.25" x14ac:dyDescent="0.25">
      <c r="A11" s="117">
        <v>45962</v>
      </c>
      <c r="B11" s="118">
        <f>-'Monthly Cost Tracker 6'!F22</f>
        <v>2831572.23</v>
      </c>
      <c r="C11" s="118"/>
      <c r="D11" s="119">
        <v>2317730046.79</v>
      </c>
      <c r="E11" s="123">
        <f>E8</f>
        <v>1.3255806890709791E-3</v>
      </c>
      <c r="F11" s="121">
        <v>1</v>
      </c>
      <c r="G11" s="118">
        <f t="shared" si="0"/>
        <v>3072338.1925044009</v>
      </c>
      <c r="H11" s="122">
        <f t="shared" si="1"/>
        <v>240765.96250440087</v>
      </c>
    </row>
    <row r="12" spans="1:14" ht="17.25" x14ac:dyDescent="0.25">
      <c r="A12" s="117">
        <v>45992</v>
      </c>
      <c r="B12" s="118">
        <f>-'Monthly Cost Tracker 6'!G22</f>
        <v>3566350.14</v>
      </c>
      <c r="C12" s="118"/>
      <c r="D12" s="119">
        <v>2768858103.0320001</v>
      </c>
      <c r="E12" s="123">
        <f>E8</f>
        <v>1.3255806890709791E-3</v>
      </c>
      <c r="F12" s="121">
        <v>1</v>
      </c>
      <c r="G12" s="118">
        <f t="shared" si="0"/>
        <v>3670344.8321569227</v>
      </c>
      <c r="H12" s="122">
        <f t="shared" si="1"/>
        <v>103994.69215692254</v>
      </c>
      <c r="N12" s="34"/>
    </row>
    <row r="13" spans="1:14" ht="17.25" x14ac:dyDescent="0.25">
      <c r="A13" s="117">
        <v>46023</v>
      </c>
      <c r="B13" s="118">
        <f>-'Monthly Cost Tracker 6'!H22</f>
        <v>4025474.52</v>
      </c>
      <c r="C13" s="118"/>
      <c r="D13" s="119">
        <v>2943276792.8499999</v>
      </c>
      <c r="E13" s="123">
        <f>E8</f>
        <v>1.3255806890709791E-3</v>
      </c>
      <c r="F13" s="121">
        <v>1</v>
      </c>
      <c r="G13" s="118">
        <f t="shared" si="0"/>
        <v>3901550.8791927244</v>
      </c>
      <c r="H13" s="122">
        <f t="shared" si="1"/>
        <v>-123923.64080727566</v>
      </c>
      <c r="N13" s="34"/>
    </row>
    <row r="14" spans="1:14" ht="17.25" x14ac:dyDescent="0.25">
      <c r="A14" s="117">
        <v>46054</v>
      </c>
      <c r="B14" s="118">
        <f>-'Monthly Cost Tracker 7'!I22</f>
        <v>859247.41999999993</v>
      </c>
      <c r="C14" s="118"/>
      <c r="D14" s="119">
        <v>2589451604.2374277</v>
      </c>
      <c r="E14" s="120">
        <v>3.7032195376727778E-4</v>
      </c>
      <c r="F14" s="121">
        <v>2</v>
      </c>
      <c r="G14" s="118">
        <f>D14*E14</f>
        <v>958930.777267016</v>
      </c>
      <c r="H14" s="122">
        <f t="shared" si="1"/>
        <v>99683.357267016079</v>
      </c>
      <c r="N14" s="34"/>
    </row>
    <row r="15" spans="1:14" ht="17.25" x14ac:dyDescent="0.25">
      <c r="A15" s="117">
        <v>46082</v>
      </c>
      <c r="B15" s="118">
        <f>-'Monthly Cost Tracker 7'!J22</f>
        <v>878884.90999999992</v>
      </c>
      <c r="C15" s="118"/>
      <c r="D15" s="119">
        <v>2483746356.2447762</v>
      </c>
      <c r="E15" s="123">
        <f>E14</f>
        <v>3.7032195376727778E-4</v>
      </c>
      <c r="F15" s="121">
        <v>2</v>
      </c>
      <c r="G15" s="118">
        <f t="shared" si="0"/>
        <v>919785.80330692267</v>
      </c>
      <c r="H15" s="118">
        <f t="shared" si="1"/>
        <v>40900.89330692275</v>
      </c>
      <c r="N15" s="34"/>
    </row>
    <row r="16" spans="1:14" ht="17.25" x14ac:dyDescent="0.25">
      <c r="A16" s="117">
        <v>46113</v>
      </c>
      <c r="B16" s="118">
        <f>-'Monthly Cost Tracker 7'!K22</f>
        <v>800127.04</v>
      </c>
      <c r="C16" s="118"/>
      <c r="D16" s="119">
        <v>2157514692.1621504</v>
      </c>
      <c r="E16" s="123">
        <f>E14</f>
        <v>3.7032195376727778E-4</v>
      </c>
      <c r="F16" s="121">
        <v>2</v>
      </c>
      <c r="G16" s="118">
        <f t="shared" si="0"/>
        <v>798975.05608309445</v>
      </c>
      <c r="H16" s="118">
        <f t="shared" si="1"/>
        <v>-1151.9839169055922</v>
      </c>
      <c r="N16" s="34"/>
    </row>
    <row r="17" spans="1:14" ht="17.25" x14ac:dyDescent="0.25">
      <c r="A17" s="117">
        <v>46143</v>
      </c>
      <c r="B17" s="118">
        <f>-'Monthly Cost Tracker 7'!L22</f>
        <v>767768.63</v>
      </c>
      <c r="C17" s="118"/>
      <c r="D17" s="119">
        <v>2314844105.0418038</v>
      </c>
      <c r="E17" s="123">
        <f>E14</f>
        <v>3.7032195376727778E-4</v>
      </c>
      <c r="F17" s="121">
        <v>2</v>
      </c>
      <c r="G17" s="118">
        <f t="shared" si="0"/>
        <v>857237.59164574638</v>
      </c>
      <c r="H17" s="118">
        <f t="shared" si="1"/>
        <v>89468.961645746371</v>
      </c>
      <c r="N17" s="34"/>
    </row>
    <row r="18" spans="1:14" ht="17.25" x14ac:dyDescent="0.25">
      <c r="A18" s="117">
        <v>46174</v>
      </c>
      <c r="B18" s="118">
        <f>-'Monthly Cost Tracker 7'!M22</f>
        <v>937409.71</v>
      </c>
      <c r="C18" s="118"/>
      <c r="D18" s="119">
        <v>2703581317.959178</v>
      </c>
      <c r="E18" s="123">
        <f>E14</f>
        <v>3.7032195376727778E-4</v>
      </c>
      <c r="F18" s="121">
        <v>2</v>
      </c>
      <c r="G18" s="118">
        <f t="shared" si="0"/>
        <v>1001195.5158353547</v>
      </c>
      <c r="H18" s="118">
        <f t="shared" si="1"/>
        <v>63785.805835354724</v>
      </c>
      <c r="N18" s="34"/>
    </row>
    <row r="19" spans="1:14" ht="17.25" x14ac:dyDescent="0.25">
      <c r="A19" s="117">
        <v>46204</v>
      </c>
      <c r="B19" s="118">
        <f>-'Monthly Cost Tracker 7'!N22</f>
        <v>1137062.8699999999</v>
      </c>
      <c r="C19" s="118"/>
      <c r="D19" s="119">
        <v>3075630622.9466047</v>
      </c>
      <c r="E19" s="123">
        <f>E14</f>
        <v>3.7032195376727778E-4</v>
      </c>
      <c r="F19" s="121">
        <v>2</v>
      </c>
      <c r="G19" s="118">
        <f t="shared" ref="G19:G25" si="2">D19*E19</f>
        <v>1138973.5413560562</v>
      </c>
      <c r="H19" s="118">
        <f t="shared" si="1"/>
        <v>1910.6713560563512</v>
      </c>
      <c r="N19" s="34"/>
    </row>
    <row r="20" spans="1:14" ht="17.25" x14ac:dyDescent="0.25">
      <c r="A20" s="117">
        <v>46235</v>
      </c>
      <c r="C20" s="118">
        <f>D20*E20</f>
        <v>1112272.568247067</v>
      </c>
      <c r="D20" s="119">
        <v>3003528570.0238419</v>
      </c>
      <c r="E20" s="123">
        <f>E14</f>
        <v>3.7032195376727778E-4</v>
      </c>
      <c r="F20" s="121">
        <v>2</v>
      </c>
      <c r="G20" s="118">
        <f>D20*E20</f>
        <v>1112272.568247067</v>
      </c>
      <c r="H20" s="122">
        <f t="shared" ref="H20:H25" si="3">G20-C20</f>
        <v>0</v>
      </c>
      <c r="N20" s="34"/>
    </row>
    <row r="21" spans="1:14" ht="17.25" x14ac:dyDescent="0.25">
      <c r="A21" s="117">
        <v>46266</v>
      </c>
      <c r="C21" s="118">
        <f t="shared" ref="C21:C25" si="4">D21*E21</f>
        <v>917839.32664737338</v>
      </c>
      <c r="D21" s="119">
        <v>2478490182.1515369</v>
      </c>
      <c r="E21" s="123">
        <f>E14</f>
        <v>3.7032195376727778E-4</v>
      </c>
      <c r="F21" s="121">
        <v>2</v>
      </c>
      <c r="G21" s="118">
        <f t="shared" si="2"/>
        <v>917839.32664737338</v>
      </c>
      <c r="H21" s="122">
        <f t="shared" si="3"/>
        <v>0</v>
      </c>
      <c r="N21" s="34"/>
    </row>
    <row r="22" spans="1:14" ht="17.25" x14ac:dyDescent="0.25">
      <c r="A22" s="117">
        <v>46296</v>
      </c>
      <c r="C22" s="118">
        <f t="shared" si="4"/>
        <v>819335.08546649874</v>
      </c>
      <c r="D22" s="119">
        <v>2212493958.6525168</v>
      </c>
      <c r="E22" s="123">
        <f>E14</f>
        <v>3.7032195376727778E-4</v>
      </c>
      <c r="F22" s="121">
        <v>2</v>
      </c>
      <c r="G22" s="118">
        <f t="shared" si="2"/>
        <v>819335.08546649874</v>
      </c>
      <c r="H22" s="122">
        <f t="shared" si="3"/>
        <v>0</v>
      </c>
      <c r="N22" s="34"/>
    </row>
    <row r="23" spans="1:14" ht="17.25" x14ac:dyDescent="0.25">
      <c r="A23" s="117">
        <v>46327</v>
      </c>
      <c r="C23" s="118">
        <f t="shared" si="4"/>
        <v>862279.16821629298</v>
      </c>
      <c r="D23" s="119">
        <v>2328458141.4748554</v>
      </c>
      <c r="E23" s="123">
        <f>E14</f>
        <v>3.7032195376727778E-4</v>
      </c>
      <c r="F23" s="121">
        <v>2</v>
      </c>
      <c r="G23" s="118">
        <f t="shared" si="2"/>
        <v>862279.16821629298</v>
      </c>
      <c r="H23" s="122">
        <f t="shared" si="3"/>
        <v>0</v>
      </c>
      <c r="N23" s="34"/>
    </row>
    <row r="24" spans="1:14" ht="17.25" x14ac:dyDescent="0.25">
      <c r="A24" s="117">
        <v>46357</v>
      </c>
      <c r="C24" s="118">
        <f t="shared" si="4"/>
        <v>1016065.2765366539</v>
      </c>
      <c r="D24" s="119">
        <v>2743734920.9255414</v>
      </c>
      <c r="E24" s="123">
        <f>E14</f>
        <v>3.7032195376727778E-4</v>
      </c>
      <c r="F24" s="121">
        <v>2</v>
      </c>
      <c r="G24" s="118">
        <f t="shared" si="2"/>
        <v>1016065.2765366539</v>
      </c>
      <c r="H24" s="122">
        <f t="shared" si="3"/>
        <v>0</v>
      </c>
      <c r="N24" s="34"/>
    </row>
    <row r="25" spans="1:14" ht="17.25" x14ac:dyDescent="0.25">
      <c r="A25" s="117">
        <v>46388</v>
      </c>
      <c r="C25" s="118">
        <f t="shared" si="4"/>
        <v>1102921.6307887998</v>
      </c>
      <c r="D25" s="119">
        <v>2978277737.9758353</v>
      </c>
      <c r="E25" s="123">
        <f>E14</f>
        <v>3.7032195376727778E-4</v>
      </c>
      <c r="F25" s="121">
        <v>2</v>
      </c>
      <c r="G25" s="118">
        <f t="shared" si="2"/>
        <v>1102921.6307887998</v>
      </c>
      <c r="H25" s="122">
        <f t="shared" si="3"/>
        <v>0</v>
      </c>
      <c r="N25" s="34"/>
    </row>
    <row r="26" spans="1:14" x14ac:dyDescent="0.25">
      <c r="B26" s="16"/>
      <c r="C26" s="16"/>
      <c r="D26" s="124"/>
      <c r="E26" s="124"/>
      <c r="F26" s="124"/>
      <c r="G26" s="118"/>
      <c r="H26" s="118"/>
    </row>
    <row r="27" spans="1:14" ht="15.75" thickBot="1" x14ac:dyDescent="0.3">
      <c r="A27" s="125" t="s">
        <v>35</v>
      </c>
      <c r="B27" s="126">
        <f>SUM(B8:B26)</f>
        <v>27084841.34</v>
      </c>
      <c r="C27" s="126">
        <f>SUM(C14:C26)</f>
        <v>5830713.055902686</v>
      </c>
      <c r="D27" s="127">
        <f>SUM(D8:D26)</f>
        <v>46505915546.74308</v>
      </c>
      <c r="E27" s="128"/>
      <c r="F27" s="128"/>
      <c r="G27" s="126">
        <f>SUM(G8:G26)</f>
        <v>31967691.374199271</v>
      </c>
      <c r="H27" s="126">
        <f>SUM(H8:H26)</f>
        <v>-947863.02170342032</v>
      </c>
    </row>
    <row r="28" spans="1:14" ht="15.75" thickTop="1" x14ac:dyDescent="0.25">
      <c r="D28" s="30"/>
      <c r="G28" s="30"/>
      <c r="H28" s="114"/>
    </row>
    <row r="29" spans="1:14" ht="18.75" x14ac:dyDescent="0.35">
      <c r="A29" t="s">
        <v>280</v>
      </c>
      <c r="D29" s="114"/>
    </row>
    <row r="30" spans="1:14" ht="18.75" x14ac:dyDescent="0.35">
      <c r="A30" t="s">
        <v>281</v>
      </c>
    </row>
  </sheetData>
  <pageMargins left="0.7" right="0.7" top="0.75" bottom="0.75" header="0.3" footer="0.3"/>
  <pageSetup scale="95" orientation="landscape" r:id="rId1"/>
  <headerFooter>
    <oddFooter>&amp;CSchedule RL-1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E21"/>
  <sheetViews>
    <sheetView zoomScaleNormal="100" workbookViewId="0"/>
  </sheetViews>
  <sheetFormatPr defaultRowHeight="15" x14ac:dyDescent="0.25"/>
  <cols>
    <col min="1" max="1" width="4.7109375" customWidth="1"/>
    <col min="2" max="2" width="66" customWidth="1"/>
    <col min="3" max="3" width="25.140625" bestFit="1" customWidth="1"/>
    <col min="4" max="4" width="6.28515625" customWidth="1"/>
    <col min="5" max="5" width="10" bestFit="1" customWidth="1"/>
  </cols>
  <sheetData>
    <row r="1" spans="1:5" x14ac:dyDescent="0.25">
      <c r="A1" t="s">
        <v>0</v>
      </c>
    </row>
    <row r="2" spans="1:5" x14ac:dyDescent="0.25">
      <c r="A2" t="s">
        <v>11</v>
      </c>
    </row>
    <row r="3" spans="1:5" x14ac:dyDescent="0.25">
      <c r="A3" t="s">
        <v>271</v>
      </c>
    </row>
    <row r="4" spans="1:5" x14ac:dyDescent="0.25">
      <c r="A4" t="s">
        <v>282</v>
      </c>
    </row>
    <row r="6" spans="1:5" x14ac:dyDescent="0.25">
      <c r="C6" s="129" t="s">
        <v>283</v>
      </c>
    </row>
    <row r="7" spans="1:5" x14ac:dyDescent="0.25">
      <c r="C7" s="130"/>
    </row>
    <row r="9" spans="1:5" x14ac:dyDescent="0.25">
      <c r="A9">
        <v>1</v>
      </c>
      <c r="B9" t="s">
        <v>237</v>
      </c>
      <c r="C9" s="16">
        <f>SUM('Monthly Cost Tracker 8'!B21:M21)</f>
        <v>53443106.357739165</v>
      </c>
    </row>
    <row r="10" spans="1:5" x14ac:dyDescent="0.25">
      <c r="A10">
        <v>2</v>
      </c>
      <c r="B10" t="s">
        <v>238</v>
      </c>
      <c r="C10" s="29">
        <f>SUM('Monthly Cost Tracker 8'!B26:M26)</f>
        <v>28775985.531203754</v>
      </c>
    </row>
    <row r="11" spans="1:5" x14ac:dyDescent="0.25">
      <c r="A11">
        <v>3</v>
      </c>
      <c r="B11" t="s">
        <v>224</v>
      </c>
      <c r="C11" s="131">
        <f>C12+C13</f>
        <v>26328703.806083869</v>
      </c>
    </row>
    <row r="12" spans="1:5" x14ac:dyDescent="0.25">
      <c r="A12">
        <v>3.1</v>
      </c>
      <c r="B12" s="132" t="s">
        <v>12</v>
      </c>
      <c r="C12" s="29">
        <f>SUM('Monthly Cost Tracker 8'!B30:M30)+SUM('Monthly Cost Tracker 7'!C29:N29)+SUM('Monthly Cost Tracker 6'!C29:N29)</f>
        <v>1661582.9795484578</v>
      </c>
      <c r="D12" s="43"/>
      <c r="E12" s="29"/>
    </row>
    <row r="13" spans="1:5" x14ac:dyDescent="0.25">
      <c r="A13">
        <v>3.2</v>
      </c>
      <c r="B13" s="132" t="s">
        <v>13</v>
      </c>
      <c r="C13" s="29">
        <f>C9-C10</f>
        <v>24667120.826535411</v>
      </c>
      <c r="D13" s="54"/>
      <c r="E13" s="7"/>
    </row>
    <row r="14" spans="1:5" x14ac:dyDescent="0.25">
      <c r="A14">
        <v>4</v>
      </c>
      <c r="B14" t="s">
        <v>225</v>
      </c>
      <c r="C14" s="29">
        <f>+RRR!D12</f>
        <v>51062202.884795219</v>
      </c>
    </row>
    <row r="15" spans="1:5" x14ac:dyDescent="0.25">
      <c r="A15">
        <v>5</v>
      </c>
      <c r="B15" t="s">
        <v>226</v>
      </c>
      <c r="C15" s="29">
        <f>'True-Up'!H27</f>
        <v>-947863.02170342032</v>
      </c>
      <c r="D15" s="40"/>
    </row>
    <row r="16" spans="1:5" x14ac:dyDescent="0.25">
      <c r="A16">
        <v>6</v>
      </c>
      <c r="B16" t="s">
        <v>227</v>
      </c>
      <c r="C16" s="29">
        <v>0</v>
      </c>
    </row>
    <row r="17" spans="1:5" x14ac:dyDescent="0.25">
      <c r="A17">
        <v>7</v>
      </c>
      <c r="B17" t="s">
        <v>36</v>
      </c>
      <c r="C17" s="131">
        <f>SUM(C14:C16)+C11</f>
        <v>76443043.66917567</v>
      </c>
    </row>
    <row r="18" spans="1:5" ht="18" x14ac:dyDescent="0.35">
      <c r="A18">
        <v>8</v>
      </c>
      <c r="B18" t="s">
        <v>255</v>
      </c>
      <c r="C18" s="247">
        <f>SUM(SRP!P2:P13)</f>
        <v>32742357800</v>
      </c>
      <c r="D18" s="42"/>
      <c r="E18" s="22"/>
    </row>
    <row r="19" spans="1:5" x14ac:dyDescent="0.25">
      <c r="A19" s="55">
        <v>9</v>
      </c>
      <c r="B19" s="55" t="s">
        <v>242</v>
      </c>
      <c r="C19" s="248">
        <f>C17/C18</f>
        <v>2.3346835355020057E-3</v>
      </c>
      <c r="D19" s="40"/>
    </row>
    <row r="20" spans="1:5" x14ac:dyDescent="0.25">
      <c r="A20" s="55">
        <v>10</v>
      </c>
      <c r="B20" s="55" t="s">
        <v>14</v>
      </c>
      <c r="C20" s="62">
        <v>0</v>
      </c>
      <c r="D20" s="40"/>
    </row>
    <row r="21" spans="1:5" x14ac:dyDescent="0.25">
      <c r="A21" s="55">
        <v>11</v>
      </c>
      <c r="B21" s="55" t="s">
        <v>15</v>
      </c>
      <c r="C21" s="248">
        <f>+C19+C20</f>
        <v>2.3346835355020057E-3</v>
      </c>
      <c r="D21" s="40"/>
    </row>
  </sheetData>
  <pageMargins left="0.7" right="0.7" top="0.75" bottom="0.75" header="0.3" footer="0.3"/>
  <pageSetup scale="82" orientation="portrait" r:id="rId1"/>
  <headerFooter>
    <oddFooter>&amp;CSchedule RL-1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Q35"/>
  <sheetViews>
    <sheetView zoomScaleNormal="100" workbookViewId="0">
      <selection activeCell="C24" sqref="C24"/>
    </sheetView>
  </sheetViews>
  <sheetFormatPr defaultRowHeight="15" x14ac:dyDescent="0.25"/>
  <cols>
    <col min="1" max="1" width="21.85546875" customWidth="1"/>
    <col min="2" max="2" width="23.140625" customWidth="1"/>
    <col min="3" max="3" width="25.42578125" customWidth="1"/>
    <col min="4" max="4" width="23.42578125" customWidth="1"/>
  </cols>
  <sheetData>
    <row r="1" spans="1:17" x14ac:dyDescent="0.25">
      <c r="A1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x14ac:dyDescent="0.25">
      <c r="A2" t="s">
        <v>11</v>
      </c>
    </row>
    <row r="3" spans="1:17" x14ac:dyDescent="0.25">
      <c r="A3" t="s">
        <v>271</v>
      </c>
    </row>
    <row r="4" spans="1:17" x14ac:dyDescent="0.25">
      <c r="A4" t="s">
        <v>279</v>
      </c>
    </row>
    <row r="7" spans="1:17" ht="17.25" x14ac:dyDescent="0.25">
      <c r="B7" s="133" t="s">
        <v>222</v>
      </c>
      <c r="C7" s="133" t="s">
        <v>256</v>
      </c>
      <c r="D7" s="133" t="s">
        <v>221</v>
      </c>
    </row>
    <row r="8" spans="1:17" x14ac:dyDescent="0.25">
      <c r="A8" s="254" t="s">
        <v>20</v>
      </c>
      <c r="B8" s="34">
        <f>SUM('Monthly Cost Tracker 8'!B6:M11)</f>
        <v>2976583.2999999993</v>
      </c>
      <c r="C8" s="34">
        <f>'ER-2024-0319'!B46</f>
        <v>2360853.4699999997</v>
      </c>
      <c r="D8" s="34">
        <f>B8-C8</f>
        <v>615729.82999999961</v>
      </c>
    </row>
    <row r="9" spans="1:17" x14ac:dyDescent="0.25">
      <c r="A9" s="254" t="s">
        <v>21</v>
      </c>
      <c r="B9" s="34">
        <f>SUM('Monthly Cost Tracker 8'!B12:M12)</f>
        <v>0</v>
      </c>
      <c r="C9" s="34">
        <f>'ER-2024-0319'!B47</f>
        <v>1162320.5</v>
      </c>
      <c r="D9" s="34">
        <f>B9-C9</f>
        <v>-1162320.5</v>
      </c>
    </row>
    <row r="10" spans="1:17" x14ac:dyDescent="0.25">
      <c r="A10" s="255" t="s">
        <v>159</v>
      </c>
      <c r="B10" s="34">
        <f>SUM('Monthly Cost Tracker 8'!B15:M15)</f>
        <v>-65337449.780000016</v>
      </c>
      <c r="C10" s="34">
        <f>'ER-2024-0319'!B48</f>
        <v>-87518748.920136809</v>
      </c>
      <c r="D10" s="34">
        <f>B10-C10</f>
        <v>22181299.140136793</v>
      </c>
    </row>
    <row r="11" spans="1:17" x14ac:dyDescent="0.25">
      <c r="A11" s="255" t="s">
        <v>120</v>
      </c>
      <c r="B11" s="64">
        <f>SUM('Monthly Cost Tracker 8'!B13:M14)+SUM('Monthly Cost Tracker 8'!B16:M20)</f>
        <v>115803972.83773905</v>
      </c>
      <c r="C11" s="64">
        <f>SUM('ER-2024-0319'!B49:B51)</f>
        <v>86376478.423080623</v>
      </c>
      <c r="D11" s="34">
        <f>B11-C11</f>
        <v>29427494.414658427</v>
      </c>
    </row>
    <row r="12" spans="1:17" ht="15.75" thickBot="1" x14ac:dyDescent="0.3">
      <c r="A12" t="s">
        <v>284</v>
      </c>
      <c r="B12" s="134">
        <f>+B9+B8+B10+B11</f>
        <v>53443106.357739031</v>
      </c>
      <c r="C12" s="134">
        <f>+C9+C8+C10+C11</f>
        <v>2380903.4729438126</v>
      </c>
      <c r="D12" s="134">
        <f>+D9+D8+D11+D10</f>
        <v>51062202.884795219</v>
      </c>
    </row>
    <row r="13" spans="1:17" ht="15.75" thickTop="1" x14ac:dyDescent="0.25">
      <c r="C13" s="40"/>
    </row>
    <row r="14" spans="1:17" x14ac:dyDescent="0.25">
      <c r="C14" s="40"/>
    </row>
    <row r="15" spans="1:17" ht="15" customHeight="1" x14ac:dyDescent="0.25">
      <c r="A15" s="65" t="s">
        <v>257</v>
      </c>
      <c r="B15" s="8"/>
      <c r="C15" s="8"/>
      <c r="D15" s="8"/>
      <c r="E15" s="8"/>
    </row>
    <row r="16" spans="1:17" x14ac:dyDescent="0.25">
      <c r="B16" s="8"/>
      <c r="C16" s="8"/>
    </row>
    <row r="17" spans="1:3" x14ac:dyDescent="0.25">
      <c r="A17" s="35"/>
      <c r="B17" s="8"/>
      <c r="C17" s="8"/>
    </row>
    <row r="18" spans="1:3" x14ac:dyDescent="0.25">
      <c r="B18" s="8"/>
      <c r="C18" s="8"/>
    </row>
    <row r="19" spans="1:3" x14ac:dyDescent="0.25">
      <c r="B19" s="8"/>
      <c r="C19" s="8"/>
    </row>
    <row r="35" spans="3:3" x14ac:dyDescent="0.25">
      <c r="C35" s="40"/>
    </row>
  </sheetData>
  <pageMargins left="0.7" right="0.7" top="0.75" bottom="0.75" header="0.3" footer="0.3"/>
  <pageSetup scale="96" orientation="portrait" r:id="rId1"/>
  <headerFooter>
    <oddFooter>&amp;CSchedule RL-1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7605B-E8C8-4C57-AE9A-224B332AC79C}">
  <sheetPr>
    <pageSetUpPr fitToPage="1"/>
  </sheetPr>
  <dimension ref="A1:I58"/>
  <sheetViews>
    <sheetView zoomScaleNormal="100" workbookViewId="0">
      <selection activeCell="C25" sqref="C25"/>
    </sheetView>
  </sheetViews>
  <sheetFormatPr defaultColWidth="8.7109375" defaultRowHeight="15" x14ac:dyDescent="0.25"/>
  <cols>
    <col min="1" max="1" width="45.7109375" style="58" customWidth="1"/>
    <col min="2" max="2" width="19.85546875" style="58" customWidth="1"/>
    <col min="3" max="3" width="17.5703125" style="58" customWidth="1"/>
    <col min="4" max="4" width="17.7109375" style="58" customWidth="1"/>
    <col min="5" max="5" width="44.85546875" style="58" bestFit="1" customWidth="1"/>
    <col min="6" max="6" width="13.85546875" style="58" bestFit="1" customWidth="1"/>
    <col min="7" max="7" width="44.85546875" style="58" bestFit="1" customWidth="1"/>
    <col min="8" max="8" width="14.5703125" style="58" bestFit="1" customWidth="1"/>
    <col min="9" max="9" width="17.85546875" style="58" customWidth="1"/>
    <col min="10" max="16384" width="8.7109375" style="58"/>
  </cols>
  <sheetData>
    <row r="1" spans="1:9" x14ac:dyDescent="0.25">
      <c r="A1" s="160" t="s">
        <v>0</v>
      </c>
      <c r="B1" s="135"/>
      <c r="C1" s="135"/>
      <c r="D1" s="135"/>
      <c r="E1" s="135"/>
      <c r="F1" s="135"/>
      <c r="G1" s="135"/>
      <c r="H1" s="135"/>
      <c r="I1" s="135"/>
    </row>
    <row r="2" spans="1:9" x14ac:dyDescent="0.25">
      <c r="A2" s="160" t="s">
        <v>249</v>
      </c>
      <c r="B2" s="136"/>
      <c r="C2" s="135"/>
      <c r="D2" s="135"/>
      <c r="E2" s="135"/>
      <c r="F2" s="135"/>
      <c r="G2" s="135"/>
      <c r="H2" s="135"/>
      <c r="I2" s="135"/>
    </row>
    <row r="3" spans="1:9" x14ac:dyDescent="0.25">
      <c r="A3" s="160" t="s">
        <v>186</v>
      </c>
      <c r="B3" s="135"/>
      <c r="C3" s="135"/>
      <c r="D3" s="135"/>
      <c r="E3" s="135"/>
      <c r="F3" s="135"/>
      <c r="G3" s="135"/>
      <c r="H3" s="135"/>
      <c r="I3" s="135"/>
    </row>
    <row r="4" spans="1:9" x14ac:dyDescent="0.25">
      <c r="A4" s="161" t="s">
        <v>250</v>
      </c>
      <c r="B4" s="135"/>
      <c r="C4" s="135"/>
      <c r="D4" s="135"/>
      <c r="E4" s="135"/>
      <c r="F4" s="135"/>
      <c r="G4" s="135"/>
      <c r="H4" s="135"/>
      <c r="I4" s="135"/>
    </row>
    <row r="5" spans="1:9" x14ac:dyDescent="0.2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25">
      <c r="A6" s="135"/>
      <c r="B6" s="41" t="s">
        <v>35</v>
      </c>
      <c r="C6" s="60" t="s">
        <v>185</v>
      </c>
      <c r="D6" s="41" t="s">
        <v>187</v>
      </c>
      <c r="E6" s="135"/>
      <c r="F6" s="135"/>
      <c r="G6" s="135"/>
      <c r="H6" s="135"/>
      <c r="I6" s="135"/>
    </row>
    <row r="7" spans="1:9" x14ac:dyDescent="0.25">
      <c r="A7" s="137" t="s">
        <v>188</v>
      </c>
      <c r="B7" s="135"/>
      <c r="C7" s="135"/>
      <c r="D7" s="135"/>
      <c r="E7" s="135"/>
      <c r="F7" s="135"/>
      <c r="G7" s="135"/>
      <c r="H7" s="135"/>
      <c r="I7" s="135"/>
    </row>
    <row r="8" spans="1:9" x14ac:dyDescent="0.25">
      <c r="A8" s="135"/>
      <c r="B8" s="135"/>
      <c r="C8" s="135"/>
      <c r="D8" s="135"/>
      <c r="E8" s="135"/>
      <c r="F8" s="135"/>
      <c r="G8" s="135"/>
      <c r="H8" s="135"/>
      <c r="I8" s="135"/>
    </row>
    <row r="9" spans="1:9" x14ac:dyDescent="0.25">
      <c r="A9" s="137" t="s">
        <v>189</v>
      </c>
      <c r="B9" s="135"/>
      <c r="C9" s="135"/>
      <c r="D9" s="135"/>
      <c r="E9" s="135"/>
      <c r="F9" s="135"/>
      <c r="G9" s="135"/>
      <c r="H9" s="135"/>
      <c r="I9" s="135"/>
    </row>
    <row r="10" spans="1:9" x14ac:dyDescent="0.25">
      <c r="A10" s="135" t="s">
        <v>190</v>
      </c>
      <c r="B10" s="138">
        <v>54669547.368396997</v>
      </c>
      <c r="C10" s="138">
        <v>42118036</v>
      </c>
      <c r="D10" s="138">
        <f t="shared" ref="D10:D16" si="0">B10-C10</f>
        <v>12551511.368396997</v>
      </c>
      <c r="E10" s="135"/>
      <c r="F10" s="135"/>
      <c r="G10" s="135"/>
      <c r="H10" s="135"/>
      <c r="I10" s="135"/>
    </row>
    <row r="11" spans="1:9" x14ac:dyDescent="0.25">
      <c r="A11" s="135" t="s">
        <v>191</v>
      </c>
      <c r="B11" s="138">
        <v>9325157</v>
      </c>
      <c r="C11" s="138">
        <v>9062854</v>
      </c>
      <c r="D11" s="138">
        <f t="shared" si="0"/>
        <v>262303</v>
      </c>
      <c r="E11" s="135"/>
      <c r="F11" s="135"/>
      <c r="G11" s="135"/>
      <c r="H11" s="135"/>
      <c r="I11" s="135"/>
    </row>
    <row r="12" spans="1:9" x14ac:dyDescent="0.25">
      <c r="A12" s="135" t="s">
        <v>192</v>
      </c>
      <c r="B12" s="138">
        <v>8539629.0800000001</v>
      </c>
      <c r="C12" s="138">
        <v>8902452.9599999972</v>
      </c>
      <c r="D12" s="138">
        <f t="shared" si="0"/>
        <v>-362823.87999999709</v>
      </c>
      <c r="E12" s="135"/>
      <c r="F12" s="135"/>
      <c r="G12" s="135"/>
      <c r="H12" s="135"/>
      <c r="I12" s="135"/>
    </row>
    <row r="13" spans="1:9" x14ac:dyDescent="0.25">
      <c r="A13" s="135" t="s">
        <v>193</v>
      </c>
      <c r="B13" s="138">
        <v>7106850.5999999978</v>
      </c>
      <c r="C13" s="138">
        <v>8497699.8399999999</v>
      </c>
      <c r="D13" s="138">
        <f t="shared" si="0"/>
        <v>-1390849.2400000021</v>
      </c>
      <c r="E13" s="135"/>
      <c r="F13" s="135"/>
      <c r="G13" s="135"/>
      <c r="H13" s="135"/>
      <c r="I13" s="135"/>
    </row>
    <row r="14" spans="1:9" x14ac:dyDescent="0.25">
      <c r="A14" s="135" t="s">
        <v>251</v>
      </c>
      <c r="B14" s="138">
        <v>1634929.5999999999</v>
      </c>
      <c r="C14" s="138">
        <v>0</v>
      </c>
      <c r="D14" s="138">
        <f t="shared" si="0"/>
        <v>1634929.5999999999</v>
      </c>
      <c r="E14" s="135"/>
      <c r="F14" s="135"/>
      <c r="G14" s="135"/>
      <c r="H14" s="135"/>
      <c r="I14" s="135"/>
    </row>
    <row r="15" spans="1:9" x14ac:dyDescent="0.25">
      <c r="A15" s="135" t="s">
        <v>194</v>
      </c>
      <c r="B15" s="138">
        <v>1231047.6965399999</v>
      </c>
      <c r="C15" s="138">
        <v>406858.05000000005</v>
      </c>
      <c r="D15" s="138">
        <f t="shared" si="0"/>
        <v>824189.64653999987</v>
      </c>
      <c r="E15" s="135"/>
      <c r="F15" s="135"/>
      <c r="G15" s="135"/>
      <c r="H15" s="135"/>
      <c r="I15" s="135"/>
    </row>
    <row r="16" spans="1:9" x14ac:dyDescent="0.25">
      <c r="A16" s="135" t="s">
        <v>195</v>
      </c>
      <c r="B16" s="139">
        <v>102862251.05921108</v>
      </c>
      <c r="C16" s="139">
        <v>85823709.204030424</v>
      </c>
      <c r="D16" s="139">
        <f t="shared" si="0"/>
        <v>17038541.855180651</v>
      </c>
      <c r="E16" s="135"/>
      <c r="F16" s="135"/>
      <c r="G16" s="135"/>
      <c r="H16" s="135"/>
      <c r="I16" s="135"/>
    </row>
    <row r="17" spans="1:9" x14ac:dyDescent="0.25">
      <c r="A17" s="137" t="s">
        <v>196</v>
      </c>
      <c r="B17" s="138">
        <f>SUM(B10:B16)</f>
        <v>185369412.40414804</v>
      </c>
      <c r="C17" s="138">
        <f>SUM(C10:C16)</f>
        <v>154811610.05403042</v>
      </c>
      <c r="D17" s="138">
        <f>SUM(D10:D16)</f>
        <v>30557802.350117646</v>
      </c>
      <c r="E17" s="135"/>
      <c r="F17" s="135"/>
      <c r="G17" s="135"/>
      <c r="H17" s="135"/>
      <c r="I17" s="135"/>
    </row>
    <row r="18" spans="1:9" x14ac:dyDescent="0.25">
      <c r="A18" s="135"/>
      <c r="B18" s="135"/>
      <c r="C18" s="135"/>
      <c r="D18" s="138"/>
      <c r="E18" s="135"/>
      <c r="F18" s="135"/>
      <c r="G18" s="135"/>
      <c r="H18" s="135"/>
      <c r="I18" s="135"/>
    </row>
    <row r="19" spans="1:9" x14ac:dyDescent="0.25">
      <c r="A19" s="137" t="s">
        <v>197</v>
      </c>
      <c r="B19" s="135"/>
      <c r="C19" s="135"/>
      <c r="D19" s="138"/>
      <c r="E19" s="135"/>
      <c r="F19" s="135"/>
      <c r="G19" s="135"/>
      <c r="H19" s="135"/>
      <c r="I19" s="135"/>
    </row>
    <row r="20" spans="1:9" x14ac:dyDescent="0.25">
      <c r="A20" s="135" t="s">
        <v>198</v>
      </c>
      <c r="B20" s="139">
        <v>1951595.5639888002</v>
      </c>
      <c r="C20" s="139">
        <v>1913366</v>
      </c>
      <c r="D20" s="139">
        <f>B20-C20</f>
        <v>38229.563988800161</v>
      </c>
      <c r="E20" s="135"/>
      <c r="F20" s="135"/>
      <c r="G20" s="135"/>
      <c r="H20" s="135"/>
      <c r="I20" s="135"/>
    </row>
    <row r="21" spans="1:9" x14ac:dyDescent="0.25">
      <c r="A21" s="137" t="s">
        <v>199</v>
      </c>
      <c r="B21" s="138">
        <f>SUM(B20)</f>
        <v>1951595.5639888002</v>
      </c>
      <c r="C21" s="138">
        <f>SUM(C20)</f>
        <v>1913366</v>
      </c>
      <c r="D21" s="138">
        <f>SUM(D20)</f>
        <v>38229.563988800161</v>
      </c>
      <c r="E21" s="135"/>
      <c r="F21" s="135"/>
      <c r="G21" s="135"/>
      <c r="H21" s="135"/>
      <c r="I21" s="135"/>
    </row>
    <row r="22" spans="1:9" x14ac:dyDescent="0.25">
      <c r="A22" s="135"/>
      <c r="B22" s="135"/>
      <c r="C22" s="135"/>
      <c r="D22" s="138"/>
      <c r="E22" s="135"/>
      <c r="F22" s="135"/>
      <c r="G22" s="135"/>
      <c r="H22" s="135"/>
      <c r="I22" s="135"/>
    </row>
    <row r="23" spans="1:9" ht="13.5" customHeight="1" x14ac:dyDescent="0.25">
      <c r="A23" s="137" t="s">
        <v>200</v>
      </c>
      <c r="B23" s="135"/>
      <c r="C23" s="135"/>
      <c r="D23" s="138"/>
      <c r="E23" s="135"/>
      <c r="F23" s="135"/>
      <c r="G23" s="135"/>
      <c r="H23" s="135"/>
      <c r="I23" s="135"/>
    </row>
    <row r="24" spans="1:9" x14ac:dyDescent="0.25">
      <c r="A24" s="135" t="s">
        <v>201</v>
      </c>
      <c r="B24" s="138">
        <v>2360853.4699999997</v>
      </c>
      <c r="C24" s="138">
        <v>1468549.9699999997</v>
      </c>
      <c r="D24" s="138">
        <f>B24-C24</f>
        <v>892303.5</v>
      </c>
      <c r="E24" s="135"/>
      <c r="F24" s="135"/>
      <c r="G24" s="135"/>
      <c r="H24" s="135"/>
      <c r="I24" s="135"/>
    </row>
    <row r="25" spans="1:9" x14ac:dyDescent="0.25">
      <c r="A25" s="135" t="s">
        <v>202</v>
      </c>
      <c r="B25" s="138">
        <v>1193.3400000000006</v>
      </c>
      <c r="C25" s="138">
        <v>5956.65</v>
      </c>
      <c r="D25" s="138">
        <f>B25-C25</f>
        <v>-4763.3099999999995</v>
      </c>
      <c r="E25" s="135"/>
      <c r="F25" s="135"/>
      <c r="G25" s="135"/>
      <c r="H25" s="135"/>
      <c r="I25" s="135"/>
    </row>
    <row r="26" spans="1:9" x14ac:dyDescent="0.25">
      <c r="A26" s="135" t="s">
        <v>203</v>
      </c>
      <c r="B26" s="138">
        <v>423448.30000000005</v>
      </c>
      <c r="C26" s="138">
        <v>3264672.49</v>
      </c>
      <c r="D26" s="138">
        <f>B26-C26</f>
        <v>-2841224.1900000004</v>
      </c>
      <c r="E26" s="135"/>
      <c r="F26" s="135"/>
      <c r="G26" s="135"/>
      <c r="H26" s="135"/>
      <c r="I26" s="135"/>
    </row>
    <row r="27" spans="1:9" x14ac:dyDescent="0.25">
      <c r="A27" s="135" t="s">
        <v>204</v>
      </c>
      <c r="B27" s="139">
        <v>1162320.5</v>
      </c>
      <c r="C27" s="139">
        <v>3947364.75</v>
      </c>
      <c r="D27" s="139">
        <f>B27-C27</f>
        <v>-2785044.25</v>
      </c>
      <c r="E27" s="135"/>
      <c r="F27" s="135"/>
      <c r="G27" s="135"/>
      <c r="H27" s="135"/>
      <c r="I27" s="135"/>
    </row>
    <row r="28" spans="1:9" x14ac:dyDescent="0.25">
      <c r="A28" s="137" t="s">
        <v>205</v>
      </c>
      <c r="B28" s="138">
        <f>SUM(B24:B27)</f>
        <v>3947815.6099999994</v>
      </c>
      <c r="C28" s="138">
        <f>SUM(C24:C27)</f>
        <v>8686543.8599999994</v>
      </c>
      <c r="D28" s="138">
        <f>SUM(D24:D27)</f>
        <v>-4738728.25</v>
      </c>
      <c r="E28" s="135"/>
      <c r="F28" s="135"/>
      <c r="G28" s="135"/>
      <c r="H28" s="135"/>
      <c r="I28" s="135"/>
    </row>
    <row r="29" spans="1:9" x14ac:dyDescent="0.25">
      <c r="A29" s="135"/>
      <c r="B29" s="135"/>
      <c r="C29" s="135"/>
      <c r="D29" s="138"/>
      <c r="E29" s="135"/>
      <c r="F29" s="135"/>
      <c r="G29" s="135"/>
      <c r="H29" s="135"/>
      <c r="I29" s="135"/>
    </row>
    <row r="30" spans="1:9" x14ac:dyDescent="0.25">
      <c r="A30" s="137" t="s">
        <v>206</v>
      </c>
      <c r="B30" s="135"/>
      <c r="C30" s="135"/>
      <c r="D30" s="138"/>
      <c r="E30" s="135"/>
      <c r="F30" s="135"/>
      <c r="G30" s="135"/>
      <c r="H30" s="135"/>
      <c r="I30" s="135"/>
    </row>
    <row r="31" spans="1:9" x14ac:dyDescent="0.25">
      <c r="A31" s="135"/>
      <c r="B31" s="135"/>
      <c r="C31" s="135"/>
      <c r="D31" s="138"/>
      <c r="E31" s="135"/>
      <c r="F31" s="135"/>
      <c r="G31" s="135"/>
      <c r="H31" s="135"/>
      <c r="I31" s="135"/>
    </row>
    <row r="32" spans="1:9" x14ac:dyDescent="0.25">
      <c r="A32" s="135" t="s">
        <v>207</v>
      </c>
      <c r="B32" s="138">
        <v>-100944529.54505624</v>
      </c>
      <c r="C32" s="138">
        <v>-74164650.019661814</v>
      </c>
      <c r="D32" s="138">
        <f>B32-C32</f>
        <v>-26779879.525394425</v>
      </c>
      <c r="E32" s="135"/>
      <c r="F32" s="135"/>
      <c r="G32" s="135"/>
      <c r="H32" s="135"/>
      <c r="I32" s="135"/>
    </row>
    <row r="33" spans="1:9" x14ac:dyDescent="0.25">
      <c r="A33" s="135" t="s">
        <v>208</v>
      </c>
      <c r="B33" s="138">
        <v>-77554825.228136808</v>
      </c>
      <c r="C33" s="138">
        <v>-79909269.608224511</v>
      </c>
      <c r="D33" s="138">
        <f>B33-C33</f>
        <v>2354444.3800877035</v>
      </c>
      <c r="E33" s="135"/>
      <c r="F33" s="135"/>
      <c r="G33" s="135"/>
      <c r="H33" s="135"/>
      <c r="I33" s="135"/>
    </row>
    <row r="34" spans="1:9" x14ac:dyDescent="0.25">
      <c r="A34" s="135" t="s">
        <v>209</v>
      </c>
      <c r="B34" s="138">
        <v>-10350493.411999999</v>
      </c>
      <c r="C34" s="138">
        <v>-1107285.9000000001</v>
      </c>
      <c r="D34" s="138">
        <f>B34-C34</f>
        <v>-9243207.5119999982</v>
      </c>
      <c r="E34" s="135"/>
      <c r="F34" s="135"/>
      <c r="G34" s="135"/>
      <c r="H34" s="135"/>
      <c r="I34" s="135"/>
    </row>
    <row r="35" spans="1:9" x14ac:dyDescent="0.25">
      <c r="A35" s="135" t="s">
        <v>210</v>
      </c>
      <c r="B35" s="138">
        <v>-20919.23</v>
      </c>
      <c r="C35" s="138">
        <v>-8753.4700000000012</v>
      </c>
      <c r="D35" s="138">
        <f>B35-C35</f>
        <v>-12165.759999999998</v>
      </c>
      <c r="E35" s="135"/>
      <c r="F35" s="135"/>
      <c r="G35" s="135"/>
      <c r="H35" s="135"/>
      <c r="I35" s="135"/>
    </row>
    <row r="36" spans="1:9" x14ac:dyDescent="0.25">
      <c r="A36" s="135" t="s">
        <v>211</v>
      </c>
      <c r="B36" s="139">
        <v>-17152.689999999995</v>
      </c>
      <c r="C36" s="139">
        <v>-3015666.1</v>
      </c>
      <c r="D36" s="139">
        <f>B36-C36</f>
        <v>2998513.41</v>
      </c>
      <c r="E36" s="135"/>
      <c r="F36" s="135"/>
      <c r="G36" s="135"/>
      <c r="H36" s="135"/>
      <c r="I36" s="135"/>
    </row>
    <row r="37" spans="1:9" x14ac:dyDescent="0.25">
      <c r="A37" s="137" t="s">
        <v>212</v>
      </c>
      <c r="B37" s="138">
        <f>SUM(B32:B36)</f>
        <v>-188887920.10519305</v>
      </c>
      <c r="C37" s="138">
        <f>SUM(C32:C36)</f>
        <v>-158205625.09788632</v>
      </c>
      <c r="D37" s="138">
        <f>SUM(D32:D36)</f>
        <v>-30682295.007306714</v>
      </c>
      <c r="E37" s="135"/>
      <c r="F37" s="135"/>
      <c r="G37" s="135"/>
      <c r="H37" s="135"/>
      <c r="I37" s="135"/>
    </row>
    <row r="38" spans="1:9" x14ac:dyDescent="0.25">
      <c r="A38" s="135"/>
      <c r="B38" s="135"/>
      <c r="C38" s="135"/>
      <c r="D38" s="138"/>
      <c r="E38" s="135"/>
      <c r="F38" s="135"/>
      <c r="G38" s="135"/>
      <c r="H38" s="135"/>
      <c r="I38" s="135"/>
    </row>
    <row r="39" spans="1:9" x14ac:dyDescent="0.25">
      <c r="A39" s="135"/>
      <c r="B39" s="135"/>
      <c r="C39" s="135"/>
      <c r="D39" s="138"/>
      <c r="E39" s="135"/>
      <c r="F39" s="135"/>
      <c r="G39" s="135"/>
      <c r="H39" s="135"/>
      <c r="I39" s="135"/>
    </row>
    <row r="40" spans="1:9" ht="15.75" thickBot="1" x14ac:dyDescent="0.3">
      <c r="A40" s="137" t="s">
        <v>213</v>
      </c>
      <c r="B40" s="140">
        <f>B17+B21+B28+B37</f>
        <v>2380903.4729438126</v>
      </c>
      <c r="C40" s="140">
        <f>C17+C21+C28+C37</f>
        <v>7205894.8161441088</v>
      </c>
      <c r="D40" s="140">
        <f>D17+D21+D28+D37</f>
        <v>-4824991.3432002664</v>
      </c>
      <c r="E40" s="135"/>
      <c r="F40" s="135"/>
      <c r="G40" s="135"/>
      <c r="H40" s="135"/>
      <c r="I40" s="135"/>
    </row>
    <row r="41" spans="1:9" ht="15.75" thickTop="1" x14ac:dyDescent="0.25">
      <c r="A41" s="135"/>
      <c r="B41" s="135"/>
      <c r="C41" s="135"/>
      <c r="D41" s="135"/>
      <c r="E41" s="135"/>
      <c r="F41" s="135"/>
      <c r="G41" s="135"/>
      <c r="H41" s="135"/>
      <c r="I41" s="135"/>
    </row>
    <row r="42" spans="1:9" x14ac:dyDescent="0.25">
      <c r="A42" s="135"/>
      <c r="B42" s="135"/>
      <c r="C42" s="135"/>
      <c r="D42" s="135"/>
      <c r="E42" s="135"/>
      <c r="F42" s="135"/>
      <c r="G42" s="135"/>
      <c r="H42" s="135"/>
      <c r="I42" s="135"/>
    </row>
    <row r="43" spans="1:9" x14ac:dyDescent="0.25">
      <c r="A43" s="135"/>
      <c r="B43" s="135"/>
      <c r="C43" s="135"/>
      <c r="D43" s="135"/>
      <c r="E43" s="135"/>
      <c r="F43" s="135"/>
      <c r="G43" s="135"/>
      <c r="H43" s="141" t="s">
        <v>252</v>
      </c>
      <c r="I43" s="135"/>
    </row>
    <row r="44" spans="1:9" x14ac:dyDescent="0.25">
      <c r="A44" s="142" t="s">
        <v>214</v>
      </c>
      <c r="B44" s="143" t="s">
        <v>114</v>
      </c>
      <c r="C44" s="143" t="s">
        <v>162</v>
      </c>
      <c r="D44" s="143" t="s">
        <v>163</v>
      </c>
      <c r="E44" s="143" t="s">
        <v>164</v>
      </c>
      <c r="F44" s="143" t="s">
        <v>165</v>
      </c>
      <c r="G44" s="144" t="s">
        <v>166</v>
      </c>
      <c r="H44" s="145" t="s">
        <v>162</v>
      </c>
      <c r="I44" s="135"/>
    </row>
    <row r="45" spans="1:9" ht="15.75" thickBot="1" x14ac:dyDescent="0.3">
      <c r="A45" s="146" t="s">
        <v>161</v>
      </c>
      <c r="B45" s="147"/>
      <c r="C45" s="147"/>
      <c r="D45" s="147"/>
      <c r="E45" s="147"/>
      <c r="F45" s="147"/>
      <c r="G45" s="147"/>
      <c r="H45" s="135"/>
      <c r="I45" s="135"/>
    </row>
    <row r="46" spans="1:9" x14ac:dyDescent="0.25">
      <c r="A46" s="148" t="s">
        <v>20</v>
      </c>
      <c r="B46" s="149">
        <f>+B24</f>
        <v>2360853.4699999997</v>
      </c>
      <c r="C46" s="149">
        <f t="shared" ref="C46:C51" si="1">B46/12</f>
        <v>196737.78916666665</v>
      </c>
      <c r="D46" s="135" t="s">
        <v>167</v>
      </c>
      <c r="E46" s="150" t="s">
        <v>168</v>
      </c>
      <c r="F46" s="135" t="s">
        <v>169</v>
      </c>
      <c r="G46" s="150" t="s">
        <v>170</v>
      </c>
      <c r="H46" s="151">
        <v>122379.16416666664</v>
      </c>
      <c r="I46" s="135"/>
    </row>
    <row r="47" spans="1:9" x14ac:dyDescent="0.25">
      <c r="A47" s="148" t="s">
        <v>21</v>
      </c>
      <c r="B47" s="149">
        <f>+B27</f>
        <v>1162320.5</v>
      </c>
      <c r="C47" s="149">
        <f t="shared" si="1"/>
        <v>96860.041666666672</v>
      </c>
      <c r="D47" s="135" t="s">
        <v>160</v>
      </c>
      <c r="E47" s="150" t="s">
        <v>171</v>
      </c>
      <c r="F47" s="135" t="s">
        <v>169</v>
      </c>
      <c r="G47" s="150" t="s">
        <v>170</v>
      </c>
      <c r="H47" s="152">
        <v>328947.0625</v>
      </c>
      <c r="I47" s="135"/>
    </row>
    <row r="48" spans="1:9" x14ac:dyDescent="0.25">
      <c r="A48" s="148" t="s">
        <v>159</v>
      </c>
      <c r="B48" s="149">
        <f>+SUM(B33:B36,B25:B26)</f>
        <v>-87518748.920136809</v>
      </c>
      <c r="C48" s="149">
        <f t="shared" si="1"/>
        <v>-7293229.0766780674</v>
      </c>
      <c r="D48" s="135" t="s">
        <v>215</v>
      </c>
      <c r="E48" s="150" t="s">
        <v>172</v>
      </c>
      <c r="F48" s="135" t="s">
        <v>216</v>
      </c>
      <c r="G48" s="150" t="s">
        <v>172</v>
      </c>
      <c r="H48" s="152">
        <v>-6730862.1615187088</v>
      </c>
      <c r="I48" s="153"/>
    </row>
    <row r="49" spans="1:9" x14ac:dyDescent="0.25">
      <c r="A49" s="148" t="s">
        <v>174</v>
      </c>
      <c r="B49" s="149">
        <f>+B16*0.5</f>
        <v>51431125.529605538</v>
      </c>
      <c r="C49" s="149">
        <f t="shared" si="1"/>
        <v>4285927.1274671284</v>
      </c>
      <c r="D49" s="135" t="s">
        <v>175</v>
      </c>
      <c r="E49" s="150" t="s">
        <v>176</v>
      </c>
      <c r="F49" s="135" t="s">
        <v>175</v>
      </c>
      <c r="G49" s="150" t="s">
        <v>176</v>
      </c>
      <c r="H49" s="152">
        <v>3575987.8835012675</v>
      </c>
      <c r="I49" s="135"/>
    </row>
    <row r="50" spans="1:9" x14ac:dyDescent="0.25">
      <c r="A50" s="148" t="s">
        <v>177</v>
      </c>
      <c r="B50" s="149">
        <f>+B16*0.5</f>
        <v>51431125.529605538</v>
      </c>
      <c r="C50" s="149">
        <f t="shared" si="1"/>
        <v>4285927.1274671284</v>
      </c>
      <c r="D50" s="135" t="s">
        <v>217</v>
      </c>
      <c r="E50" s="150" t="s">
        <v>218</v>
      </c>
      <c r="F50" s="135" t="s">
        <v>219</v>
      </c>
      <c r="G50" s="150" t="s">
        <v>220</v>
      </c>
      <c r="H50" s="152">
        <v>3575987.8835012675</v>
      </c>
      <c r="I50" s="135"/>
    </row>
    <row r="51" spans="1:9" x14ac:dyDescent="0.25">
      <c r="A51" s="148" t="s">
        <v>178</v>
      </c>
      <c r="B51" s="149">
        <f>+SUM(B10:B15,B20,B32)</f>
        <v>-16485772.636130452</v>
      </c>
      <c r="C51" s="149">
        <f t="shared" si="1"/>
        <v>-1373814.3863442044</v>
      </c>
      <c r="D51" s="135" t="s">
        <v>179</v>
      </c>
      <c r="E51" s="150" t="s">
        <v>180</v>
      </c>
      <c r="F51" s="135" t="s">
        <v>169</v>
      </c>
      <c r="G51" s="150" t="s">
        <v>170</v>
      </c>
      <c r="H51" s="152">
        <v>-271948.59747181833</v>
      </c>
      <c r="I51" s="135"/>
    </row>
    <row r="52" spans="1:9" ht="15.75" thickBot="1" x14ac:dyDescent="0.3">
      <c r="A52" s="135"/>
      <c r="B52" s="154">
        <f>SUM(B46:B51)</f>
        <v>2380903.4729438126</v>
      </c>
      <c r="C52" s="154">
        <f>SUM(C46:C51)</f>
        <v>198408.62274531857</v>
      </c>
      <c r="D52" s="135"/>
      <c r="E52" s="135"/>
      <c r="F52" s="135"/>
      <c r="G52" s="135"/>
      <c r="H52" s="155">
        <v>600491.23467867449</v>
      </c>
      <c r="I52" s="135"/>
    </row>
    <row r="53" spans="1:9" x14ac:dyDescent="0.25">
      <c r="A53" s="135"/>
      <c r="B53" s="156"/>
      <c r="C53" s="156"/>
      <c r="D53" s="135"/>
      <c r="E53" s="135"/>
      <c r="F53" s="135"/>
      <c r="G53" s="135"/>
      <c r="H53" s="135"/>
      <c r="I53" s="135"/>
    </row>
    <row r="54" spans="1:9" x14ac:dyDescent="0.25">
      <c r="A54" s="157" t="s">
        <v>253</v>
      </c>
      <c r="B54" s="135"/>
      <c r="C54" s="135"/>
      <c r="D54" s="135"/>
      <c r="E54" s="135"/>
      <c r="F54" s="135"/>
      <c r="G54" s="135"/>
      <c r="H54" s="135"/>
      <c r="I54" s="135"/>
    </row>
    <row r="55" spans="1:9" x14ac:dyDescent="0.25">
      <c r="A55" s="148" t="s">
        <v>173</v>
      </c>
      <c r="B55" s="149">
        <f>+B16</f>
        <v>102862251.05921108</v>
      </c>
      <c r="C55" s="158">
        <f>B55/12</f>
        <v>8571854.2549342569</v>
      </c>
      <c r="D55" s="135"/>
      <c r="E55" s="159"/>
      <c r="F55" s="159"/>
      <c r="G55" s="135"/>
      <c r="H55" s="135"/>
      <c r="I55" s="135"/>
    </row>
    <row r="56" spans="1:9" x14ac:dyDescent="0.25">
      <c r="A56" s="148" t="s">
        <v>3</v>
      </c>
      <c r="B56" s="149">
        <f>+B10</f>
        <v>54669547.368396997</v>
      </c>
      <c r="C56" s="158">
        <f>B56/12</f>
        <v>4555795.6140330834</v>
      </c>
      <c r="D56" s="135"/>
      <c r="E56" s="135"/>
      <c r="F56" s="135"/>
      <c r="G56" s="135"/>
      <c r="H56" s="158"/>
      <c r="I56" s="135"/>
    </row>
    <row r="57" spans="1:9" x14ac:dyDescent="0.25">
      <c r="A57" s="135"/>
      <c r="B57" s="154">
        <f>SUM(B55:B56)</f>
        <v>157531798.42760807</v>
      </c>
      <c r="C57" s="154">
        <f>SUM(C55:C56)</f>
        <v>13127649.868967339</v>
      </c>
      <c r="D57" s="135"/>
      <c r="E57" s="135"/>
      <c r="F57" s="135"/>
      <c r="G57" s="135"/>
      <c r="H57" s="158"/>
      <c r="I57" s="135"/>
    </row>
    <row r="58" spans="1:9" x14ac:dyDescent="0.25">
      <c r="H58" s="59"/>
    </row>
  </sheetData>
  <pageMargins left="0.7" right="0.7" top="0.75" bottom="0.75" header="0.3" footer="0.3"/>
  <pageSetup scale="52" orientation="landscape" horizontalDpi="1200" verticalDpi="1200" r:id="rId1"/>
  <headerFooter>
    <oddFooter>&amp;CSchedule RL-1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P14"/>
  <sheetViews>
    <sheetView zoomScaleNormal="100" workbookViewId="0">
      <selection activeCell="G22" sqref="G22"/>
    </sheetView>
  </sheetViews>
  <sheetFormatPr defaultRowHeight="15" x14ac:dyDescent="0.25"/>
  <cols>
    <col min="3" max="13" width="13.140625" customWidth="1"/>
    <col min="14" max="14" width="16.85546875" bestFit="1" customWidth="1"/>
    <col min="15" max="15" width="4.28515625" customWidth="1"/>
    <col min="16" max="16" width="14.85546875" bestFit="1" customWidth="1"/>
  </cols>
  <sheetData>
    <row r="1" spans="1:16" x14ac:dyDescent="0.25">
      <c r="A1" s="162" t="s">
        <v>22</v>
      </c>
      <c r="B1" s="162" t="s">
        <v>23</v>
      </c>
      <c r="C1" t="s">
        <v>24</v>
      </c>
      <c r="D1" t="s">
        <v>25</v>
      </c>
      <c r="E1" t="s">
        <v>26</v>
      </c>
      <c r="F1" t="s">
        <v>27</v>
      </c>
      <c r="G1" t="s">
        <v>28</v>
      </c>
      <c r="H1" t="s">
        <v>29</v>
      </c>
      <c r="I1" t="s">
        <v>30</v>
      </c>
      <c r="J1" t="s">
        <v>31</v>
      </c>
      <c r="K1" t="s">
        <v>32</v>
      </c>
      <c r="L1" t="s">
        <v>285</v>
      </c>
      <c r="M1" t="s">
        <v>33</v>
      </c>
      <c r="N1" t="s">
        <v>34</v>
      </c>
      <c r="P1" t="s">
        <v>223</v>
      </c>
    </row>
    <row r="2" spans="1:16" x14ac:dyDescent="0.25">
      <c r="A2" s="32">
        <v>2027</v>
      </c>
      <c r="B2" s="32">
        <v>2</v>
      </c>
      <c r="C2" s="66">
        <v>1347842</v>
      </c>
      <c r="D2" s="66">
        <v>275682</v>
      </c>
      <c r="E2" s="66">
        <v>543314</v>
      </c>
      <c r="F2" s="66">
        <v>192530</v>
      </c>
      <c r="G2" s="66">
        <v>129319</v>
      </c>
      <c r="H2" s="66">
        <v>7367</v>
      </c>
      <c r="I2" s="66">
        <v>56464</v>
      </c>
      <c r="J2" s="66">
        <v>90108</v>
      </c>
      <c r="K2" s="66">
        <v>166526</v>
      </c>
      <c r="L2" s="66">
        <v>913.6</v>
      </c>
      <c r="M2" s="66">
        <v>913.6</v>
      </c>
      <c r="N2" s="66">
        <v>2821337.6</v>
      </c>
      <c r="O2" s="163"/>
      <c r="P2" s="164">
        <f>+N2*1000</f>
        <v>2821337600</v>
      </c>
    </row>
    <row r="3" spans="1:16" x14ac:dyDescent="0.25">
      <c r="A3" s="32">
        <v>2027</v>
      </c>
      <c r="B3" s="32">
        <v>3</v>
      </c>
      <c r="C3" s="66">
        <v>1092874</v>
      </c>
      <c r="D3" s="66">
        <v>245495</v>
      </c>
      <c r="E3" s="66">
        <v>513210</v>
      </c>
      <c r="F3" s="66">
        <v>187546</v>
      </c>
      <c r="G3" s="66">
        <v>130881</v>
      </c>
      <c r="H3" s="66">
        <v>6311</v>
      </c>
      <c r="I3" s="66">
        <v>54108</v>
      </c>
      <c r="J3" s="66">
        <v>90675</v>
      </c>
      <c r="K3" s="66">
        <v>165689</v>
      </c>
      <c r="L3" s="66">
        <v>1012</v>
      </c>
      <c r="M3" s="66">
        <v>1012</v>
      </c>
      <c r="N3" s="66">
        <v>2498388</v>
      </c>
      <c r="O3" s="163"/>
      <c r="P3" s="164">
        <f t="shared" ref="P3:P13" si="0">+N3*1000</f>
        <v>2498388000</v>
      </c>
    </row>
    <row r="4" spans="1:16" x14ac:dyDescent="0.25">
      <c r="A4" s="32">
        <v>2027</v>
      </c>
      <c r="B4" s="32">
        <v>4</v>
      </c>
      <c r="C4" s="66">
        <v>851468</v>
      </c>
      <c r="D4" s="66">
        <v>217054</v>
      </c>
      <c r="E4" s="66">
        <v>486709</v>
      </c>
      <c r="F4" s="66">
        <v>185373</v>
      </c>
      <c r="G4" s="66">
        <v>136195</v>
      </c>
      <c r="H4" s="66">
        <v>5621</v>
      </c>
      <c r="I4" s="66">
        <v>56479</v>
      </c>
      <c r="J4" s="66">
        <v>90057</v>
      </c>
      <c r="K4" s="66">
        <v>178164</v>
      </c>
      <c r="L4" s="66">
        <v>979.2</v>
      </c>
      <c r="M4" s="66">
        <v>979.2</v>
      </c>
      <c r="N4" s="66">
        <v>2217854.2000000002</v>
      </c>
      <c r="O4" s="163"/>
      <c r="P4" s="164">
        <f t="shared" si="0"/>
        <v>2217854200</v>
      </c>
    </row>
    <row r="5" spans="1:16" x14ac:dyDescent="0.25">
      <c r="A5" s="32">
        <v>2027</v>
      </c>
      <c r="B5" s="32">
        <v>5</v>
      </c>
      <c r="C5" s="66">
        <v>754841</v>
      </c>
      <c r="D5" s="66">
        <v>207933</v>
      </c>
      <c r="E5" s="66">
        <v>493326</v>
      </c>
      <c r="F5" s="66">
        <v>193977</v>
      </c>
      <c r="G5" s="66">
        <v>143386</v>
      </c>
      <c r="H5" s="66">
        <v>5068</v>
      </c>
      <c r="I5" s="66">
        <v>53054</v>
      </c>
      <c r="J5" s="66">
        <v>92423</v>
      </c>
      <c r="K5" s="66">
        <v>189325</v>
      </c>
      <c r="L5" s="66">
        <v>1012</v>
      </c>
      <c r="M5" s="66">
        <v>1012</v>
      </c>
      <c r="N5" s="66">
        <v>2143530</v>
      </c>
      <c r="O5" s="163"/>
      <c r="P5" s="164">
        <f t="shared" si="0"/>
        <v>2143530000</v>
      </c>
    </row>
    <row r="6" spans="1:16" x14ac:dyDescent="0.25">
      <c r="A6" s="32">
        <v>2027</v>
      </c>
      <c r="B6" s="32">
        <v>6</v>
      </c>
      <c r="C6" s="66">
        <v>1002377</v>
      </c>
      <c r="D6" s="66">
        <v>250780</v>
      </c>
      <c r="E6" s="66">
        <v>566808</v>
      </c>
      <c r="F6" s="66">
        <v>207930</v>
      </c>
      <c r="G6" s="66">
        <v>160829</v>
      </c>
      <c r="H6" s="66">
        <v>5834</v>
      </c>
      <c r="I6" s="66">
        <v>56387</v>
      </c>
      <c r="J6" s="66">
        <v>96340</v>
      </c>
      <c r="K6" s="66">
        <v>195258</v>
      </c>
      <c r="L6" s="66">
        <v>38923.199999999997</v>
      </c>
      <c r="M6" s="66">
        <v>38923.199999999997</v>
      </c>
      <c r="N6" s="66">
        <v>2590468.2000000002</v>
      </c>
      <c r="O6" s="163"/>
      <c r="P6" s="164">
        <f t="shared" si="0"/>
        <v>2590468200</v>
      </c>
    </row>
    <row r="7" spans="1:16" x14ac:dyDescent="0.25">
      <c r="A7" s="32">
        <v>2027</v>
      </c>
      <c r="B7" s="32">
        <v>7</v>
      </c>
      <c r="C7" s="66">
        <v>1353969</v>
      </c>
      <c r="D7" s="66">
        <v>297144</v>
      </c>
      <c r="E7" s="66">
        <v>639017</v>
      </c>
      <c r="F7" s="66">
        <v>231446</v>
      </c>
      <c r="G7" s="66">
        <v>169724</v>
      </c>
      <c r="H7" s="66">
        <v>7144</v>
      </c>
      <c r="I7" s="66">
        <v>63225</v>
      </c>
      <c r="J7" s="66">
        <v>101218</v>
      </c>
      <c r="K7" s="66">
        <v>202864</v>
      </c>
      <c r="L7" s="66">
        <v>76393.2</v>
      </c>
      <c r="M7" s="66">
        <v>76393.2</v>
      </c>
      <c r="N7" s="66">
        <v>3150462.2</v>
      </c>
      <c r="O7" s="163"/>
      <c r="P7" s="164">
        <f t="shared" si="0"/>
        <v>3150462200</v>
      </c>
    </row>
    <row r="8" spans="1:16" x14ac:dyDescent="0.25">
      <c r="A8" s="32">
        <v>2027</v>
      </c>
      <c r="B8" s="32">
        <v>8</v>
      </c>
      <c r="C8" s="66">
        <v>1334827</v>
      </c>
      <c r="D8" s="66">
        <v>292436</v>
      </c>
      <c r="E8" s="66">
        <v>632910</v>
      </c>
      <c r="F8" s="66">
        <v>229868</v>
      </c>
      <c r="G8" s="66">
        <v>165065</v>
      </c>
      <c r="H8" s="66">
        <v>7110</v>
      </c>
      <c r="I8" s="66">
        <v>63306</v>
      </c>
      <c r="J8" s="66">
        <v>100233</v>
      </c>
      <c r="K8" s="66">
        <v>205644</v>
      </c>
      <c r="L8" s="66">
        <v>76393.2</v>
      </c>
      <c r="M8" s="66">
        <v>76393.2</v>
      </c>
      <c r="N8" s="66">
        <v>3115712.2</v>
      </c>
      <c r="O8" s="163"/>
      <c r="P8" s="164">
        <f t="shared" si="0"/>
        <v>3115712200</v>
      </c>
    </row>
    <row r="9" spans="1:16" x14ac:dyDescent="0.25">
      <c r="A9" s="32">
        <v>2027</v>
      </c>
      <c r="B9" s="32">
        <v>9</v>
      </c>
      <c r="C9" s="66">
        <v>1181553</v>
      </c>
      <c r="D9" s="66">
        <v>279099</v>
      </c>
      <c r="E9" s="66">
        <v>625506</v>
      </c>
      <c r="F9" s="66">
        <v>222728</v>
      </c>
      <c r="G9" s="66">
        <v>164531</v>
      </c>
      <c r="H9" s="66">
        <v>6713</v>
      </c>
      <c r="I9" s="66">
        <v>62166</v>
      </c>
      <c r="J9" s="66">
        <v>98155</v>
      </c>
      <c r="K9" s="66">
        <v>193570</v>
      </c>
      <c r="L9" s="66">
        <v>115545.60000000001</v>
      </c>
      <c r="M9" s="66">
        <v>115545.60000000001</v>
      </c>
      <c r="N9" s="66">
        <v>2957101.6</v>
      </c>
      <c r="O9" s="163"/>
      <c r="P9" s="164">
        <f t="shared" si="0"/>
        <v>2957101600</v>
      </c>
    </row>
    <row r="10" spans="1:16" x14ac:dyDescent="0.25">
      <c r="A10" s="32">
        <v>2027</v>
      </c>
      <c r="B10" s="32">
        <v>10</v>
      </c>
      <c r="C10" s="66">
        <v>893386</v>
      </c>
      <c r="D10" s="66">
        <v>239033</v>
      </c>
      <c r="E10" s="66">
        <v>558294</v>
      </c>
      <c r="F10" s="66">
        <v>208199</v>
      </c>
      <c r="G10" s="66">
        <v>153774</v>
      </c>
      <c r="H10" s="66">
        <v>6561</v>
      </c>
      <c r="I10" s="66">
        <v>56538</v>
      </c>
      <c r="J10" s="66">
        <v>95687</v>
      </c>
      <c r="K10" s="66">
        <v>190716</v>
      </c>
      <c r="L10" s="66">
        <v>133310.20000000001</v>
      </c>
      <c r="M10" s="66">
        <v>133310.20000000001</v>
      </c>
      <c r="N10" s="66">
        <v>2543527.2000000002</v>
      </c>
      <c r="O10" s="163"/>
      <c r="P10" s="164">
        <f t="shared" si="0"/>
        <v>2543527200</v>
      </c>
    </row>
    <row r="11" spans="1:16" x14ac:dyDescent="0.25">
      <c r="A11" s="32">
        <v>2027</v>
      </c>
      <c r="B11" s="32">
        <v>11</v>
      </c>
      <c r="C11" s="66">
        <v>824619</v>
      </c>
      <c r="D11" s="66">
        <v>215527</v>
      </c>
      <c r="E11" s="66">
        <v>503148</v>
      </c>
      <c r="F11" s="66">
        <v>186834</v>
      </c>
      <c r="G11" s="66">
        <v>139323</v>
      </c>
      <c r="H11" s="66">
        <v>7311</v>
      </c>
      <c r="I11" s="66">
        <v>56549</v>
      </c>
      <c r="J11" s="66">
        <v>89306</v>
      </c>
      <c r="K11" s="66">
        <v>182031</v>
      </c>
      <c r="L11" s="66">
        <v>249573.6</v>
      </c>
      <c r="M11" s="66">
        <v>249573.6</v>
      </c>
      <c r="N11" s="66">
        <v>2462913.6</v>
      </c>
      <c r="O11" s="163"/>
      <c r="P11" s="164">
        <f t="shared" si="0"/>
        <v>2462913600</v>
      </c>
    </row>
    <row r="12" spans="1:16" x14ac:dyDescent="0.25">
      <c r="A12" s="32">
        <v>2027</v>
      </c>
      <c r="B12" s="32">
        <v>12</v>
      </c>
      <c r="C12" s="66">
        <v>1141515</v>
      </c>
      <c r="D12" s="66">
        <v>253163</v>
      </c>
      <c r="E12" s="66">
        <v>535718</v>
      </c>
      <c r="F12" s="66">
        <v>191992</v>
      </c>
      <c r="G12" s="66">
        <v>138286</v>
      </c>
      <c r="H12" s="66">
        <v>8173</v>
      </c>
      <c r="I12" s="66">
        <v>56468</v>
      </c>
      <c r="J12" s="66">
        <v>91322</v>
      </c>
      <c r="K12" s="66">
        <v>178423</v>
      </c>
      <c r="L12" s="66">
        <v>281924.59999999998</v>
      </c>
      <c r="M12" s="66">
        <v>281924.59999999998</v>
      </c>
      <c r="N12" s="66">
        <v>2886274.6</v>
      </c>
      <c r="O12" s="163"/>
      <c r="P12" s="164">
        <f t="shared" si="0"/>
        <v>2886274600</v>
      </c>
    </row>
    <row r="13" spans="1:16" x14ac:dyDescent="0.25">
      <c r="A13" s="32">
        <v>2028</v>
      </c>
      <c r="B13" s="32">
        <v>1</v>
      </c>
      <c r="C13" s="66">
        <v>1445888</v>
      </c>
      <c r="D13" s="66">
        <v>290164</v>
      </c>
      <c r="E13" s="66">
        <v>580969</v>
      </c>
      <c r="F13" s="66">
        <v>202871</v>
      </c>
      <c r="G13" s="66">
        <v>146908</v>
      </c>
      <c r="H13" s="66">
        <v>8367</v>
      </c>
      <c r="I13" s="66">
        <v>54743</v>
      </c>
      <c r="J13" s="66">
        <v>92490</v>
      </c>
      <c r="K13" s="66">
        <v>187966</v>
      </c>
      <c r="L13" s="66">
        <v>334033.40000000002</v>
      </c>
      <c r="M13" s="66">
        <v>334033.40000000002</v>
      </c>
      <c r="N13" s="66">
        <v>3354788.4</v>
      </c>
      <c r="O13" s="163"/>
      <c r="P13" s="164">
        <f t="shared" si="0"/>
        <v>3354788400</v>
      </c>
    </row>
    <row r="14" spans="1:16" x14ac:dyDescent="0.25">
      <c r="B14" s="32"/>
    </row>
  </sheetData>
  <pageMargins left="0.7" right="0.7" top="0.75" bottom="0.75" header="0.3" footer="0.3"/>
  <pageSetup scale="60" orientation="landscape" r:id="rId1"/>
  <headerFooter>
    <oddFooter>&amp;CSchedule RL-1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A5A20-18FA-48FF-99FC-810B64EC4F5D}">
  <sheetPr>
    <pageSetUpPr fitToPage="1"/>
  </sheetPr>
  <dimension ref="A1:O85"/>
  <sheetViews>
    <sheetView zoomScale="90" zoomScaleNormal="90" workbookViewId="0">
      <selection activeCell="C2" sqref="C2"/>
    </sheetView>
  </sheetViews>
  <sheetFormatPr defaultRowHeight="12.75" x14ac:dyDescent="0.2"/>
  <cols>
    <col min="1" max="1" width="17.28515625" style="61" customWidth="1"/>
    <col min="2" max="2" width="5.7109375" style="61" customWidth="1"/>
    <col min="3" max="3" width="20" style="61" customWidth="1"/>
    <col min="4" max="4" width="5.7109375" style="61" customWidth="1"/>
    <col min="5" max="5" width="14.42578125" style="61" customWidth="1"/>
    <col min="6" max="6" width="5.7109375" style="61" customWidth="1"/>
    <col min="7" max="7" width="11.42578125" style="61" customWidth="1"/>
    <col min="8" max="8" width="5.7109375" style="61" customWidth="1"/>
    <col min="9" max="9" width="14.5703125" style="61" bestFit="1" customWidth="1"/>
    <col min="10" max="11" width="9.140625" style="61"/>
    <col min="12" max="12" width="14.42578125" style="61" bestFit="1" customWidth="1"/>
    <col min="13" max="256" width="9.140625" style="61"/>
    <col min="257" max="257" width="17.28515625" style="61" customWidth="1"/>
    <col min="258" max="258" width="5.7109375" style="61" customWidth="1"/>
    <col min="259" max="259" width="20" style="61" customWidth="1"/>
    <col min="260" max="260" width="5.7109375" style="61" customWidth="1"/>
    <col min="261" max="261" width="14.42578125" style="61" customWidth="1"/>
    <col min="262" max="262" width="5.7109375" style="61" customWidth="1"/>
    <col min="263" max="263" width="11.42578125" style="61" customWidth="1"/>
    <col min="264" max="264" width="5.7109375" style="61" customWidth="1"/>
    <col min="265" max="265" width="14.5703125" style="61" bestFit="1" customWidth="1"/>
    <col min="266" max="267" width="9.140625" style="61"/>
    <col min="268" max="268" width="14.42578125" style="61" bestFit="1" customWidth="1"/>
    <col min="269" max="512" width="9.140625" style="61"/>
    <col min="513" max="513" width="17.28515625" style="61" customWidth="1"/>
    <col min="514" max="514" width="5.7109375" style="61" customWidth="1"/>
    <col min="515" max="515" width="20" style="61" customWidth="1"/>
    <col min="516" max="516" width="5.7109375" style="61" customWidth="1"/>
    <col min="517" max="517" width="14.42578125" style="61" customWidth="1"/>
    <col min="518" max="518" width="5.7109375" style="61" customWidth="1"/>
    <col min="519" max="519" width="11.42578125" style="61" customWidth="1"/>
    <col min="520" max="520" width="5.7109375" style="61" customWidth="1"/>
    <col min="521" max="521" width="14.5703125" style="61" bestFit="1" customWidth="1"/>
    <col min="522" max="523" width="9.140625" style="61"/>
    <col min="524" max="524" width="14.42578125" style="61" bestFit="1" customWidth="1"/>
    <col min="525" max="768" width="9.140625" style="61"/>
    <col min="769" max="769" width="17.28515625" style="61" customWidth="1"/>
    <col min="770" max="770" width="5.7109375" style="61" customWidth="1"/>
    <col min="771" max="771" width="20" style="61" customWidth="1"/>
    <col min="772" max="772" width="5.7109375" style="61" customWidth="1"/>
    <col min="773" max="773" width="14.42578125" style="61" customWidth="1"/>
    <col min="774" max="774" width="5.7109375" style="61" customWidth="1"/>
    <col min="775" max="775" width="11.42578125" style="61" customWidth="1"/>
    <col min="776" max="776" width="5.7109375" style="61" customWidth="1"/>
    <col min="777" max="777" width="14.5703125" style="61" bestFit="1" customWidth="1"/>
    <col min="778" max="779" width="9.140625" style="61"/>
    <col min="780" max="780" width="14.42578125" style="61" bestFit="1" customWidth="1"/>
    <col min="781" max="1024" width="9.140625" style="61"/>
    <col min="1025" max="1025" width="17.28515625" style="61" customWidth="1"/>
    <col min="1026" max="1026" width="5.7109375" style="61" customWidth="1"/>
    <col min="1027" max="1027" width="20" style="61" customWidth="1"/>
    <col min="1028" max="1028" width="5.7109375" style="61" customWidth="1"/>
    <col min="1029" max="1029" width="14.42578125" style="61" customWidth="1"/>
    <col min="1030" max="1030" width="5.7109375" style="61" customWidth="1"/>
    <col min="1031" max="1031" width="11.42578125" style="61" customWidth="1"/>
    <col min="1032" max="1032" width="5.7109375" style="61" customWidth="1"/>
    <col min="1033" max="1033" width="14.5703125" style="61" bestFit="1" customWidth="1"/>
    <col min="1034" max="1035" width="9.140625" style="61"/>
    <col min="1036" max="1036" width="14.42578125" style="61" bestFit="1" customWidth="1"/>
    <col min="1037" max="1280" width="9.140625" style="61"/>
    <col min="1281" max="1281" width="17.28515625" style="61" customWidth="1"/>
    <col min="1282" max="1282" width="5.7109375" style="61" customWidth="1"/>
    <col min="1283" max="1283" width="20" style="61" customWidth="1"/>
    <col min="1284" max="1284" width="5.7109375" style="61" customWidth="1"/>
    <col min="1285" max="1285" width="14.42578125" style="61" customWidth="1"/>
    <col min="1286" max="1286" width="5.7109375" style="61" customWidth="1"/>
    <col min="1287" max="1287" width="11.42578125" style="61" customWidth="1"/>
    <col min="1288" max="1288" width="5.7109375" style="61" customWidth="1"/>
    <col min="1289" max="1289" width="14.5703125" style="61" bestFit="1" customWidth="1"/>
    <col min="1290" max="1291" width="9.140625" style="61"/>
    <col min="1292" max="1292" width="14.42578125" style="61" bestFit="1" customWidth="1"/>
    <col min="1293" max="1536" width="9.140625" style="61"/>
    <col min="1537" max="1537" width="17.28515625" style="61" customWidth="1"/>
    <col min="1538" max="1538" width="5.7109375" style="61" customWidth="1"/>
    <col min="1539" max="1539" width="20" style="61" customWidth="1"/>
    <col min="1540" max="1540" width="5.7109375" style="61" customWidth="1"/>
    <col min="1541" max="1541" width="14.42578125" style="61" customWidth="1"/>
    <col min="1542" max="1542" width="5.7109375" style="61" customWidth="1"/>
    <col min="1543" max="1543" width="11.42578125" style="61" customWidth="1"/>
    <col min="1544" max="1544" width="5.7109375" style="61" customWidth="1"/>
    <col min="1545" max="1545" width="14.5703125" style="61" bestFit="1" customWidth="1"/>
    <col min="1546" max="1547" width="9.140625" style="61"/>
    <col min="1548" max="1548" width="14.42578125" style="61" bestFit="1" customWidth="1"/>
    <col min="1549" max="1792" width="9.140625" style="61"/>
    <col min="1793" max="1793" width="17.28515625" style="61" customWidth="1"/>
    <col min="1794" max="1794" width="5.7109375" style="61" customWidth="1"/>
    <col min="1795" max="1795" width="20" style="61" customWidth="1"/>
    <col min="1796" max="1796" width="5.7109375" style="61" customWidth="1"/>
    <col min="1797" max="1797" width="14.42578125" style="61" customWidth="1"/>
    <col min="1798" max="1798" width="5.7109375" style="61" customWidth="1"/>
    <col min="1799" max="1799" width="11.42578125" style="61" customWidth="1"/>
    <col min="1800" max="1800" width="5.7109375" style="61" customWidth="1"/>
    <col min="1801" max="1801" width="14.5703125" style="61" bestFit="1" customWidth="1"/>
    <col min="1802" max="1803" width="9.140625" style="61"/>
    <col min="1804" max="1804" width="14.42578125" style="61" bestFit="1" customWidth="1"/>
    <col min="1805" max="2048" width="9.140625" style="61"/>
    <col min="2049" max="2049" width="17.28515625" style="61" customWidth="1"/>
    <col min="2050" max="2050" width="5.7109375" style="61" customWidth="1"/>
    <col min="2051" max="2051" width="20" style="61" customWidth="1"/>
    <col min="2052" max="2052" width="5.7109375" style="61" customWidth="1"/>
    <col min="2053" max="2053" width="14.42578125" style="61" customWidth="1"/>
    <col min="2054" max="2054" width="5.7109375" style="61" customWidth="1"/>
    <col min="2055" max="2055" width="11.42578125" style="61" customWidth="1"/>
    <col min="2056" max="2056" width="5.7109375" style="61" customWidth="1"/>
    <col min="2057" max="2057" width="14.5703125" style="61" bestFit="1" customWidth="1"/>
    <col min="2058" max="2059" width="9.140625" style="61"/>
    <col min="2060" max="2060" width="14.42578125" style="61" bestFit="1" customWidth="1"/>
    <col min="2061" max="2304" width="9.140625" style="61"/>
    <col min="2305" max="2305" width="17.28515625" style="61" customWidth="1"/>
    <col min="2306" max="2306" width="5.7109375" style="61" customWidth="1"/>
    <col min="2307" max="2307" width="20" style="61" customWidth="1"/>
    <col min="2308" max="2308" width="5.7109375" style="61" customWidth="1"/>
    <col min="2309" max="2309" width="14.42578125" style="61" customWidth="1"/>
    <col min="2310" max="2310" width="5.7109375" style="61" customWidth="1"/>
    <col min="2311" max="2311" width="11.42578125" style="61" customWidth="1"/>
    <col min="2312" max="2312" width="5.7109375" style="61" customWidth="1"/>
    <col min="2313" max="2313" width="14.5703125" style="61" bestFit="1" customWidth="1"/>
    <col min="2314" max="2315" width="9.140625" style="61"/>
    <col min="2316" max="2316" width="14.42578125" style="61" bestFit="1" customWidth="1"/>
    <col min="2317" max="2560" width="9.140625" style="61"/>
    <col min="2561" max="2561" width="17.28515625" style="61" customWidth="1"/>
    <col min="2562" max="2562" width="5.7109375" style="61" customWidth="1"/>
    <col min="2563" max="2563" width="20" style="61" customWidth="1"/>
    <col min="2564" max="2564" width="5.7109375" style="61" customWidth="1"/>
    <col min="2565" max="2565" width="14.42578125" style="61" customWidth="1"/>
    <col min="2566" max="2566" width="5.7109375" style="61" customWidth="1"/>
    <col min="2567" max="2567" width="11.42578125" style="61" customWidth="1"/>
    <col min="2568" max="2568" width="5.7109375" style="61" customWidth="1"/>
    <col min="2569" max="2569" width="14.5703125" style="61" bestFit="1" customWidth="1"/>
    <col min="2570" max="2571" width="9.140625" style="61"/>
    <col min="2572" max="2572" width="14.42578125" style="61" bestFit="1" customWidth="1"/>
    <col min="2573" max="2816" width="9.140625" style="61"/>
    <col min="2817" max="2817" width="17.28515625" style="61" customWidth="1"/>
    <col min="2818" max="2818" width="5.7109375" style="61" customWidth="1"/>
    <col min="2819" max="2819" width="20" style="61" customWidth="1"/>
    <col min="2820" max="2820" width="5.7109375" style="61" customWidth="1"/>
    <col min="2821" max="2821" width="14.42578125" style="61" customWidth="1"/>
    <col min="2822" max="2822" width="5.7109375" style="61" customWidth="1"/>
    <col min="2823" max="2823" width="11.42578125" style="61" customWidth="1"/>
    <col min="2824" max="2824" width="5.7109375" style="61" customWidth="1"/>
    <col min="2825" max="2825" width="14.5703125" style="61" bestFit="1" customWidth="1"/>
    <col min="2826" max="2827" width="9.140625" style="61"/>
    <col min="2828" max="2828" width="14.42578125" style="61" bestFit="1" customWidth="1"/>
    <col min="2829" max="3072" width="9.140625" style="61"/>
    <col min="3073" max="3073" width="17.28515625" style="61" customWidth="1"/>
    <col min="3074" max="3074" width="5.7109375" style="61" customWidth="1"/>
    <col min="3075" max="3075" width="20" style="61" customWidth="1"/>
    <col min="3076" max="3076" width="5.7109375" style="61" customWidth="1"/>
    <col min="3077" max="3077" width="14.42578125" style="61" customWidth="1"/>
    <col min="3078" max="3078" width="5.7109375" style="61" customWidth="1"/>
    <col min="3079" max="3079" width="11.42578125" style="61" customWidth="1"/>
    <col min="3080" max="3080" width="5.7109375" style="61" customWidth="1"/>
    <col min="3081" max="3081" width="14.5703125" style="61" bestFit="1" customWidth="1"/>
    <col min="3082" max="3083" width="9.140625" style="61"/>
    <col min="3084" max="3084" width="14.42578125" style="61" bestFit="1" customWidth="1"/>
    <col min="3085" max="3328" width="9.140625" style="61"/>
    <col min="3329" max="3329" width="17.28515625" style="61" customWidth="1"/>
    <col min="3330" max="3330" width="5.7109375" style="61" customWidth="1"/>
    <col min="3331" max="3331" width="20" style="61" customWidth="1"/>
    <col min="3332" max="3332" width="5.7109375" style="61" customWidth="1"/>
    <col min="3333" max="3333" width="14.42578125" style="61" customWidth="1"/>
    <col min="3334" max="3334" width="5.7109375" style="61" customWidth="1"/>
    <col min="3335" max="3335" width="11.42578125" style="61" customWidth="1"/>
    <col min="3336" max="3336" width="5.7109375" style="61" customWidth="1"/>
    <col min="3337" max="3337" width="14.5703125" style="61" bestFit="1" customWidth="1"/>
    <col min="3338" max="3339" width="9.140625" style="61"/>
    <col min="3340" max="3340" width="14.42578125" style="61" bestFit="1" customWidth="1"/>
    <col min="3341" max="3584" width="9.140625" style="61"/>
    <col min="3585" max="3585" width="17.28515625" style="61" customWidth="1"/>
    <col min="3586" max="3586" width="5.7109375" style="61" customWidth="1"/>
    <col min="3587" max="3587" width="20" style="61" customWidth="1"/>
    <col min="3588" max="3588" width="5.7109375" style="61" customWidth="1"/>
    <col min="3589" max="3589" width="14.42578125" style="61" customWidth="1"/>
    <col min="3590" max="3590" width="5.7109375" style="61" customWidth="1"/>
    <col min="3591" max="3591" width="11.42578125" style="61" customWidth="1"/>
    <col min="3592" max="3592" width="5.7109375" style="61" customWidth="1"/>
    <col min="3593" max="3593" width="14.5703125" style="61" bestFit="1" customWidth="1"/>
    <col min="3594" max="3595" width="9.140625" style="61"/>
    <col min="3596" max="3596" width="14.42578125" style="61" bestFit="1" customWidth="1"/>
    <col min="3597" max="3840" width="9.140625" style="61"/>
    <col min="3841" max="3841" width="17.28515625" style="61" customWidth="1"/>
    <col min="3842" max="3842" width="5.7109375" style="61" customWidth="1"/>
    <col min="3843" max="3843" width="20" style="61" customWidth="1"/>
    <col min="3844" max="3844" width="5.7109375" style="61" customWidth="1"/>
    <col min="3845" max="3845" width="14.42578125" style="61" customWidth="1"/>
    <col min="3846" max="3846" width="5.7109375" style="61" customWidth="1"/>
    <col min="3847" max="3847" width="11.42578125" style="61" customWidth="1"/>
    <col min="3848" max="3848" width="5.7109375" style="61" customWidth="1"/>
    <col min="3849" max="3849" width="14.5703125" style="61" bestFit="1" customWidth="1"/>
    <col min="3850" max="3851" width="9.140625" style="61"/>
    <col min="3852" max="3852" width="14.42578125" style="61" bestFit="1" customWidth="1"/>
    <col min="3853" max="4096" width="9.140625" style="61"/>
    <col min="4097" max="4097" width="17.28515625" style="61" customWidth="1"/>
    <col min="4098" max="4098" width="5.7109375" style="61" customWidth="1"/>
    <col min="4099" max="4099" width="20" style="61" customWidth="1"/>
    <col min="4100" max="4100" width="5.7109375" style="61" customWidth="1"/>
    <col min="4101" max="4101" width="14.42578125" style="61" customWidth="1"/>
    <col min="4102" max="4102" width="5.7109375" style="61" customWidth="1"/>
    <col min="4103" max="4103" width="11.42578125" style="61" customWidth="1"/>
    <col min="4104" max="4104" width="5.7109375" style="61" customWidth="1"/>
    <col min="4105" max="4105" width="14.5703125" style="61" bestFit="1" customWidth="1"/>
    <col min="4106" max="4107" width="9.140625" style="61"/>
    <col min="4108" max="4108" width="14.42578125" style="61" bestFit="1" customWidth="1"/>
    <col min="4109" max="4352" width="9.140625" style="61"/>
    <col min="4353" max="4353" width="17.28515625" style="61" customWidth="1"/>
    <col min="4354" max="4354" width="5.7109375" style="61" customWidth="1"/>
    <col min="4355" max="4355" width="20" style="61" customWidth="1"/>
    <col min="4356" max="4356" width="5.7109375" style="61" customWidth="1"/>
    <col min="4357" max="4357" width="14.42578125" style="61" customWidth="1"/>
    <col min="4358" max="4358" width="5.7109375" style="61" customWidth="1"/>
    <col min="4359" max="4359" width="11.42578125" style="61" customWidth="1"/>
    <col min="4360" max="4360" width="5.7109375" style="61" customWidth="1"/>
    <col min="4361" max="4361" width="14.5703125" style="61" bestFit="1" customWidth="1"/>
    <col min="4362" max="4363" width="9.140625" style="61"/>
    <col min="4364" max="4364" width="14.42578125" style="61" bestFit="1" customWidth="1"/>
    <col min="4365" max="4608" width="9.140625" style="61"/>
    <col min="4609" max="4609" width="17.28515625" style="61" customWidth="1"/>
    <col min="4610" max="4610" width="5.7109375" style="61" customWidth="1"/>
    <col min="4611" max="4611" width="20" style="61" customWidth="1"/>
    <col min="4612" max="4612" width="5.7109375" style="61" customWidth="1"/>
    <col min="4613" max="4613" width="14.42578125" style="61" customWidth="1"/>
    <col min="4614" max="4614" width="5.7109375" style="61" customWidth="1"/>
    <col min="4615" max="4615" width="11.42578125" style="61" customWidth="1"/>
    <col min="4616" max="4616" width="5.7109375" style="61" customWidth="1"/>
    <col min="4617" max="4617" width="14.5703125" style="61" bestFit="1" customWidth="1"/>
    <col min="4618" max="4619" width="9.140625" style="61"/>
    <col min="4620" max="4620" width="14.42578125" style="61" bestFit="1" customWidth="1"/>
    <col min="4621" max="4864" width="9.140625" style="61"/>
    <col min="4865" max="4865" width="17.28515625" style="61" customWidth="1"/>
    <col min="4866" max="4866" width="5.7109375" style="61" customWidth="1"/>
    <col min="4867" max="4867" width="20" style="61" customWidth="1"/>
    <col min="4868" max="4868" width="5.7109375" style="61" customWidth="1"/>
    <col min="4869" max="4869" width="14.42578125" style="61" customWidth="1"/>
    <col min="4870" max="4870" width="5.7109375" style="61" customWidth="1"/>
    <col min="4871" max="4871" width="11.42578125" style="61" customWidth="1"/>
    <col min="4872" max="4872" width="5.7109375" style="61" customWidth="1"/>
    <col min="4873" max="4873" width="14.5703125" style="61" bestFit="1" customWidth="1"/>
    <col min="4874" max="4875" width="9.140625" style="61"/>
    <col min="4876" max="4876" width="14.42578125" style="61" bestFit="1" customWidth="1"/>
    <col min="4877" max="5120" width="9.140625" style="61"/>
    <col min="5121" max="5121" width="17.28515625" style="61" customWidth="1"/>
    <col min="5122" max="5122" width="5.7109375" style="61" customWidth="1"/>
    <col min="5123" max="5123" width="20" style="61" customWidth="1"/>
    <col min="5124" max="5124" width="5.7109375" style="61" customWidth="1"/>
    <col min="5125" max="5125" width="14.42578125" style="61" customWidth="1"/>
    <col min="5126" max="5126" width="5.7109375" style="61" customWidth="1"/>
    <col min="5127" max="5127" width="11.42578125" style="61" customWidth="1"/>
    <col min="5128" max="5128" width="5.7109375" style="61" customWidth="1"/>
    <col min="5129" max="5129" width="14.5703125" style="61" bestFit="1" customWidth="1"/>
    <col min="5130" max="5131" width="9.140625" style="61"/>
    <col min="5132" max="5132" width="14.42578125" style="61" bestFit="1" customWidth="1"/>
    <col min="5133" max="5376" width="9.140625" style="61"/>
    <col min="5377" max="5377" width="17.28515625" style="61" customWidth="1"/>
    <col min="5378" max="5378" width="5.7109375" style="61" customWidth="1"/>
    <col min="5379" max="5379" width="20" style="61" customWidth="1"/>
    <col min="5380" max="5380" width="5.7109375" style="61" customWidth="1"/>
    <col min="5381" max="5381" width="14.42578125" style="61" customWidth="1"/>
    <col min="5382" max="5382" width="5.7109375" style="61" customWidth="1"/>
    <col min="5383" max="5383" width="11.42578125" style="61" customWidth="1"/>
    <col min="5384" max="5384" width="5.7109375" style="61" customWidth="1"/>
    <col min="5385" max="5385" width="14.5703125" style="61" bestFit="1" customWidth="1"/>
    <col min="5386" max="5387" width="9.140625" style="61"/>
    <col min="5388" max="5388" width="14.42578125" style="61" bestFit="1" customWidth="1"/>
    <col min="5389" max="5632" width="9.140625" style="61"/>
    <col min="5633" max="5633" width="17.28515625" style="61" customWidth="1"/>
    <col min="5634" max="5634" width="5.7109375" style="61" customWidth="1"/>
    <col min="5635" max="5635" width="20" style="61" customWidth="1"/>
    <col min="5636" max="5636" width="5.7109375" style="61" customWidth="1"/>
    <col min="5637" max="5637" width="14.42578125" style="61" customWidth="1"/>
    <col min="5638" max="5638" width="5.7109375" style="61" customWidth="1"/>
    <col min="5639" max="5639" width="11.42578125" style="61" customWidth="1"/>
    <col min="5640" max="5640" width="5.7109375" style="61" customWidth="1"/>
    <col min="5641" max="5641" width="14.5703125" style="61" bestFit="1" customWidth="1"/>
    <col min="5642" max="5643" width="9.140625" style="61"/>
    <col min="5644" max="5644" width="14.42578125" style="61" bestFit="1" customWidth="1"/>
    <col min="5645" max="5888" width="9.140625" style="61"/>
    <col min="5889" max="5889" width="17.28515625" style="61" customWidth="1"/>
    <col min="5890" max="5890" width="5.7109375" style="61" customWidth="1"/>
    <col min="5891" max="5891" width="20" style="61" customWidth="1"/>
    <col min="5892" max="5892" width="5.7109375" style="61" customWidth="1"/>
    <col min="5893" max="5893" width="14.42578125" style="61" customWidth="1"/>
    <col min="5894" max="5894" width="5.7109375" style="61" customWidth="1"/>
    <col min="5895" max="5895" width="11.42578125" style="61" customWidth="1"/>
    <col min="5896" max="5896" width="5.7109375" style="61" customWidth="1"/>
    <col min="5897" max="5897" width="14.5703125" style="61" bestFit="1" customWidth="1"/>
    <col min="5898" max="5899" width="9.140625" style="61"/>
    <col min="5900" max="5900" width="14.42578125" style="61" bestFit="1" customWidth="1"/>
    <col min="5901" max="6144" width="9.140625" style="61"/>
    <col min="6145" max="6145" width="17.28515625" style="61" customWidth="1"/>
    <col min="6146" max="6146" width="5.7109375" style="61" customWidth="1"/>
    <col min="6147" max="6147" width="20" style="61" customWidth="1"/>
    <col min="6148" max="6148" width="5.7109375" style="61" customWidth="1"/>
    <col min="6149" max="6149" width="14.42578125" style="61" customWidth="1"/>
    <col min="6150" max="6150" width="5.7109375" style="61" customWidth="1"/>
    <col min="6151" max="6151" width="11.42578125" style="61" customWidth="1"/>
    <col min="6152" max="6152" width="5.7109375" style="61" customWidth="1"/>
    <col min="6153" max="6153" width="14.5703125" style="61" bestFit="1" customWidth="1"/>
    <col min="6154" max="6155" width="9.140625" style="61"/>
    <col min="6156" max="6156" width="14.42578125" style="61" bestFit="1" customWidth="1"/>
    <col min="6157" max="6400" width="9.140625" style="61"/>
    <col min="6401" max="6401" width="17.28515625" style="61" customWidth="1"/>
    <col min="6402" max="6402" width="5.7109375" style="61" customWidth="1"/>
    <col min="6403" max="6403" width="20" style="61" customWidth="1"/>
    <col min="6404" max="6404" width="5.7109375" style="61" customWidth="1"/>
    <col min="6405" max="6405" width="14.42578125" style="61" customWidth="1"/>
    <col min="6406" max="6406" width="5.7109375" style="61" customWidth="1"/>
    <col min="6407" max="6407" width="11.42578125" style="61" customWidth="1"/>
    <col min="6408" max="6408" width="5.7109375" style="61" customWidth="1"/>
    <col min="6409" max="6409" width="14.5703125" style="61" bestFit="1" customWidth="1"/>
    <col min="6410" max="6411" width="9.140625" style="61"/>
    <col min="6412" max="6412" width="14.42578125" style="61" bestFit="1" customWidth="1"/>
    <col min="6413" max="6656" width="9.140625" style="61"/>
    <col min="6657" max="6657" width="17.28515625" style="61" customWidth="1"/>
    <col min="6658" max="6658" width="5.7109375" style="61" customWidth="1"/>
    <col min="6659" max="6659" width="20" style="61" customWidth="1"/>
    <col min="6660" max="6660" width="5.7109375" style="61" customWidth="1"/>
    <col min="6661" max="6661" width="14.42578125" style="61" customWidth="1"/>
    <col min="6662" max="6662" width="5.7109375" style="61" customWidth="1"/>
    <col min="6663" max="6663" width="11.42578125" style="61" customWidth="1"/>
    <col min="6664" max="6664" width="5.7109375" style="61" customWidth="1"/>
    <col min="6665" max="6665" width="14.5703125" style="61" bestFit="1" customWidth="1"/>
    <col min="6666" max="6667" width="9.140625" style="61"/>
    <col min="6668" max="6668" width="14.42578125" style="61" bestFit="1" customWidth="1"/>
    <col min="6669" max="6912" width="9.140625" style="61"/>
    <col min="6913" max="6913" width="17.28515625" style="61" customWidth="1"/>
    <col min="6914" max="6914" width="5.7109375" style="61" customWidth="1"/>
    <col min="6915" max="6915" width="20" style="61" customWidth="1"/>
    <col min="6916" max="6916" width="5.7109375" style="61" customWidth="1"/>
    <col min="6917" max="6917" width="14.42578125" style="61" customWidth="1"/>
    <col min="6918" max="6918" width="5.7109375" style="61" customWidth="1"/>
    <col min="6919" max="6919" width="11.42578125" style="61" customWidth="1"/>
    <col min="6920" max="6920" width="5.7109375" style="61" customWidth="1"/>
    <col min="6921" max="6921" width="14.5703125" style="61" bestFit="1" customWidth="1"/>
    <col min="6922" max="6923" width="9.140625" style="61"/>
    <col min="6924" max="6924" width="14.42578125" style="61" bestFit="1" customWidth="1"/>
    <col min="6925" max="7168" width="9.140625" style="61"/>
    <col min="7169" max="7169" width="17.28515625" style="61" customWidth="1"/>
    <col min="7170" max="7170" width="5.7109375" style="61" customWidth="1"/>
    <col min="7171" max="7171" width="20" style="61" customWidth="1"/>
    <col min="7172" max="7172" width="5.7109375" style="61" customWidth="1"/>
    <col min="7173" max="7173" width="14.42578125" style="61" customWidth="1"/>
    <col min="7174" max="7174" width="5.7109375" style="61" customWidth="1"/>
    <col min="7175" max="7175" width="11.42578125" style="61" customWidth="1"/>
    <col min="7176" max="7176" width="5.7109375" style="61" customWidth="1"/>
    <col min="7177" max="7177" width="14.5703125" style="61" bestFit="1" customWidth="1"/>
    <col min="7178" max="7179" width="9.140625" style="61"/>
    <col min="7180" max="7180" width="14.42578125" style="61" bestFit="1" customWidth="1"/>
    <col min="7181" max="7424" width="9.140625" style="61"/>
    <col min="7425" max="7425" width="17.28515625" style="61" customWidth="1"/>
    <col min="7426" max="7426" width="5.7109375" style="61" customWidth="1"/>
    <col min="7427" max="7427" width="20" style="61" customWidth="1"/>
    <col min="7428" max="7428" width="5.7109375" style="61" customWidth="1"/>
    <col min="7429" max="7429" width="14.42578125" style="61" customWidth="1"/>
    <col min="7430" max="7430" width="5.7109375" style="61" customWidth="1"/>
    <col min="7431" max="7431" width="11.42578125" style="61" customWidth="1"/>
    <col min="7432" max="7432" width="5.7109375" style="61" customWidth="1"/>
    <col min="7433" max="7433" width="14.5703125" style="61" bestFit="1" customWidth="1"/>
    <col min="7434" max="7435" width="9.140625" style="61"/>
    <col min="7436" max="7436" width="14.42578125" style="61" bestFit="1" customWidth="1"/>
    <col min="7437" max="7680" width="9.140625" style="61"/>
    <col min="7681" max="7681" width="17.28515625" style="61" customWidth="1"/>
    <col min="7682" max="7682" width="5.7109375" style="61" customWidth="1"/>
    <col min="7683" max="7683" width="20" style="61" customWidth="1"/>
    <col min="7684" max="7684" width="5.7109375" style="61" customWidth="1"/>
    <col min="7685" max="7685" width="14.42578125" style="61" customWidth="1"/>
    <col min="7686" max="7686" width="5.7109375" style="61" customWidth="1"/>
    <col min="7687" max="7687" width="11.42578125" style="61" customWidth="1"/>
    <col min="7688" max="7688" width="5.7109375" style="61" customWidth="1"/>
    <col min="7689" max="7689" width="14.5703125" style="61" bestFit="1" customWidth="1"/>
    <col min="7690" max="7691" width="9.140625" style="61"/>
    <col min="7692" max="7692" width="14.42578125" style="61" bestFit="1" customWidth="1"/>
    <col min="7693" max="7936" width="9.140625" style="61"/>
    <col min="7937" max="7937" width="17.28515625" style="61" customWidth="1"/>
    <col min="7938" max="7938" width="5.7109375" style="61" customWidth="1"/>
    <col min="7939" max="7939" width="20" style="61" customWidth="1"/>
    <col min="7940" max="7940" width="5.7109375" style="61" customWidth="1"/>
    <col min="7941" max="7941" width="14.42578125" style="61" customWidth="1"/>
    <col min="7942" max="7942" width="5.7109375" style="61" customWidth="1"/>
    <col min="7943" max="7943" width="11.42578125" style="61" customWidth="1"/>
    <col min="7944" max="7944" width="5.7109375" style="61" customWidth="1"/>
    <col min="7945" max="7945" width="14.5703125" style="61" bestFit="1" customWidth="1"/>
    <col min="7946" max="7947" width="9.140625" style="61"/>
    <col min="7948" max="7948" width="14.42578125" style="61" bestFit="1" customWidth="1"/>
    <col min="7949" max="8192" width="9.140625" style="61"/>
    <col min="8193" max="8193" width="17.28515625" style="61" customWidth="1"/>
    <col min="8194" max="8194" width="5.7109375" style="61" customWidth="1"/>
    <col min="8195" max="8195" width="20" style="61" customWidth="1"/>
    <col min="8196" max="8196" width="5.7109375" style="61" customWidth="1"/>
    <col min="8197" max="8197" width="14.42578125" style="61" customWidth="1"/>
    <col min="8198" max="8198" width="5.7109375" style="61" customWidth="1"/>
    <col min="8199" max="8199" width="11.42578125" style="61" customWidth="1"/>
    <col min="8200" max="8200" width="5.7109375" style="61" customWidth="1"/>
    <col min="8201" max="8201" width="14.5703125" style="61" bestFit="1" customWidth="1"/>
    <col min="8202" max="8203" width="9.140625" style="61"/>
    <col min="8204" max="8204" width="14.42578125" style="61" bestFit="1" customWidth="1"/>
    <col min="8205" max="8448" width="9.140625" style="61"/>
    <col min="8449" max="8449" width="17.28515625" style="61" customWidth="1"/>
    <col min="8450" max="8450" width="5.7109375" style="61" customWidth="1"/>
    <col min="8451" max="8451" width="20" style="61" customWidth="1"/>
    <col min="8452" max="8452" width="5.7109375" style="61" customWidth="1"/>
    <col min="8453" max="8453" width="14.42578125" style="61" customWidth="1"/>
    <col min="8454" max="8454" width="5.7109375" style="61" customWidth="1"/>
    <col min="8455" max="8455" width="11.42578125" style="61" customWidth="1"/>
    <col min="8456" max="8456" width="5.7109375" style="61" customWidth="1"/>
    <col min="8457" max="8457" width="14.5703125" style="61" bestFit="1" customWidth="1"/>
    <col min="8458" max="8459" width="9.140625" style="61"/>
    <col min="8460" max="8460" width="14.42578125" style="61" bestFit="1" customWidth="1"/>
    <col min="8461" max="8704" width="9.140625" style="61"/>
    <col min="8705" max="8705" width="17.28515625" style="61" customWidth="1"/>
    <col min="8706" max="8706" width="5.7109375" style="61" customWidth="1"/>
    <col min="8707" max="8707" width="20" style="61" customWidth="1"/>
    <col min="8708" max="8708" width="5.7109375" style="61" customWidth="1"/>
    <col min="8709" max="8709" width="14.42578125" style="61" customWidth="1"/>
    <col min="8710" max="8710" width="5.7109375" style="61" customWidth="1"/>
    <col min="8711" max="8711" width="11.42578125" style="61" customWidth="1"/>
    <col min="8712" max="8712" width="5.7109375" style="61" customWidth="1"/>
    <col min="8713" max="8713" width="14.5703125" style="61" bestFit="1" customWidth="1"/>
    <col min="8714" max="8715" width="9.140625" style="61"/>
    <col min="8716" max="8716" width="14.42578125" style="61" bestFit="1" customWidth="1"/>
    <col min="8717" max="8960" width="9.140625" style="61"/>
    <col min="8961" max="8961" width="17.28515625" style="61" customWidth="1"/>
    <col min="8962" max="8962" width="5.7109375" style="61" customWidth="1"/>
    <col min="8963" max="8963" width="20" style="61" customWidth="1"/>
    <col min="8964" max="8964" width="5.7109375" style="61" customWidth="1"/>
    <col min="8965" max="8965" width="14.42578125" style="61" customWidth="1"/>
    <col min="8966" max="8966" width="5.7109375" style="61" customWidth="1"/>
    <col min="8967" max="8967" width="11.42578125" style="61" customWidth="1"/>
    <col min="8968" max="8968" width="5.7109375" style="61" customWidth="1"/>
    <col min="8969" max="8969" width="14.5703125" style="61" bestFit="1" customWidth="1"/>
    <col min="8970" max="8971" width="9.140625" style="61"/>
    <col min="8972" max="8972" width="14.42578125" style="61" bestFit="1" customWidth="1"/>
    <col min="8973" max="9216" width="9.140625" style="61"/>
    <col min="9217" max="9217" width="17.28515625" style="61" customWidth="1"/>
    <col min="9218" max="9218" width="5.7109375" style="61" customWidth="1"/>
    <col min="9219" max="9219" width="20" style="61" customWidth="1"/>
    <col min="9220" max="9220" width="5.7109375" style="61" customWidth="1"/>
    <col min="9221" max="9221" width="14.42578125" style="61" customWidth="1"/>
    <col min="9222" max="9222" width="5.7109375" style="61" customWidth="1"/>
    <col min="9223" max="9223" width="11.42578125" style="61" customWidth="1"/>
    <col min="9224" max="9224" width="5.7109375" style="61" customWidth="1"/>
    <col min="9225" max="9225" width="14.5703125" style="61" bestFit="1" customWidth="1"/>
    <col min="9226" max="9227" width="9.140625" style="61"/>
    <col min="9228" max="9228" width="14.42578125" style="61" bestFit="1" customWidth="1"/>
    <col min="9229" max="9472" width="9.140625" style="61"/>
    <col min="9473" max="9473" width="17.28515625" style="61" customWidth="1"/>
    <col min="9474" max="9474" width="5.7109375" style="61" customWidth="1"/>
    <col min="9475" max="9475" width="20" style="61" customWidth="1"/>
    <col min="9476" max="9476" width="5.7109375" style="61" customWidth="1"/>
    <col min="9477" max="9477" width="14.42578125" style="61" customWidth="1"/>
    <col min="9478" max="9478" width="5.7109375" style="61" customWidth="1"/>
    <col min="9479" max="9479" width="11.42578125" style="61" customWidth="1"/>
    <col min="9480" max="9480" width="5.7109375" style="61" customWidth="1"/>
    <col min="9481" max="9481" width="14.5703125" style="61" bestFit="1" customWidth="1"/>
    <col min="9482" max="9483" width="9.140625" style="61"/>
    <col min="9484" max="9484" width="14.42578125" style="61" bestFit="1" customWidth="1"/>
    <col min="9485" max="9728" width="9.140625" style="61"/>
    <col min="9729" max="9729" width="17.28515625" style="61" customWidth="1"/>
    <col min="9730" max="9730" width="5.7109375" style="61" customWidth="1"/>
    <col min="9731" max="9731" width="20" style="61" customWidth="1"/>
    <col min="9732" max="9732" width="5.7109375" style="61" customWidth="1"/>
    <col min="9733" max="9733" width="14.42578125" style="61" customWidth="1"/>
    <col min="9734" max="9734" width="5.7109375" style="61" customWidth="1"/>
    <col min="9735" max="9735" width="11.42578125" style="61" customWidth="1"/>
    <col min="9736" max="9736" width="5.7109375" style="61" customWidth="1"/>
    <col min="9737" max="9737" width="14.5703125" style="61" bestFit="1" customWidth="1"/>
    <col min="9738" max="9739" width="9.140625" style="61"/>
    <col min="9740" max="9740" width="14.42578125" style="61" bestFit="1" customWidth="1"/>
    <col min="9741" max="9984" width="9.140625" style="61"/>
    <col min="9985" max="9985" width="17.28515625" style="61" customWidth="1"/>
    <col min="9986" max="9986" width="5.7109375" style="61" customWidth="1"/>
    <col min="9987" max="9987" width="20" style="61" customWidth="1"/>
    <col min="9988" max="9988" width="5.7109375" style="61" customWidth="1"/>
    <col min="9989" max="9989" width="14.42578125" style="61" customWidth="1"/>
    <col min="9990" max="9990" width="5.7109375" style="61" customWidth="1"/>
    <col min="9991" max="9991" width="11.42578125" style="61" customWidth="1"/>
    <col min="9992" max="9992" width="5.7109375" style="61" customWidth="1"/>
    <col min="9993" max="9993" width="14.5703125" style="61" bestFit="1" customWidth="1"/>
    <col min="9994" max="9995" width="9.140625" style="61"/>
    <col min="9996" max="9996" width="14.42578125" style="61" bestFit="1" customWidth="1"/>
    <col min="9997" max="10240" width="9.140625" style="61"/>
    <col min="10241" max="10241" width="17.28515625" style="61" customWidth="1"/>
    <col min="10242" max="10242" width="5.7109375" style="61" customWidth="1"/>
    <col min="10243" max="10243" width="20" style="61" customWidth="1"/>
    <col min="10244" max="10244" width="5.7109375" style="61" customWidth="1"/>
    <col min="10245" max="10245" width="14.42578125" style="61" customWidth="1"/>
    <col min="10246" max="10246" width="5.7109375" style="61" customWidth="1"/>
    <col min="10247" max="10247" width="11.42578125" style="61" customWidth="1"/>
    <col min="10248" max="10248" width="5.7109375" style="61" customWidth="1"/>
    <col min="10249" max="10249" width="14.5703125" style="61" bestFit="1" customWidth="1"/>
    <col min="10250" max="10251" width="9.140625" style="61"/>
    <col min="10252" max="10252" width="14.42578125" style="61" bestFit="1" customWidth="1"/>
    <col min="10253" max="10496" width="9.140625" style="61"/>
    <col min="10497" max="10497" width="17.28515625" style="61" customWidth="1"/>
    <col min="10498" max="10498" width="5.7109375" style="61" customWidth="1"/>
    <col min="10499" max="10499" width="20" style="61" customWidth="1"/>
    <col min="10500" max="10500" width="5.7109375" style="61" customWidth="1"/>
    <col min="10501" max="10501" width="14.42578125" style="61" customWidth="1"/>
    <col min="10502" max="10502" width="5.7109375" style="61" customWidth="1"/>
    <col min="10503" max="10503" width="11.42578125" style="61" customWidth="1"/>
    <col min="10504" max="10504" width="5.7109375" style="61" customWidth="1"/>
    <col min="10505" max="10505" width="14.5703125" style="61" bestFit="1" customWidth="1"/>
    <col min="10506" max="10507" width="9.140625" style="61"/>
    <col min="10508" max="10508" width="14.42578125" style="61" bestFit="1" customWidth="1"/>
    <col min="10509" max="10752" width="9.140625" style="61"/>
    <col min="10753" max="10753" width="17.28515625" style="61" customWidth="1"/>
    <col min="10754" max="10754" width="5.7109375" style="61" customWidth="1"/>
    <col min="10755" max="10755" width="20" style="61" customWidth="1"/>
    <col min="10756" max="10756" width="5.7109375" style="61" customWidth="1"/>
    <col min="10757" max="10757" width="14.42578125" style="61" customWidth="1"/>
    <col min="10758" max="10758" width="5.7109375" style="61" customWidth="1"/>
    <col min="10759" max="10759" width="11.42578125" style="61" customWidth="1"/>
    <col min="10760" max="10760" width="5.7109375" style="61" customWidth="1"/>
    <col min="10761" max="10761" width="14.5703125" style="61" bestFit="1" customWidth="1"/>
    <col min="10762" max="10763" width="9.140625" style="61"/>
    <col min="10764" max="10764" width="14.42578125" style="61" bestFit="1" customWidth="1"/>
    <col min="10765" max="11008" width="9.140625" style="61"/>
    <col min="11009" max="11009" width="17.28515625" style="61" customWidth="1"/>
    <col min="11010" max="11010" width="5.7109375" style="61" customWidth="1"/>
    <col min="11011" max="11011" width="20" style="61" customWidth="1"/>
    <col min="11012" max="11012" width="5.7109375" style="61" customWidth="1"/>
    <col min="11013" max="11013" width="14.42578125" style="61" customWidth="1"/>
    <col min="11014" max="11014" width="5.7109375" style="61" customWidth="1"/>
    <col min="11015" max="11015" width="11.42578125" style="61" customWidth="1"/>
    <col min="11016" max="11016" width="5.7109375" style="61" customWidth="1"/>
    <col min="11017" max="11017" width="14.5703125" style="61" bestFit="1" customWidth="1"/>
    <col min="11018" max="11019" width="9.140625" style="61"/>
    <col min="11020" max="11020" width="14.42578125" style="61" bestFit="1" customWidth="1"/>
    <col min="11021" max="11264" width="9.140625" style="61"/>
    <col min="11265" max="11265" width="17.28515625" style="61" customWidth="1"/>
    <col min="11266" max="11266" width="5.7109375" style="61" customWidth="1"/>
    <col min="11267" max="11267" width="20" style="61" customWidth="1"/>
    <col min="11268" max="11268" width="5.7109375" style="61" customWidth="1"/>
    <col min="11269" max="11269" width="14.42578125" style="61" customWidth="1"/>
    <col min="11270" max="11270" width="5.7109375" style="61" customWidth="1"/>
    <col min="11271" max="11271" width="11.42578125" style="61" customWidth="1"/>
    <col min="11272" max="11272" width="5.7109375" style="61" customWidth="1"/>
    <col min="11273" max="11273" width="14.5703125" style="61" bestFit="1" customWidth="1"/>
    <col min="11274" max="11275" width="9.140625" style="61"/>
    <col min="11276" max="11276" width="14.42578125" style="61" bestFit="1" customWidth="1"/>
    <col min="11277" max="11520" width="9.140625" style="61"/>
    <col min="11521" max="11521" width="17.28515625" style="61" customWidth="1"/>
    <col min="11522" max="11522" width="5.7109375" style="61" customWidth="1"/>
    <col min="11523" max="11523" width="20" style="61" customWidth="1"/>
    <col min="11524" max="11524" width="5.7109375" style="61" customWidth="1"/>
    <col min="11525" max="11525" width="14.42578125" style="61" customWidth="1"/>
    <col min="11526" max="11526" width="5.7109375" style="61" customWidth="1"/>
    <col min="11527" max="11527" width="11.42578125" style="61" customWidth="1"/>
    <col min="11528" max="11528" width="5.7109375" style="61" customWidth="1"/>
    <col min="11529" max="11529" width="14.5703125" style="61" bestFit="1" customWidth="1"/>
    <col min="11530" max="11531" width="9.140625" style="61"/>
    <col min="11532" max="11532" width="14.42578125" style="61" bestFit="1" customWidth="1"/>
    <col min="11533" max="11776" width="9.140625" style="61"/>
    <col min="11777" max="11777" width="17.28515625" style="61" customWidth="1"/>
    <col min="11778" max="11778" width="5.7109375" style="61" customWidth="1"/>
    <col min="11779" max="11779" width="20" style="61" customWidth="1"/>
    <col min="11780" max="11780" width="5.7109375" style="61" customWidth="1"/>
    <col min="11781" max="11781" width="14.42578125" style="61" customWidth="1"/>
    <col min="11782" max="11782" width="5.7109375" style="61" customWidth="1"/>
    <col min="11783" max="11783" width="11.42578125" style="61" customWidth="1"/>
    <col min="11784" max="11784" width="5.7109375" style="61" customWidth="1"/>
    <col min="11785" max="11785" width="14.5703125" style="61" bestFit="1" customWidth="1"/>
    <col min="11786" max="11787" width="9.140625" style="61"/>
    <col min="11788" max="11788" width="14.42578125" style="61" bestFit="1" customWidth="1"/>
    <col min="11789" max="12032" width="9.140625" style="61"/>
    <col min="12033" max="12033" width="17.28515625" style="61" customWidth="1"/>
    <col min="12034" max="12034" width="5.7109375" style="61" customWidth="1"/>
    <col min="12035" max="12035" width="20" style="61" customWidth="1"/>
    <col min="12036" max="12036" width="5.7109375" style="61" customWidth="1"/>
    <col min="12037" max="12037" width="14.42578125" style="61" customWidth="1"/>
    <col min="12038" max="12038" width="5.7109375" style="61" customWidth="1"/>
    <col min="12039" max="12039" width="11.42578125" style="61" customWidth="1"/>
    <col min="12040" max="12040" width="5.7109375" style="61" customWidth="1"/>
    <col min="12041" max="12041" width="14.5703125" style="61" bestFit="1" customWidth="1"/>
    <col min="12042" max="12043" width="9.140625" style="61"/>
    <col min="12044" max="12044" width="14.42578125" style="61" bestFit="1" customWidth="1"/>
    <col min="12045" max="12288" width="9.140625" style="61"/>
    <col min="12289" max="12289" width="17.28515625" style="61" customWidth="1"/>
    <col min="12290" max="12290" width="5.7109375" style="61" customWidth="1"/>
    <col min="12291" max="12291" width="20" style="61" customWidth="1"/>
    <col min="12292" max="12292" width="5.7109375" style="61" customWidth="1"/>
    <col min="12293" max="12293" width="14.42578125" style="61" customWidth="1"/>
    <col min="12294" max="12294" width="5.7109375" style="61" customWidth="1"/>
    <col min="12295" max="12295" width="11.42578125" style="61" customWidth="1"/>
    <col min="12296" max="12296" width="5.7109375" style="61" customWidth="1"/>
    <col min="12297" max="12297" width="14.5703125" style="61" bestFit="1" customWidth="1"/>
    <col min="12298" max="12299" width="9.140625" style="61"/>
    <col min="12300" max="12300" width="14.42578125" style="61" bestFit="1" customWidth="1"/>
    <col min="12301" max="12544" width="9.140625" style="61"/>
    <col min="12545" max="12545" width="17.28515625" style="61" customWidth="1"/>
    <col min="12546" max="12546" width="5.7109375" style="61" customWidth="1"/>
    <col min="12547" max="12547" width="20" style="61" customWidth="1"/>
    <col min="12548" max="12548" width="5.7109375" style="61" customWidth="1"/>
    <col min="12549" max="12549" width="14.42578125" style="61" customWidth="1"/>
    <col min="12550" max="12550" width="5.7109375" style="61" customWidth="1"/>
    <col min="12551" max="12551" width="11.42578125" style="61" customWidth="1"/>
    <col min="12552" max="12552" width="5.7109375" style="61" customWidth="1"/>
    <col min="12553" max="12553" width="14.5703125" style="61" bestFit="1" customWidth="1"/>
    <col min="12554" max="12555" width="9.140625" style="61"/>
    <col min="12556" max="12556" width="14.42578125" style="61" bestFit="1" customWidth="1"/>
    <col min="12557" max="12800" width="9.140625" style="61"/>
    <col min="12801" max="12801" width="17.28515625" style="61" customWidth="1"/>
    <col min="12802" max="12802" width="5.7109375" style="61" customWidth="1"/>
    <col min="12803" max="12803" width="20" style="61" customWidth="1"/>
    <col min="12804" max="12804" width="5.7109375" style="61" customWidth="1"/>
    <col min="12805" max="12805" width="14.42578125" style="61" customWidth="1"/>
    <col min="12806" max="12806" width="5.7109375" style="61" customWidth="1"/>
    <col min="12807" max="12807" width="11.42578125" style="61" customWidth="1"/>
    <col min="12808" max="12808" width="5.7109375" style="61" customWidth="1"/>
    <col min="12809" max="12809" width="14.5703125" style="61" bestFit="1" customWidth="1"/>
    <col min="12810" max="12811" width="9.140625" style="61"/>
    <col min="12812" max="12812" width="14.42578125" style="61" bestFit="1" customWidth="1"/>
    <col min="12813" max="13056" width="9.140625" style="61"/>
    <col min="13057" max="13057" width="17.28515625" style="61" customWidth="1"/>
    <col min="13058" max="13058" width="5.7109375" style="61" customWidth="1"/>
    <col min="13059" max="13059" width="20" style="61" customWidth="1"/>
    <col min="13060" max="13060" width="5.7109375" style="61" customWidth="1"/>
    <col min="13061" max="13061" width="14.42578125" style="61" customWidth="1"/>
    <col min="13062" max="13062" width="5.7109375" style="61" customWidth="1"/>
    <col min="13063" max="13063" width="11.42578125" style="61" customWidth="1"/>
    <col min="13064" max="13064" width="5.7109375" style="61" customWidth="1"/>
    <col min="13065" max="13065" width="14.5703125" style="61" bestFit="1" customWidth="1"/>
    <col min="13066" max="13067" width="9.140625" style="61"/>
    <col min="13068" max="13068" width="14.42578125" style="61" bestFit="1" customWidth="1"/>
    <col min="13069" max="13312" width="9.140625" style="61"/>
    <col min="13313" max="13313" width="17.28515625" style="61" customWidth="1"/>
    <col min="13314" max="13314" width="5.7109375" style="61" customWidth="1"/>
    <col min="13315" max="13315" width="20" style="61" customWidth="1"/>
    <col min="13316" max="13316" width="5.7109375" style="61" customWidth="1"/>
    <col min="13317" max="13317" width="14.42578125" style="61" customWidth="1"/>
    <col min="13318" max="13318" width="5.7109375" style="61" customWidth="1"/>
    <col min="13319" max="13319" width="11.42578125" style="61" customWidth="1"/>
    <col min="13320" max="13320" width="5.7109375" style="61" customWidth="1"/>
    <col min="13321" max="13321" width="14.5703125" style="61" bestFit="1" customWidth="1"/>
    <col min="13322" max="13323" width="9.140625" style="61"/>
    <col min="13324" max="13324" width="14.42578125" style="61" bestFit="1" customWidth="1"/>
    <col min="13325" max="13568" width="9.140625" style="61"/>
    <col min="13569" max="13569" width="17.28515625" style="61" customWidth="1"/>
    <col min="13570" max="13570" width="5.7109375" style="61" customWidth="1"/>
    <col min="13571" max="13571" width="20" style="61" customWidth="1"/>
    <col min="13572" max="13572" width="5.7109375" style="61" customWidth="1"/>
    <col min="13573" max="13573" width="14.42578125" style="61" customWidth="1"/>
    <col min="13574" max="13574" width="5.7109375" style="61" customWidth="1"/>
    <col min="13575" max="13575" width="11.42578125" style="61" customWidth="1"/>
    <col min="13576" max="13576" width="5.7109375" style="61" customWidth="1"/>
    <col min="13577" max="13577" width="14.5703125" style="61" bestFit="1" customWidth="1"/>
    <col min="13578" max="13579" width="9.140625" style="61"/>
    <col min="13580" max="13580" width="14.42578125" style="61" bestFit="1" customWidth="1"/>
    <col min="13581" max="13824" width="9.140625" style="61"/>
    <col min="13825" max="13825" width="17.28515625" style="61" customWidth="1"/>
    <col min="13826" max="13826" width="5.7109375" style="61" customWidth="1"/>
    <col min="13827" max="13827" width="20" style="61" customWidth="1"/>
    <col min="13828" max="13828" width="5.7109375" style="61" customWidth="1"/>
    <col min="13829" max="13829" width="14.42578125" style="61" customWidth="1"/>
    <col min="13830" max="13830" width="5.7109375" style="61" customWidth="1"/>
    <col min="13831" max="13831" width="11.42578125" style="61" customWidth="1"/>
    <col min="13832" max="13832" width="5.7109375" style="61" customWidth="1"/>
    <col min="13833" max="13833" width="14.5703125" style="61" bestFit="1" customWidth="1"/>
    <col min="13834" max="13835" width="9.140625" style="61"/>
    <col min="13836" max="13836" width="14.42578125" style="61" bestFit="1" customWidth="1"/>
    <col min="13837" max="14080" width="9.140625" style="61"/>
    <col min="14081" max="14081" width="17.28515625" style="61" customWidth="1"/>
    <col min="14082" max="14082" width="5.7109375" style="61" customWidth="1"/>
    <col min="14083" max="14083" width="20" style="61" customWidth="1"/>
    <col min="14084" max="14084" width="5.7109375" style="61" customWidth="1"/>
    <col min="14085" max="14085" width="14.42578125" style="61" customWidth="1"/>
    <col min="14086" max="14086" width="5.7109375" style="61" customWidth="1"/>
    <col min="14087" max="14087" width="11.42578125" style="61" customWidth="1"/>
    <col min="14088" max="14088" width="5.7109375" style="61" customWidth="1"/>
    <col min="14089" max="14089" width="14.5703125" style="61" bestFit="1" customWidth="1"/>
    <col min="14090" max="14091" width="9.140625" style="61"/>
    <col min="14092" max="14092" width="14.42578125" style="61" bestFit="1" customWidth="1"/>
    <col min="14093" max="14336" width="9.140625" style="61"/>
    <col min="14337" max="14337" width="17.28515625" style="61" customWidth="1"/>
    <col min="14338" max="14338" width="5.7109375" style="61" customWidth="1"/>
    <col min="14339" max="14339" width="20" style="61" customWidth="1"/>
    <col min="14340" max="14340" width="5.7109375" style="61" customWidth="1"/>
    <col min="14341" max="14341" width="14.42578125" style="61" customWidth="1"/>
    <col min="14342" max="14342" width="5.7109375" style="61" customWidth="1"/>
    <col min="14343" max="14343" width="11.42578125" style="61" customWidth="1"/>
    <col min="14344" max="14344" width="5.7109375" style="61" customWidth="1"/>
    <col min="14345" max="14345" width="14.5703125" style="61" bestFit="1" customWidth="1"/>
    <col min="14346" max="14347" width="9.140625" style="61"/>
    <col min="14348" max="14348" width="14.42578125" style="61" bestFit="1" customWidth="1"/>
    <col min="14349" max="14592" width="9.140625" style="61"/>
    <col min="14593" max="14593" width="17.28515625" style="61" customWidth="1"/>
    <col min="14594" max="14594" width="5.7109375" style="61" customWidth="1"/>
    <col min="14595" max="14595" width="20" style="61" customWidth="1"/>
    <col min="14596" max="14596" width="5.7109375" style="61" customWidth="1"/>
    <col min="14597" max="14597" width="14.42578125" style="61" customWidth="1"/>
    <col min="14598" max="14598" width="5.7109375" style="61" customWidth="1"/>
    <col min="14599" max="14599" width="11.42578125" style="61" customWidth="1"/>
    <col min="14600" max="14600" width="5.7109375" style="61" customWidth="1"/>
    <col min="14601" max="14601" width="14.5703125" style="61" bestFit="1" customWidth="1"/>
    <col min="14602" max="14603" width="9.140625" style="61"/>
    <col min="14604" max="14604" width="14.42578125" style="61" bestFit="1" customWidth="1"/>
    <col min="14605" max="14848" width="9.140625" style="61"/>
    <col min="14849" max="14849" width="17.28515625" style="61" customWidth="1"/>
    <col min="14850" max="14850" width="5.7109375" style="61" customWidth="1"/>
    <col min="14851" max="14851" width="20" style="61" customWidth="1"/>
    <col min="14852" max="14852" width="5.7109375" style="61" customWidth="1"/>
    <col min="14853" max="14853" width="14.42578125" style="61" customWidth="1"/>
    <col min="14854" max="14854" width="5.7109375" style="61" customWidth="1"/>
    <col min="14855" max="14855" width="11.42578125" style="61" customWidth="1"/>
    <col min="14856" max="14856" width="5.7109375" style="61" customWidth="1"/>
    <col min="14857" max="14857" width="14.5703125" style="61" bestFit="1" customWidth="1"/>
    <col min="14858" max="14859" width="9.140625" style="61"/>
    <col min="14860" max="14860" width="14.42578125" style="61" bestFit="1" customWidth="1"/>
    <col min="14861" max="15104" width="9.140625" style="61"/>
    <col min="15105" max="15105" width="17.28515625" style="61" customWidth="1"/>
    <col min="15106" max="15106" width="5.7109375" style="61" customWidth="1"/>
    <col min="15107" max="15107" width="20" style="61" customWidth="1"/>
    <col min="15108" max="15108" width="5.7109375" style="61" customWidth="1"/>
    <col min="15109" max="15109" width="14.42578125" style="61" customWidth="1"/>
    <col min="15110" max="15110" width="5.7109375" style="61" customWidth="1"/>
    <col min="15111" max="15111" width="11.42578125" style="61" customWidth="1"/>
    <col min="15112" max="15112" width="5.7109375" style="61" customWidth="1"/>
    <col min="15113" max="15113" width="14.5703125" style="61" bestFit="1" customWidth="1"/>
    <col min="15114" max="15115" width="9.140625" style="61"/>
    <col min="15116" max="15116" width="14.42578125" style="61" bestFit="1" customWidth="1"/>
    <col min="15117" max="15360" width="9.140625" style="61"/>
    <col min="15361" max="15361" width="17.28515625" style="61" customWidth="1"/>
    <col min="15362" max="15362" width="5.7109375" style="61" customWidth="1"/>
    <col min="15363" max="15363" width="20" style="61" customWidth="1"/>
    <col min="15364" max="15364" width="5.7109375" style="61" customWidth="1"/>
    <col min="15365" max="15365" width="14.42578125" style="61" customWidth="1"/>
    <col min="15366" max="15366" width="5.7109375" style="61" customWidth="1"/>
    <col min="15367" max="15367" width="11.42578125" style="61" customWidth="1"/>
    <col min="15368" max="15368" width="5.7109375" style="61" customWidth="1"/>
    <col min="15369" max="15369" width="14.5703125" style="61" bestFit="1" customWidth="1"/>
    <col min="15370" max="15371" width="9.140625" style="61"/>
    <col min="15372" max="15372" width="14.42578125" style="61" bestFit="1" customWidth="1"/>
    <col min="15373" max="15616" width="9.140625" style="61"/>
    <col min="15617" max="15617" width="17.28515625" style="61" customWidth="1"/>
    <col min="15618" max="15618" width="5.7109375" style="61" customWidth="1"/>
    <col min="15619" max="15619" width="20" style="61" customWidth="1"/>
    <col min="15620" max="15620" width="5.7109375" style="61" customWidth="1"/>
    <col min="15621" max="15621" width="14.42578125" style="61" customWidth="1"/>
    <col min="15622" max="15622" width="5.7109375" style="61" customWidth="1"/>
    <col min="15623" max="15623" width="11.42578125" style="61" customWidth="1"/>
    <col min="15624" max="15624" width="5.7109375" style="61" customWidth="1"/>
    <col min="15625" max="15625" width="14.5703125" style="61" bestFit="1" customWidth="1"/>
    <col min="15626" max="15627" width="9.140625" style="61"/>
    <col min="15628" max="15628" width="14.42578125" style="61" bestFit="1" customWidth="1"/>
    <col min="15629" max="15872" width="9.140625" style="61"/>
    <col min="15873" max="15873" width="17.28515625" style="61" customWidth="1"/>
    <col min="15874" max="15874" width="5.7109375" style="61" customWidth="1"/>
    <col min="15875" max="15875" width="20" style="61" customWidth="1"/>
    <col min="15876" max="15876" width="5.7109375" style="61" customWidth="1"/>
    <col min="15877" max="15877" width="14.42578125" style="61" customWidth="1"/>
    <col min="15878" max="15878" width="5.7109375" style="61" customWidth="1"/>
    <col min="15879" max="15879" width="11.42578125" style="61" customWidth="1"/>
    <col min="15880" max="15880" width="5.7109375" style="61" customWidth="1"/>
    <col min="15881" max="15881" width="14.5703125" style="61" bestFit="1" customWidth="1"/>
    <col min="15882" max="15883" width="9.140625" style="61"/>
    <col min="15884" max="15884" width="14.42578125" style="61" bestFit="1" customWidth="1"/>
    <col min="15885" max="16128" width="9.140625" style="61"/>
    <col min="16129" max="16129" width="17.28515625" style="61" customWidth="1"/>
    <col min="16130" max="16130" width="5.7109375" style="61" customWidth="1"/>
    <col min="16131" max="16131" width="20" style="61" customWidth="1"/>
    <col min="16132" max="16132" width="5.7109375" style="61" customWidth="1"/>
    <col min="16133" max="16133" width="14.42578125" style="61" customWidth="1"/>
    <col min="16134" max="16134" width="5.7109375" style="61" customWidth="1"/>
    <col min="16135" max="16135" width="11.42578125" style="61" customWidth="1"/>
    <col min="16136" max="16136" width="5.7109375" style="61" customWidth="1"/>
    <col min="16137" max="16137" width="14.5703125" style="61" bestFit="1" customWidth="1"/>
    <col min="16138" max="16139" width="9.140625" style="61"/>
    <col min="16140" max="16140" width="14.42578125" style="61" bestFit="1" customWidth="1"/>
    <col min="16141" max="16384" width="9.140625" style="61"/>
  </cols>
  <sheetData>
    <row r="1" spans="1:12" ht="15" x14ac:dyDescent="0.25">
      <c r="A1" s="177" t="s">
        <v>155</v>
      </c>
      <c r="B1" s="178"/>
      <c r="C1" s="178"/>
      <c r="D1" s="178"/>
      <c r="E1" s="178"/>
      <c r="F1" s="178"/>
      <c r="G1" s="178"/>
      <c r="H1" s="178"/>
      <c r="I1" s="178"/>
      <c r="J1" s="179"/>
      <c r="K1" s="179"/>
      <c r="L1" s="244"/>
    </row>
    <row r="2" spans="1:12" ht="15" x14ac:dyDescent="0.25">
      <c r="A2" s="177" t="s">
        <v>154</v>
      </c>
      <c r="B2" s="178"/>
      <c r="C2" s="178"/>
      <c r="D2" s="178"/>
      <c r="E2" s="178"/>
      <c r="F2" s="178"/>
      <c r="G2" s="178"/>
      <c r="H2" s="178"/>
      <c r="I2" s="178"/>
      <c r="J2" s="179"/>
      <c r="K2" s="179"/>
    </row>
    <row r="3" spans="1:12" ht="15" x14ac:dyDescent="0.25">
      <c r="A3" s="177" t="s">
        <v>153</v>
      </c>
      <c r="B3" s="178"/>
      <c r="C3" s="178"/>
      <c r="D3" s="178"/>
      <c r="E3" s="178"/>
      <c r="F3" s="178"/>
      <c r="G3" s="178"/>
      <c r="H3" s="178"/>
      <c r="I3" s="178"/>
      <c r="J3" s="179"/>
      <c r="K3" s="179"/>
    </row>
    <row r="4" spans="1:12" ht="15" x14ac:dyDescent="0.25">
      <c r="A4" s="180">
        <v>45657</v>
      </c>
      <c r="B4" s="178"/>
      <c r="C4" s="178"/>
      <c r="D4" s="178"/>
      <c r="E4" s="178"/>
      <c r="F4" s="178"/>
      <c r="G4" s="178"/>
      <c r="H4" s="178"/>
      <c r="I4" s="178"/>
      <c r="J4" s="179"/>
      <c r="K4" s="179"/>
    </row>
    <row r="5" spans="1:12" ht="15" x14ac:dyDescent="0.25">
      <c r="A5" s="181" t="s">
        <v>152</v>
      </c>
      <c r="B5" s="178"/>
      <c r="C5" s="178"/>
      <c r="D5" s="178"/>
      <c r="E5" s="178"/>
      <c r="F5" s="178"/>
      <c r="G5" s="178"/>
      <c r="H5" s="178"/>
      <c r="I5" s="178"/>
      <c r="J5" s="179"/>
      <c r="K5" s="179"/>
    </row>
    <row r="6" spans="1:12" ht="15" x14ac:dyDescent="0.25">
      <c r="A6" s="182"/>
      <c r="B6" s="178"/>
      <c r="C6" s="178"/>
      <c r="D6" s="178"/>
      <c r="E6" s="178"/>
      <c r="F6" s="178"/>
      <c r="G6" s="178"/>
      <c r="H6" s="178"/>
      <c r="I6" s="178"/>
      <c r="J6" s="179"/>
      <c r="K6" s="179"/>
    </row>
    <row r="7" spans="1:12" ht="15" x14ac:dyDescent="0.25">
      <c r="A7" s="183" t="s">
        <v>151</v>
      </c>
      <c r="B7" s="179"/>
      <c r="C7" s="179"/>
      <c r="D7" s="179"/>
      <c r="E7" s="184" t="s">
        <v>150</v>
      </c>
      <c r="F7" s="179"/>
      <c r="G7" s="179"/>
      <c r="H7" s="179"/>
      <c r="I7" s="179"/>
      <c r="J7" s="179"/>
      <c r="K7" s="179"/>
    </row>
    <row r="8" spans="1:12" ht="15" x14ac:dyDescent="0.25">
      <c r="A8" s="179"/>
      <c r="B8" s="179"/>
      <c r="C8" s="179"/>
      <c r="D8" s="179"/>
      <c r="E8" s="184" t="s">
        <v>149</v>
      </c>
      <c r="F8" s="179"/>
      <c r="G8" s="184" t="s">
        <v>148</v>
      </c>
      <c r="H8" s="179"/>
      <c r="I8" s="179"/>
      <c r="J8" s="179"/>
      <c r="K8" s="179"/>
    </row>
    <row r="9" spans="1:12" ht="15" x14ac:dyDescent="0.25">
      <c r="A9" s="185" t="s">
        <v>147</v>
      </c>
      <c r="B9" s="179"/>
      <c r="C9" s="185"/>
      <c r="D9" s="179"/>
      <c r="E9" s="185" t="s">
        <v>146</v>
      </c>
      <c r="F9" s="179"/>
      <c r="G9" s="185" t="s">
        <v>145</v>
      </c>
      <c r="H9" s="179"/>
      <c r="I9" s="185" t="s">
        <v>144</v>
      </c>
      <c r="J9" s="179"/>
      <c r="K9" s="179"/>
    </row>
    <row r="10" spans="1:12" ht="15" x14ac:dyDescent="0.25">
      <c r="A10" s="179"/>
      <c r="B10" s="179"/>
      <c r="C10" s="179"/>
      <c r="D10" s="179"/>
      <c r="E10" s="179"/>
      <c r="F10" s="179"/>
      <c r="G10" s="179"/>
      <c r="H10" s="179"/>
      <c r="I10" s="179"/>
      <c r="J10" s="179"/>
      <c r="K10" s="179"/>
    </row>
    <row r="11" spans="1:12" ht="15" x14ac:dyDescent="0.25">
      <c r="A11" s="179"/>
      <c r="B11" s="179"/>
      <c r="C11" s="179"/>
      <c r="D11" s="179"/>
      <c r="E11" s="179"/>
      <c r="F11" s="179"/>
      <c r="G11" s="179"/>
      <c r="H11" s="179"/>
      <c r="I11" s="179"/>
      <c r="J11" s="179"/>
      <c r="K11" s="179"/>
    </row>
    <row r="12" spans="1:12" ht="15" x14ac:dyDescent="0.25">
      <c r="A12" s="179" t="s">
        <v>143</v>
      </c>
      <c r="B12" s="179"/>
      <c r="C12" s="170">
        <v>7238795443</v>
      </c>
      <c r="D12" s="179"/>
      <c r="E12" s="186">
        <f>C12/C20</f>
        <v>0.47505573520370453</v>
      </c>
      <c r="F12" s="179"/>
      <c r="G12" s="187">
        <v>4.3639999999999998E-2</v>
      </c>
      <c r="H12" s="179"/>
      <c r="I12" s="186">
        <f>ROUND(E12*G12,5)+0.001%</f>
        <v>2.0739999999999998E-2</v>
      </c>
      <c r="J12" s="179"/>
      <c r="K12" s="179"/>
    </row>
    <row r="13" spans="1:12" ht="15" x14ac:dyDescent="0.25">
      <c r="A13" s="179"/>
      <c r="B13" s="179"/>
      <c r="C13" s="171"/>
      <c r="D13" s="179"/>
      <c r="E13" s="186"/>
      <c r="F13" s="179"/>
      <c r="G13" s="188"/>
      <c r="H13" s="179"/>
      <c r="I13" s="186"/>
      <c r="J13" s="179"/>
      <c r="K13" s="179"/>
    </row>
    <row r="14" spans="1:12" ht="15" x14ac:dyDescent="0.25">
      <c r="A14" s="179" t="s">
        <v>142</v>
      </c>
      <c r="B14" s="179"/>
      <c r="C14" s="172">
        <v>0</v>
      </c>
      <c r="D14" s="179"/>
      <c r="E14" s="186">
        <f>+C14/C20</f>
        <v>0</v>
      </c>
      <c r="F14" s="179"/>
      <c r="G14" s="188">
        <v>0</v>
      </c>
      <c r="H14" s="179"/>
      <c r="I14" s="186">
        <f>ROUND(E14*G14,5)</f>
        <v>0</v>
      </c>
      <c r="J14" s="179"/>
      <c r="K14" s="179"/>
    </row>
    <row r="15" spans="1:12" ht="15" x14ac:dyDescent="0.25">
      <c r="A15" s="179"/>
      <c r="B15" s="179"/>
      <c r="C15" s="173"/>
      <c r="D15" s="179"/>
      <c r="E15" s="186"/>
      <c r="F15" s="179"/>
      <c r="G15" s="186"/>
      <c r="H15" s="179"/>
      <c r="I15" s="186"/>
      <c r="J15" s="179"/>
      <c r="K15" s="179"/>
    </row>
    <row r="16" spans="1:12" ht="15" x14ac:dyDescent="0.25">
      <c r="A16" s="179" t="s">
        <v>141</v>
      </c>
      <c r="B16" s="179"/>
      <c r="C16" s="172">
        <v>81827509</v>
      </c>
      <c r="D16" s="179"/>
      <c r="E16" s="186">
        <f>C16/C20</f>
        <v>5.3700408795876444E-3</v>
      </c>
      <c r="F16" s="179"/>
      <c r="G16" s="188">
        <v>4.1799999999999997E-2</v>
      </c>
      <c r="H16" s="179"/>
      <c r="I16" s="186">
        <f>ROUND(E16*G16,5)</f>
        <v>2.2000000000000001E-4</v>
      </c>
      <c r="J16" s="179"/>
      <c r="K16" s="179"/>
    </row>
    <row r="17" spans="1:15" ht="15" x14ac:dyDescent="0.25">
      <c r="A17" s="179"/>
      <c r="B17" s="179"/>
      <c r="C17" s="173"/>
      <c r="D17" s="179"/>
      <c r="E17" s="186"/>
      <c r="F17" s="179"/>
      <c r="G17" s="186"/>
      <c r="H17" s="179"/>
      <c r="I17" s="186"/>
      <c r="J17" s="179"/>
      <c r="K17" s="179"/>
    </row>
    <row r="18" spans="1:15" ht="15" x14ac:dyDescent="0.25">
      <c r="A18" s="179" t="s">
        <v>140</v>
      </c>
      <c r="B18" s="179"/>
      <c r="C18" s="174">
        <v>7917158442</v>
      </c>
      <c r="D18" s="179"/>
      <c r="E18" s="189">
        <f>C18/C20</f>
        <v>0.51957422391670782</v>
      </c>
      <c r="F18" s="179"/>
      <c r="G18" s="188">
        <v>9.5000000000000001E-2</v>
      </c>
      <c r="H18" s="179"/>
      <c r="I18" s="189">
        <f>ROUND(E18*G18,5)</f>
        <v>4.9360000000000001E-2</v>
      </c>
      <c r="J18" s="179"/>
      <c r="K18" s="179"/>
    </row>
    <row r="19" spans="1:15" ht="15" x14ac:dyDescent="0.25">
      <c r="A19" s="179"/>
      <c r="B19" s="179"/>
      <c r="C19" s="179"/>
      <c r="D19" s="179"/>
      <c r="E19" s="186"/>
      <c r="F19" s="179"/>
      <c r="G19" s="179"/>
      <c r="H19" s="179"/>
      <c r="I19" s="186"/>
      <c r="J19" s="179"/>
      <c r="K19" s="179"/>
    </row>
    <row r="20" spans="1:15" ht="15.75" thickBot="1" x14ac:dyDescent="0.3">
      <c r="A20" s="179" t="s">
        <v>139</v>
      </c>
      <c r="B20" s="179"/>
      <c r="C20" s="190">
        <f>SUM(C12:C18)</f>
        <v>15237781394</v>
      </c>
      <c r="D20" s="179"/>
      <c r="E20" s="191">
        <f>SUM(E12:E18)</f>
        <v>1</v>
      </c>
      <c r="F20" s="179"/>
      <c r="G20" s="179"/>
      <c r="H20" s="179"/>
      <c r="I20" s="191">
        <f>SUM(I12:I18)</f>
        <v>7.0319999999999994E-2</v>
      </c>
      <c r="J20" s="179"/>
      <c r="K20" s="179"/>
    </row>
    <row r="21" spans="1:15" ht="15.75" thickTop="1" x14ac:dyDescent="0.25">
      <c r="A21" s="179"/>
      <c r="B21" s="179"/>
      <c r="C21" s="192"/>
      <c r="D21" s="179"/>
      <c r="E21" s="179"/>
      <c r="F21" s="179"/>
      <c r="G21" s="179"/>
      <c r="H21" s="179"/>
      <c r="I21" s="179"/>
      <c r="J21" s="179"/>
      <c r="K21" s="179"/>
    </row>
    <row r="22" spans="1:15" ht="15" x14ac:dyDescent="0.25">
      <c r="A22" s="179"/>
      <c r="B22" s="179"/>
      <c r="C22" s="192"/>
      <c r="D22" s="179"/>
      <c r="E22" s="179"/>
      <c r="F22" s="179"/>
      <c r="G22" s="179"/>
      <c r="H22" s="179"/>
      <c r="I22" s="179"/>
      <c r="J22" s="179"/>
      <c r="K22" s="179"/>
      <c r="L22" s="63"/>
      <c r="M22" s="63"/>
      <c r="N22" s="63"/>
      <c r="O22" s="63"/>
    </row>
    <row r="23" spans="1:15" ht="15" x14ac:dyDescent="0.25">
      <c r="A23" s="193" t="s">
        <v>138</v>
      </c>
      <c r="B23" s="179"/>
      <c r="C23" s="179"/>
      <c r="D23" s="179"/>
      <c r="E23" s="179"/>
      <c r="F23" s="179"/>
      <c r="G23" s="179"/>
      <c r="H23" s="179"/>
      <c r="I23" s="179"/>
      <c r="J23" s="179"/>
      <c r="K23" s="179"/>
    </row>
    <row r="24" spans="1:15" ht="15" x14ac:dyDescent="0.25">
      <c r="A24" s="179"/>
      <c r="B24" s="179"/>
      <c r="C24" s="179"/>
      <c r="D24" s="179"/>
      <c r="E24" s="179"/>
      <c r="F24" s="179"/>
      <c r="G24" s="179"/>
      <c r="H24" s="179"/>
      <c r="I24" s="179"/>
      <c r="J24" s="179"/>
      <c r="K24" s="179"/>
    </row>
    <row r="25" spans="1:15" ht="15" x14ac:dyDescent="0.25">
      <c r="A25" s="179" t="s">
        <v>137</v>
      </c>
      <c r="B25" s="179"/>
      <c r="C25" s="179"/>
      <c r="D25" s="179"/>
      <c r="E25" s="179"/>
      <c r="F25" s="179"/>
      <c r="G25" s="179"/>
      <c r="H25" s="179"/>
      <c r="I25" s="176">
        <f>1/I39</f>
        <v>1.3101399433841365</v>
      </c>
      <c r="J25" s="179"/>
      <c r="K25" s="179"/>
    </row>
    <row r="26" spans="1:15" ht="15" x14ac:dyDescent="0.25">
      <c r="A26" s="179" t="s">
        <v>254</v>
      </c>
      <c r="B26" s="179"/>
      <c r="C26" s="179"/>
      <c r="D26" s="179"/>
      <c r="E26" s="179"/>
      <c r="F26" s="179"/>
      <c r="G26" s="179"/>
      <c r="H26" s="179"/>
      <c r="I26" s="189">
        <f>I16+I18</f>
        <v>4.9579999999999999E-2</v>
      </c>
      <c r="J26" s="179"/>
      <c r="K26" s="179"/>
    </row>
    <row r="27" spans="1:15" ht="15" x14ac:dyDescent="0.25">
      <c r="A27" s="179" t="s">
        <v>136</v>
      </c>
      <c r="B27" s="179"/>
      <c r="C27" s="179"/>
      <c r="D27" s="179"/>
      <c r="E27" s="179"/>
      <c r="F27" s="179"/>
      <c r="G27" s="179"/>
      <c r="H27" s="179"/>
      <c r="I27" s="179">
        <f>I26*I25</f>
        <v>6.4956738392985491E-2</v>
      </c>
      <c r="J27" s="179"/>
      <c r="K27" s="179"/>
    </row>
    <row r="28" spans="1:15" ht="15" x14ac:dyDescent="0.25">
      <c r="A28" s="179" t="s">
        <v>135</v>
      </c>
      <c r="B28" s="179"/>
      <c r="C28" s="179"/>
      <c r="D28" s="179"/>
      <c r="E28" s="179"/>
      <c r="F28" s="179"/>
      <c r="G28" s="179"/>
      <c r="H28" s="179"/>
      <c r="I28" s="186">
        <f>I12+I14</f>
        <v>2.0739999999999998E-2</v>
      </c>
      <c r="J28" s="179"/>
      <c r="K28" s="179"/>
    </row>
    <row r="29" spans="1:15" ht="15" x14ac:dyDescent="0.25">
      <c r="A29" s="179"/>
      <c r="B29" s="179"/>
      <c r="C29" s="179"/>
      <c r="D29" s="179"/>
      <c r="E29" s="179"/>
      <c r="F29" s="179"/>
      <c r="G29" s="179"/>
      <c r="H29" s="179"/>
      <c r="I29" s="179"/>
      <c r="J29" s="179"/>
      <c r="K29" s="179"/>
    </row>
    <row r="30" spans="1:15" ht="15.75" thickBot="1" x14ac:dyDescent="0.3">
      <c r="A30" s="179" t="s">
        <v>138</v>
      </c>
      <c r="B30" s="179"/>
      <c r="C30" s="179"/>
      <c r="D30" s="179"/>
      <c r="E30" s="179"/>
      <c r="F30" s="179"/>
      <c r="G30" s="179"/>
      <c r="H30" s="179"/>
      <c r="I30" s="194">
        <f>I27+I28</f>
        <v>8.5696738392985486E-2</v>
      </c>
      <c r="J30" s="179"/>
      <c r="K30" s="179"/>
    </row>
    <row r="31" spans="1:15" ht="15.75" thickTop="1" x14ac:dyDescent="0.25">
      <c r="A31" s="179"/>
      <c r="B31" s="179"/>
      <c r="C31" s="179"/>
      <c r="D31" s="179"/>
      <c r="E31" s="179"/>
      <c r="F31" s="179"/>
      <c r="G31" s="179"/>
      <c r="H31" s="179"/>
      <c r="I31" s="179"/>
      <c r="J31" s="179"/>
      <c r="K31" s="179"/>
    </row>
    <row r="32" spans="1:15" ht="15" x14ac:dyDescent="0.25">
      <c r="A32" s="179"/>
      <c r="B32" s="179"/>
      <c r="C32" s="179"/>
      <c r="D32" s="179"/>
      <c r="E32" s="179"/>
      <c r="F32" s="179"/>
      <c r="G32" s="179"/>
      <c r="H32" s="179"/>
      <c r="I32" s="179"/>
      <c r="J32" s="179"/>
      <c r="K32" s="179"/>
    </row>
    <row r="33" spans="1:11" ht="15" x14ac:dyDescent="0.25">
      <c r="A33" s="179" t="s">
        <v>134</v>
      </c>
      <c r="B33" s="179"/>
      <c r="C33" s="179"/>
      <c r="D33" s="179"/>
      <c r="E33" s="179"/>
      <c r="F33" s="179"/>
      <c r="G33" s="179"/>
      <c r="H33" s="179"/>
      <c r="I33" s="179"/>
      <c r="J33" s="179"/>
      <c r="K33" s="179"/>
    </row>
    <row r="34" spans="1:11" ht="15" x14ac:dyDescent="0.25">
      <c r="A34" s="179" t="s">
        <v>181</v>
      </c>
      <c r="B34" s="179"/>
      <c r="C34" s="179"/>
      <c r="D34" s="179"/>
      <c r="E34" s="179"/>
      <c r="F34" s="179"/>
      <c r="G34" s="179"/>
      <c r="H34" s="179"/>
      <c r="I34" s="195">
        <v>64387526.75</v>
      </c>
      <c r="J34" s="179"/>
      <c r="K34" s="179"/>
    </row>
    <row r="35" spans="1:11" ht="15" x14ac:dyDescent="0.25">
      <c r="A35" s="179" t="s">
        <v>182</v>
      </c>
      <c r="B35" s="179"/>
      <c r="C35" s="179"/>
      <c r="D35" s="179"/>
      <c r="E35" s="179"/>
      <c r="F35" s="179"/>
      <c r="G35" s="179"/>
      <c r="H35" s="184" t="s">
        <v>183</v>
      </c>
      <c r="I35" s="196">
        <v>652923208.10637331</v>
      </c>
      <c r="J35" s="179"/>
      <c r="K35" s="179"/>
    </row>
    <row r="36" spans="1:11" ht="15" x14ac:dyDescent="0.25">
      <c r="A36" s="179"/>
      <c r="B36" s="179"/>
      <c r="C36" s="179"/>
      <c r="D36" s="179"/>
      <c r="E36" s="179"/>
      <c r="F36" s="179"/>
      <c r="G36" s="179"/>
      <c r="H36" s="179"/>
      <c r="I36" s="195"/>
      <c r="J36" s="179"/>
      <c r="K36" s="179"/>
    </row>
    <row r="37" spans="1:11" ht="15" x14ac:dyDescent="0.25">
      <c r="A37" s="179" t="s">
        <v>184</v>
      </c>
      <c r="B37" s="179"/>
      <c r="C37" s="179"/>
      <c r="D37" s="179"/>
      <c r="E37" s="179"/>
      <c r="F37" s="179"/>
      <c r="G37" s="179"/>
      <c r="H37" s="179"/>
      <c r="I37" s="168">
        <v>0.23672276</v>
      </c>
      <c r="J37" s="179"/>
      <c r="K37" s="179"/>
    </row>
    <row r="38" spans="1:11" ht="15" x14ac:dyDescent="0.25">
      <c r="A38" s="179"/>
      <c r="B38" s="179"/>
      <c r="C38" s="179"/>
      <c r="D38" s="179"/>
      <c r="E38" s="179"/>
      <c r="F38" s="179"/>
      <c r="G38" s="179"/>
      <c r="H38" s="179"/>
      <c r="I38" s="168"/>
      <c r="J38" s="179"/>
      <c r="K38" s="179"/>
    </row>
    <row r="39" spans="1:11" ht="15" x14ac:dyDescent="0.25">
      <c r="A39" s="179" t="s">
        <v>133</v>
      </c>
      <c r="B39" s="179"/>
      <c r="C39" s="179"/>
      <c r="D39" s="179"/>
      <c r="E39" s="179"/>
      <c r="F39" s="179"/>
      <c r="G39" s="179"/>
      <c r="H39" s="179"/>
      <c r="I39" s="186">
        <f>1-I37</f>
        <v>0.76327723999999997</v>
      </c>
      <c r="J39" s="179"/>
      <c r="K39" s="179"/>
    </row>
    <row r="40" spans="1:11" ht="15" x14ac:dyDescent="0.25">
      <c r="A40" s="179"/>
      <c r="B40" s="179"/>
      <c r="C40" s="179"/>
      <c r="D40" s="179"/>
      <c r="E40" s="179"/>
      <c r="F40" s="179"/>
      <c r="G40" s="179"/>
      <c r="H40" s="179"/>
      <c r="I40" s="179"/>
      <c r="J40" s="179"/>
      <c r="K40" s="179"/>
    </row>
    <row r="41" spans="1:11" ht="15" x14ac:dyDescent="0.25">
      <c r="A41" s="179"/>
      <c r="B41" s="179"/>
      <c r="C41" s="179"/>
      <c r="D41" s="179"/>
      <c r="E41" s="179"/>
      <c r="F41" s="179"/>
      <c r="G41" s="179"/>
      <c r="H41" s="179"/>
      <c r="I41" s="179"/>
      <c r="J41" s="179"/>
      <c r="K41" s="179"/>
    </row>
    <row r="42" spans="1:11" ht="15" x14ac:dyDescent="0.25">
      <c r="A42" s="179"/>
      <c r="B42" s="179"/>
      <c r="C42" s="179"/>
      <c r="D42" s="179"/>
      <c r="E42" s="179"/>
      <c r="F42" s="179"/>
      <c r="G42" s="179"/>
      <c r="H42" s="179"/>
      <c r="I42" s="179"/>
      <c r="J42" s="179"/>
      <c r="K42" s="179"/>
    </row>
    <row r="43" spans="1:11" ht="15" x14ac:dyDescent="0.25">
      <c r="A43" s="179"/>
      <c r="B43" s="179"/>
      <c r="C43" s="179"/>
      <c r="D43" s="179"/>
      <c r="E43" s="179"/>
      <c r="F43" s="179"/>
      <c r="G43" s="179"/>
      <c r="H43" s="179"/>
      <c r="I43" s="179"/>
      <c r="J43" s="179"/>
      <c r="K43" s="179"/>
    </row>
    <row r="44" spans="1:11" ht="15" x14ac:dyDescent="0.25">
      <c r="A44" s="179"/>
      <c r="B44" s="179"/>
      <c r="C44" s="179"/>
      <c r="D44" s="179"/>
      <c r="E44" s="179"/>
      <c r="F44" s="179"/>
      <c r="G44" s="179"/>
      <c r="H44" s="179"/>
      <c r="I44" s="179"/>
      <c r="J44" s="179"/>
      <c r="K44" s="179"/>
    </row>
    <row r="45" spans="1:11" ht="15" x14ac:dyDescent="0.25">
      <c r="A45" s="179"/>
      <c r="B45" s="179"/>
      <c r="C45" s="179"/>
      <c r="D45" s="179"/>
      <c r="E45" s="179"/>
      <c r="F45" s="179"/>
      <c r="G45" s="179"/>
      <c r="H45" s="179"/>
      <c r="I45" s="179"/>
      <c r="J45" s="179"/>
      <c r="K45" s="179"/>
    </row>
    <row r="46" spans="1:11" ht="15" x14ac:dyDescent="0.25">
      <c r="A46" s="179"/>
      <c r="B46" s="179"/>
      <c r="C46" s="179"/>
      <c r="D46" s="179"/>
      <c r="E46" s="179"/>
      <c r="F46" s="179"/>
      <c r="G46" s="179"/>
      <c r="H46" s="179"/>
      <c r="I46" s="179"/>
      <c r="J46" s="179"/>
      <c r="K46" s="179"/>
    </row>
    <row r="47" spans="1:11" ht="15" x14ac:dyDescent="0.25">
      <c r="A47" s="179"/>
      <c r="B47" s="179"/>
      <c r="C47" s="179"/>
      <c r="D47" s="179"/>
      <c r="E47" s="179"/>
      <c r="F47" s="179"/>
      <c r="G47" s="179"/>
      <c r="H47" s="179"/>
      <c r="I47" s="179"/>
      <c r="J47" s="179"/>
      <c r="K47" s="179"/>
    </row>
    <row r="48" spans="1:11" ht="15" x14ac:dyDescent="0.25">
      <c r="A48" s="179"/>
      <c r="B48" s="179"/>
      <c r="C48" s="179"/>
      <c r="D48" s="179"/>
      <c r="E48" s="179"/>
      <c r="F48" s="179"/>
      <c r="G48" s="179"/>
      <c r="H48" s="179"/>
      <c r="I48" s="179"/>
      <c r="J48" s="179"/>
      <c r="K48" s="179"/>
    </row>
    <row r="49" spans="1:11" ht="15" x14ac:dyDescent="0.25">
      <c r="A49" s="179"/>
      <c r="B49" s="179"/>
      <c r="C49" s="179"/>
      <c r="D49" s="179"/>
      <c r="E49" s="179"/>
      <c r="F49" s="179"/>
      <c r="G49" s="179"/>
      <c r="H49" s="179"/>
      <c r="I49" s="179"/>
      <c r="J49" s="179"/>
      <c r="K49" s="179"/>
    </row>
    <row r="50" spans="1:11" ht="15" x14ac:dyDescent="0.25">
      <c r="A50" s="179"/>
      <c r="B50" s="179"/>
      <c r="C50" s="179"/>
      <c r="D50" s="179"/>
      <c r="E50" s="179"/>
      <c r="F50" s="179"/>
      <c r="G50" s="179"/>
      <c r="H50" s="179"/>
      <c r="I50" s="179"/>
      <c r="J50" s="179"/>
      <c r="K50" s="179"/>
    </row>
    <row r="51" spans="1:11" ht="15" x14ac:dyDescent="0.25">
      <c r="A51" s="179"/>
      <c r="B51" s="179"/>
      <c r="C51" s="179"/>
      <c r="D51" s="179"/>
      <c r="E51" s="179"/>
      <c r="F51" s="179"/>
      <c r="G51" s="179"/>
      <c r="H51" s="179"/>
      <c r="I51" s="179"/>
      <c r="J51" s="179"/>
      <c r="K51" s="179"/>
    </row>
    <row r="52" spans="1:11" ht="15" x14ac:dyDescent="0.25">
      <c r="A52" s="179"/>
      <c r="B52" s="179"/>
      <c r="C52" s="179"/>
      <c r="D52" s="179"/>
      <c r="E52" s="179"/>
      <c r="F52" s="179"/>
      <c r="G52" s="179"/>
      <c r="H52" s="179"/>
      <c r="I52" s="179"/>
      <c r="J52" s="179"/>
      <c r="K52" s="179"/>
    </row>
    <row r="53" spans="1:11" ht="15" x14ac:dyDescent="0.25">
      <c r="A53" s="179"/>
      <c r="B53" s="179"/>
      <c r="C53" s="179"/>
      <c r="D53" s="179"/>
      <c r="E53" s="179"/>
      <c r="F53" s="179"/>
      <c r="G53" s="179"/>
      <c r="H53" s="179"/>
      <c r="I53" s="179"/>
      <c r="J53" s="179"/>
      <c r="K53" s="179"/>
    </row>
    <row r="54" spans="1:11" ht="15" x14ac:dyDescent="0.25">
      <c r="A54" s="179"/>
      <c r="B54" s="179"/>
      <c r="C54" s="179"/>
      <c r="D54" s="179"/>
      <c r="E54" s="179"/>
      <c r="F54" s="179"/>
      <c r="G54" s="179"/>
      <c r="H54" s="179"/>
      <c r="I54" s="179"/>
      <c r="J54" s="179"/>
      <c r="K54" s="179"/>
    </row>
    <row r="55" spans="1:11" ht="15" x14ac:dyDescent="0.25">
      <c r="A55" s="179"/>
      <c r="B55" s="179"/>
      <c r="C55" s="179"/>
      <c r="D55" s="179"/>
      <c r="E55" s="179"/>
      <c r="F55" s="179"/>
      <c r="G55" s="179"/>
      <c r="H55" s="179"/>
      <c r="I55" s="179"/>
      <c r="J55" s="179"/>
      <c r="K55" s="179"/>
    </row>
    <row r="56" spans="1:11" ht="15" x14ac:dyDescent="0.25">
      <c r="A56" s="179"/>
      <c r="B56" s="179"/>
      <c r="C56" s="179"/>
      <c r="D56" s="179"/>
      <c r="E56" s="179"/>
      <c r="F56" s="179"/>
      <c r="G56" s="179"/>
      <c r="H56" s="179"/>
      <c r="I56" s="179"/>
      <c r="J56" s="179"/>
      <c r="K56" s="179"/>
    </row>
    <row r="57" spans="1:11" ht="15" x14ac:dyDescent="0.25">
      <c r="A57" s="179"/>
      <c r="B57" s="179"/>
      <c r="C57" s="179"/>
      <c r="D57" s="179"/>
      <c r="E57" s="179"/>
      <c r="F57" s="179"/>
      <c r="G57" s="179"/>
      <c r="H57" s="179"/>
      <c r="I57" s="179"/>
      <c r="J57" s="179"/>
      <c r="K57" s="179"/>
    </row>
    <row r="58" spans="1:11" ht="15" x14ac:dyDescent="0.25">
      <c r="A58" s="179"/>
      <c r="B58" s="179"/>
      <c r="C58" s="179"/>
      <c r="D58" s="179"/>
      <c r="E58" s="179"/>
      <c r="F58" s="179"/>
      <c r="G58" s="179"/>
      <c r="H58" s="179"/>
      <c r="I58" s="179"/>
      <c r="J58" s="179"/>
      <c r="K58" s="179"/>
    </row>
    <row r="59" spans="1:11" ht="15" x14ac:dyDescent="0.25">
      <c r="A59" s="179"/>
      <c r="B59" s="179"/>
      <c r="C59" s="179"/>
      <c r="D59" s="179"/>
      <c r="E59" s="179"/>
      <c r="F59" s="179"/>
      <c r="G59" s="179"/>
      <c r="H59" s="179"/>
      <c r="I59" s="179"/>
      <c r="J59" s="179"/>
      <c r="K59" s="179"/>
    </row>
    <row r="60" spans="1:11" ht="15" x14ac:dyDescent="0.25">
      <c r="A60" s="179"/>
      <c r="B60" s="179"/>
      <c r="C60" s="179"/>
      <c r="D60" s="179"/>
      <c r="E60" s="179"/>
      <c r="F60" s="179"/>
      <c r="G60" s="179"/>
      <c r="H60" s="179"/>
      <c r="I60" s="179"/>
      <c r="J60" s="179"/>
      <c r="K60" s="179"/>
    </row>
    <row r="61" spans="1:11" ht="15" x14ac:dyDescent="0.25">
      <c r="A61" s="179"/>
      <c r="B61" s="179"/>
      <c r="C61" s="179"/>
      <c r="D61" s="179"/>
      <c r="E61" s="179"/>
      <c r="F61" s="179"/>
      <c r="G61" s="179"/>
      <c r="H61" s="179"/>
      <c r="I61" s="179"/>
      <c r="J61" s="179"/>
      <c r="K61" s="179"/>
    </row>
    <row r="62" spans="1:11" ht="15" x14ac:dyDescent="0.25">
      <c r="A62" s="179"/>
      <c r="B62" s="179"/>
      <c r="C62" s="179"/>
      <c r="D62" s="179"/>
      <c r="E62" s="179"/>
      <c r="F62" s="179"/>
      <c r="G62" s="179"/>
      <c r="H62" s="179"/>
      <c r="I62" s="179"/>
      <c r="J62" s="179"/>
      <c r="K62" s="179"/>
    </row>
    <row r="63" spans="1:11" ht="15" x14ac:dyDescent="0.25">
      <c r="A63" s="179"/>
      <c r="B63" s="179"/>
      <c r="C63" s="179"/>
      <c r="D63" s="179"/>
      <c r="E63" s="179"/>
      <c r="F63" s="179"/>
      <c r="G63" s="179"/>
      <c r="H63" s="179"/>
      <c r="I63" s="179"/>
      <c r="J63" s="179"/>
      <c r="K63" s="179"/>
    </row>
    <row r="64" spans="1:11" ht="15" x14ac:dyDescent="0.25">
      <c r="A64" s="179"/>
      <c r="B64" s="179"/>
      <c r="C64" s="179"/>
      <c r="D64" s="179"/>
      <c r="E64" s="179"/>
      <c r="F64" s="179"/>
      <c r="G64" s="179"/>
      <c r="H64" s="179"/>
      <c r="I64" s="179"/>
      <c r="J64" s="179"/>
      <c r="K64" s="179"/>
    </row>
    <row r="65" spans="1:11" ht="15" x14ac:dyDescent="0.25">
      <c r="A65" s="179"/>
      <c r="B65" s="179"/>
      <c r="C65" s="179"/>
      <c r="D65" s="179"/>
      <c r="E65" s="179"/>
      <c r="F65" s="179"/>
      <c r="G65" s="179"/>
      <c r="H65" s="179"/>
      <c r="I65" s="179"/>
      <c r="J65" s="179"/>
      <c r="K65" s="179"/>
    </row>
    <row r="66" spans="1:11" ht="15" x14ac:dyDescent="0.25">
      <c r="A66" s="179"/>
      <c r="B66" s="179"/>
      <c r="C66" s="179"/>
      <c r="D66" s="179"/>
      <c r="E66" s="179"/>
      <c r="F66" s="179"/>
      <c r="G66" s="179"/>
      <c r="H66" s="179"/>
      <c r="I66" s="179"/>
      <c r="J66" s="179"/>
      <c r="K66" s="179"/>
    </row>
    <row r="67" spans="1:11" ht="15" x14ac:dyDescent="0.25">
      <c r="A67" s="179"/>
      <c r="B67" s="179"/>
      <c r="C67" s="179"/>
      <c r="D67" s="179"/>
      <c r="E67" s="179"/>
      <c r="F67" s="179"/>
      <c r="G67" s="179"/>
      <c r="H67" s="179"/>
      <c r="I67" s="179"/>
      <c r="J67" s="179"/>
      <c r="K67" s="179"/>
    </row>
    <row r="68" spans="1:11" ht="15" x14ac:dyDescent="0.25">
      <c r="A68" s="179"/>
      <c r="B68" s="179"/>
      <c r="C68" s="179"/>
      <c r="D68" s="179"/>
      <c r="E68" s="179"/>
      <c r="F68" s="179"/>
      <c r="G68" s="179"/>
      <c r="H68" s="179"/>
      <c r="I68" s="179"/>
      <c r="J68" s="179"/>
      <c r="K68" s="179"/>
    </row>
    <row r="69" spans="1:11" ht="15" x14ac:dyDescent="0.25">
      <c r="A69" s="179"/>
      <c r="B69" s="179"/>
      <c r="C69" s="179"/>
      <c r="D69" s="179"/>
      <c r="E69" s="179"/>
      <c r="F69" s="179"/>
      <c r="G69" s="179"/>
      <c r="H69" s="179"/>
      <c r="I69" s="179"/>
      <c r="J69" s="179"/>
      <c r="K69" s="179"/>
    </row>
    <row r="70" spans="1:11" ht="15" x14ac:dyDescent="0.25">
      <c r="A70" s="179"/>
      <c r="B70" s="179"/>
      <c r="C70" s="179"/>
      <c r="D70" s="179"/>
      <c r="E70" s="179"/>
      <c r="F70" s="179"/>
      <c r="G70" s="179"/>
      <c r="H70" s="179"/>
      <c r="I70" s="179"/>
      <c r="J70" s="179"/>
      <c r="K70" s="179"/>
    </row>
    <row r="71" spans="1:11" ht="15" x14ac:dyDescent="0.25">
      <c r="A71" s="179"/>
      <c r="B71" s="179"/>
      <c r="C71" s="179"/>
      <c r="D71" s="179"/>
      <c r="E71" s="179"/>
      <c r="F71" s="179"/>
      <c r="G71" s="179"/>
      <c r="H71" s="179"/>
      <c r="I71" s="179"/>
      <c r="J71" s="179"/>
      <c r="K71" s="179"/>
    </row>
    <row r="72" spans="1:11" ht="15" x14ac:dyDescent="0.25">
      <c r="A72" s="179"/>
      <c r="B72" s="179"/>
      <c r="C72" s="179"/>
      <c r="D72" s="179"/>
      <c r="E72" s="179"/>
      <c r="F72" s="179"/>
      <c r="G72" s="179"/>
      <c r="H72" s="179"/>
      <c r="I72" s="179"/>
      <c r="J72" s="179"/>
      <c r="K72" s="179"/>
    </row>
    <row r="73" spans="1:11" ht="15" x14ac:dyDescent="0.25">
      <c r="A73" s="179"/>
      <c r="B73" s="179"/>
      <c r="C73" s="179"/>
      <c r="D73" s="179"/>
      <c r="E73" s="179"/>
      <c r="F73" s="179"/>
      <c r="G73" s="179"/>
      <c r="H73" s="179"/>
      <c r="I73" s="179"/>
      <c r="J73" s="179"/>
      <c r="K73" s="179"/>
    </row>
    <row r="74" spans="1:11" ht="15" x14ac:dyDescent="0.25">
      <c r="A74" s="179"/>
      <c r="B74" s="179"/>
      <c r="C74" s="179"/>
      <c r="D74" s="179"/>
      <c r="E74" s="179"/>
      <c r="F74" s="179"/>
      <c r="G74" s="179"/>
      <c r="H74" s="179"/>
      <c r="I74" s="179"/>
      <c r="J74" s="179"/>
      <c r="K74" s="179"/>
    </row>
    <row r="75" spans="1:11" ht="15" x14ac:dyDescent="0.25">
      <c r="A75" s="179"/>
      <c r="B75" s="179"/>
      <c r="C75" s="179"/>
      <c r="D75" s="179"/>
      <c r="E75" s="179"/>
      <c r="F75" s="179"/>
      <c r="G75" s="179"/>
      <c r="H75" s="179"/>
      <c r="I75" s="179"/>
      <c r="J75" s="179"/>
      <c r="K75" s="179"/>
    </row>
    <row r="76" spans="1:11" ht="15" x14ac:dyDescent="0.25">
      <c r="A76" s="179"/>
      <c r="B76" s="179"/>
      <c r="C76" s="179"/>
      <c r="D76" s="179"/>
      <c r="E76" s="179"/>
      <c r="F76" s="179"/>
      <c r="G76" s="179"/>
      <c r="H76" s="179"/>
      <c r="I76" s="179"/>
      <c r="J76" s="179"/>
      <c r="K76" s="179"/>
    </row>
    <row r="77" spans="1:11" ht="15" x14ac:dyDescent="0.25">
      <c r="A77" s="179"/>
      <c r="B77" s="179"/>
      <c r="C77" s="179"/>
      <c r="D77" s="179"/>
      <c r="E77" s="179"/>
      <c r="F77" s="179"/>
      <c r="G77" s="179"/>
      <c r="H77" s="179"/>
      <c r="I77" s="179"/>
      <c r="J77" s="179"/>
      <c r="K77" s="179"/>
    </row>
    <row r="78" spans="1:11" ht="15" x14ac:dyDescent="0.25">
      <c r="A78" s="179"/>
      <c r="B78" s="179"/>
      <c r="C78" s="179"/>
      <c r="D78" s="179"/>
      <c r="E78" s="179"/>
      <c r="F78" s="179"/>
      <c r="G78" s="179"/>
      <c r="H78" s="179"/>
      <c r="I78" s="179"/>
      <c r="J78" s="179"/>
      <c r="K78" s="179"/>
    </row>
    <row r="79" spans="1:11" ht="15" x14ac:dyDescent="0.25">
      <c r="A79" s="179"/>
      <c r="B79" s="179"/>
      <c r="C79" s="179"/>
      <c r="D79" s="179"/>
      <c r="E79" s="179"/>
      <c r="F79" s="179"/>
      <c r="G79" s="179"/>
      <c r="H79" s="179"/>
      <c r="I79" s="179"/>
      <c r="J79" s="179"/>
      <c r="K79" s="179"/>
    </row>
    <row r="80" spans="1:11" ht="15" x14ac:dyDescent="0.25">
      <c r="A80" s="179"/>
      <c r="B80" s="179"/>
      <c r="C80" s="179"/>
      <c r="D80" s="179"/>
      <c r="E80" s="179"/>
      <c r="F80" s="179"/>
      <c r="G80" s="179"/>
      <c r="H80" s="179"/>
      <c r="I80" s="179"/>
      <c r="J80" s="179"/>
      <c r="K80" s="179"/>
    </row>
    <row r="81" spans="1:11" ht="15" x14ac:dyDescent="0.25">
      <c r="A81" s="179"/>
      <c r="B81" s="179"/>
      <c r="C81" s="179"/>
      <c r="D81" s="179"/>
      <c r="E81" s="179"/>
      <c r="F81" s="179"/>
      <c r="G81" s="179"/>
      <c r="H81" s="179"/>
      <c r="I81" s="179"/>
      <c r="J81" s="179"/>
      <c r="K81" s="179"/>
    </row>
    <row r="82" spans="1:11" ht="15" x14ac:dyDescent="0.25">
      <c r="A82" s="179"/>
      <c r="B82" s="179"/>
      <c r="C82" s="179"/>
      <c r="D82" s="179"/>
      <c r="E82" s="179"/>
      <c r="F82" s="179"/>
      <c r="G82" s="179"/>
      <c r="H82" s="179"/>
      <c r="I82" s="179"/>
      <c r="J82" s="179"/>
      <c r="K82" s="179"/>
    </row>
    <row r="83" spans="1:11" ht="15" x14ac:dyDescent="0.25">
      <c r="A83" s="179"/>
      <c r="B83" s="179"/>
      <c r="C83" s="179"/>
      <c r="D83" s="179"/>
      <c r="E83" s="179"/>
      <c r="F83" s="179"/>
      <c r="G83" s="179"/>
      <c r="H83" s="179"/>
      <c r="I83" s="179"/>
      <c r="J83" s="179"/>
      <c r="K83" s="179"/>
    </row>
    <row r="84" spans="1:11" ht="15" x14ac:dyDescent="0.25">
      <c r="A84" s="179"/>
      <c r="B84" s="179"/>
      <c r="C84" s="179"/>
      <c r="D84" s="179"/>
      <c r="E84" s="179"/>
      <c r="F84" s="179"/>
      <c r="G84" s="179"/>
      <c r="H84" s="179"/>
      <c r="I84" s="179"/>
      <c r="J84" s="179"/>
      <c r="K84" s="179"/>
    </row>
    <row r="85" spans="1:11" ht="15" x14ac:dyDescent="0.25">
      <c r="A85" s="179"/>
      <c r="B85" s="179"/>
      <c r="C85" s="179"/>
      <c r="D85" s="179"/>
      <c r="E85" s="179"/>
      <c r="F85" s="179"/>
      <c r="G85" s="179"/>
      <c r="H85" s="179"/>
      <c r="I85" s="179"/>
      <c r="J85" s="179"/>
      <c r="K85" s="179"/>
    </row>
  </sheetData>
  <printOptions horizontalCentered="1"/>
  <pageMargins left="0.75" right="0.75" top="1" bottom="1" header="0.5" footer="0.5"/>
  <pageSetup scale="48" orientation="landscape" r:id="rId1"/>
  <headerFooter alignWithMargins="0">
    <oddFooter>&amp;CSchedule RL-1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7"/>
  <dimension ref="A1:M23"/>
  <sheetViews>
    <sheetView zoomScaleNormal="100" workbookViewId="0">
      <selection activeCell="A27" sqref="A27"/>
    </sheetView>
  </sheetViews>
  <sheetFormatPr defaultColWidth="9.140625" defaultRowHeight="15" x14ac:dyDescent="0.25"/>
  <cols>
    <col min="1" max="1" width="59.5703125" customWidth="1"/>
    <col min="2" max="3" width="14.140625" bestFit="1" customWidth="1"/>
    <col min="4" max="4" width="14.140625" customWidth="1"/>
    <col min="5" max="5" width="13.7109375" bestFit="1" customWidth="1"/>
    <col min="6" max="7" width="14.140625" bestFit="1" customWidth="1"/>
    <col min="8" max="8" width="16" customWidth="1"/>
    <col min="9" max="9" width="13.7109375" bestFit="1" customWidth="1"/>
    <col min="10" max="10" width="14.140625" bestFit="1" customWidth="1"/>
    <col min="11" max="11" width="17" customWidth="1"/>
    <col min="12" max="12" width="15.5703125" customWidth="1"/>
    <col min="13" max="13" width="14.85546875" bestFit="1" customWidth="1"/>
  </cols>
  <sheetData>
    <row r="1" spans="1:13" x14ac:dyDescent="0.25">
      <c r="A1" s="197" t="s">
        <v>121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6"/>
    </row>
    <row r="2" spans="1:13" ht="15.75" customHeight="1" x14ac:dyDescent="0.25">
      <c r="A2" s="197" t="s">
        <v>156</v>
      </c>
      <c r="B2" s="198"/>
      <c r="C2" s="199"/>
      <c r="D2" s="199"/>
      <c r="E2" s="199"/>
      <c r="F2" s="199"/>
      <c r="G2" s="199"/>
      <c r="H2" s="199"/>
      <c r="I2" s="200"/>
      <c r="J2" s="199"/>
      <c r="K2" s="199"/>
      <c r="L2" s="199"/>
      <c r="M2" s="199"/>
    </row>
    <row r="3" spans="1:13" ht="15.75" customHeight="1" x14ac:dyDescent="0.25">
      <c r="A3" s="197"/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</row>
    <row r="4" spans="1:13" x14ac:dyDescent="0.25">
      <c r="A4" s="201" t="s">
        <v>157</v>
      </c>
      <c r="B4" s="202">
        <v>45900</v>
      </c>
      <c r="C4" s="202">
        <v>45930</v>
      </c>
      <c r="D4" s="202">
        <v>45961</v>
      </c>
      <c r="E4" s="202">
        <v>45991</v>
      </c>
      <c r="F4" s="202">
        <v>46022</v>
      </c>
      <c r="G4" s="202">
        <v>46053</v>
      </c>
      <c r="H4" s="202">
        <v>46081</v>
      </c>
      <c r="I4" s="202">
        <v>46112</v>
      </c>
      <c r="J4" s="202">
        <v>46142</v>
      </c>
      <c r="K4" s="202">
        <v>46173</v>
      </c>
      <c r="L4" s="202">
        <v>46203</v>
      </c>
      <c r="M4" s="202">
        <v>46234</v>
      </c>
    </row>
    <row r="5" spans="1:13" x14ac:dyDescent="0.25">
      <c r="A5" s="203" t="s">
        <v>122</v>
      </c>
      <c r="B5" s="204">
        <v>-449645.74000032758</v>
      </c>
      <c r="C5" s="204">
        <v>-368613.79000032757</v>
      </c>
      <c r="D5" s="204">
        <v>-334094.16000032757</v>
      </c>
      <c r="E5" s="204">
        <v>880360.2399996724</v>
      </c>
      <c r="F5" s="204">
        <v>3080018.2099996721</v>
      </c>
      <c r="G5" s="204">
        <v>3158893.569999672</v>
      </c>
      <c r="H5" s="204">
        <v>3171337.6499996721</v>
      </c>
      <c r="I5" s="204">
        <v>3597013.8299996722</v>
      </c>
      <c r="J5" s="204">
        <v>3853913.7799996724</v>
      </c>
      <c r="K5" s="204">
        <v>3859548.0399996727</v>
      </c>
      <c r="L5" s="204">
        <v>9781436.589999672</v>
      </c>
      <c r="M5" s="204">
        <v>9762305.3299996722</v>
      </c>
    </row>
    <row r="6" spans="1:13" x14ac:dyDescent="0.25">
      <c r="A6" s="203" t="s">
        <v>123</v>
      </c>
      <c r="B6" s="205">
        <v>0</v>
      </c>
      <c r="C6" s="205">
        <v>0</v>
      </c>
      <c r="D6" s="205">
        <v>0</v>
      </c>
      <c r="E6" s="205">
        <v>0</v>
      </c>
      <c r="F6" s="205">
        <v>0</v>
      </c>
      <c r="G6" s="205">
        <v>0</v>
      </c>
      <c r="H6" s="205">
        <v>0</v>
      </c>
      <c r="I6" s="205">
        <v>0</v>
      </c>
      <c r="J6" s="205">
        <v>0</v>
      </c>
      <c r="K6" s="205">
        <v>0</v>
      </c>
      <c r="L6" s="205">
        <v>0</v>
      </c>
      <c r="M6" s="205">
        <v>0</v>
      </c>
    </row>
    <row r="7" spans="1:13" x14ac:dyDescent="0.25">
      <c r="A7" s="166" t="s">
        <v>124</v>
      </c>
      <c r="B7" s="204">
        <f t="shared" ref="B7:M7" si="0">SUM(B5:B6)</f>
        <v>-449645.74000032758</v>
      </c>
      <c r="C7" s="204">
        <f t="shared" si="0"/>
        <v>-368613.79000032757</v>
      </c>
      <c r="D7" s="204">
        <f t="shared" si="0"/>
        <v>-334094.16000032757</v>
      </c>
      <c r="E7" s="204">
        <f t="shared" si="0"/>
        <v>880360.2399996724</v>
      </c>
      <c r="F7" s="204">
        <f t="shared" si="0"/>
        <v>3080018.2099996721</v>
      </c>
      <c r="G7" s="204">
        <f t="shared" si="0"/>
        <v>3158893.569999672</v>
      </c>
      <c r="H7" s="204">
        <f t="shared" si="0"/>
        <v>3171337.6499996721</v>
      </c>
      <c r="I7" s="204">
        <f t="shared" si="0"/>
        <v>3597013.8299996722</v>
      </c>
      <c r="J7" s="204">
        <f t="shared" si="0"/>
        <v>3853913.7799996724</v>
      </c>
      <c r="K7" s="204">
        <f t="shared" si="0"/>
        <v>3859548.0399996727</v>
      </c>
      <c r="L7" s="204">
        <f t="shared" si="0"/>
        <v>9781436.589999672</v>
      </c>
      <c r="M7" s="204">
        <f t="shared" si="0"/>
        <v>9762305.3299996722</v>
      </c>
    </row>
    <row r="8" spans="1:13" x14ac:dyDescent="0.25">
      <c r="A8" s="203" t="s">
        <v>125</v>
      </c>
      <c r="B8" s="204">
        <v>15204.29</v>
      </c>
      <c r="C8" s="204">
        <v>15012.570000000002</v>
      </c>
      <c r="D8" s="204">
        <v>14972.150000000001</v>
      </c>
      <c r="E8" s="204">
        <v>14972.150000000001</v>
      </c>
      <c r="F8" s="204">
        <v>14972.150000000001</v>
      </c>
      <c r="G8" s="204">
        <v>5365.0400000000027</v>
      </c>
      <c r="H8" s="204">
        <v>4808.2300000000032</v>
      </c>
      <c r="I8" s="204">
        <v>4718.4000000000033</v>
      </c>
      <c r="J8" s="204">
        <v>2667.910000000003</v>
      </c>
      <c r="K8" s="204">
        <v>15249.690000000004</v>
      </c>
      <c r="L8" s="204">
        <v>15249.690000000004</v>
      </c>
      <c r="M8" s="204">
        <v>15342.670000000004</v>
      </c>
    </row>
    <row r="9" spans="1:13" x14ac:dyDescent="0.25">
      <c r="A9" s="203" t="s">
        <v>126</v>
      </c>
      <c r="B9" s="205">
        <v>0</v>
      </c>
      <c r="C9" s="205">
        <v>0</v>
      </c>
      <c r="D9" s="205">
        <v>0</v>
      </c>
      <c r="E9" s="205">
        <v>0</v>
      </c>
      <c r="F9" s="205">
        <v>0</v>
      </c>
      <c r="G9" s="205">
        <v>0</v>
      </c>
      <c r="H9" s="205">
        <v>0</v>
      </c>
      <c r="I9" s="205">
        <v>0</v>
      </c>
      <c r="J9" s="205">
        <v>0</v>
      </c>
      <c r="K9" s="205">
        <v>0</v>
      </c>
      <c r="L9" s="205">
        <v>0</v>
      </c>
      <c r="M9" s="205">
        <v>-24404.86</v>
      </c>
    </row>
    <row r="10" spans="1:13" x14ac:dyDescent="0.25">
      <c r="A10" s="166" t="s">
        <v>127</v>
      </c>
      <c r="B10" s="204">
        <f>SUM(B7:B9)</f>
        <v>-434441.4500003276</v>
      </c>
      <c r="C10" s="204">
        <f t="shared" ref="C10:M10" si="1">SUM(C7:C9)</f>
        <v>-353601.22000032756</v>
      </c>
      <c r="D10" s="204">
        <f t="shared" si="1"/>
        <v>-319122.01000032754</v>
      </c>
      <c r="E10" s="204">
        <f t="shared" si="1"/>
        <v>895332.38999967242</v>
      </c>
      <c r="F10" s="204">
        <f t="shared" si="1"/>
        <v>3094990.359999672</v>
      </c>
      <c r="G10" s="204">
        <f t="shared" si="1"/>
        <v>3164258.609999672</v>
      </c>
      <c r="H10" s="204">
        <f t="shared" si="1"/>
        <v>3176145.8799996721</v>
      </c>
      <c r="I10" s="204">
        <f t="shared" si="1"/>
        <v>3601732.2299996722</v>
      </c>
      <c r="J10" s="204">
        <f t="shared" si="1"/>
        <v>3856581.6899996726</v>
      </c>
      <c r="K10" s="204">
        <f t="shared" si="1"/>
        <v>3874797.7299996726</v>
      </c>
      <c r="L10" s="204">
        <f t="shared" si="1"/>
        <v>9796686.2799996715</v>
      </c>
      <c r="M10" s="204">
        <f t="shared" si="1"/>
        <v>9753243.1399996728</v>
      </c>
    </row>
    <row r="11" spans="1:13" x14ac:dyDescent="0.25">
      <c r="A11" s="203" t="s">
        <v>158</v>
      </c>
      <c r="B11" s="204">
        <v>74619.809999999721</v>
      </c>
      <c r="C11" s="204">
        <v>70144.659999999451</v>
      </c>
      <c r="D11" s="204">
        <v>65871.239999999161</v>
      </c>
      <c r="E11" s="204">
        <v>63612.819999998872</v>
      </c>
      <c r="F11" s="204">
        <v>66903.449999998862</v>
      </c>
      <c r="G11" s="204">
        <v>73673.809999998834</v>
      </c>
      <c r="H11" s="204">
        <v>80353.109999998749</v>
      </c>
      <c r="I11" s="204">
        <v>87746.219999998721</v>
      </c>
      <c r="J11" s="204">
        <v>96632.789999998655</v>
      </c>
      <c r="K11" s="204">
        <v>106429.05999999831</v>
      </c>
      <c r="L11" s="204">
        <v>125014.31999999817</v>
      </c>
      <c r="M11" s="204">
        <v>152651.48999999784</v>
      </c>
    </row>
    <row r="12" spans="1:13" x14ac:dyDescent="0.25">
      <c r="A12" s="203"/>
      <c r="B12" s="206"/>
      <c r="C12" s="206"/>
      <c r="D12" s="206"/>
      <c r="E12" s="206"/>
      <c r="F12" s="206"/>
      <c r="G12" s="206"/>
      <c r="H12" s="206"/>
      <c r="I12" s="206"/>
      <c r="J12" s="206"/>
      <c r="K12" s="206"/>
      <c r="L12" s="206"/>
      <c r="M12" s="206"/>
    </row>
    <row r="13" spans="1:13" x14ac:dyDescent="0.25">
      <c r="A13" s="201" t="s">
        <v>128</v>
      </c>
      <c r="B13" s="204"/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</row>
    <row r="14" spans="1:13" x14ac:dyDescent="0.25">
      <c r="A14" s="207" t="s">
        <v>129</v>
      </c>
      <c r="B14" s="204">
        <v>-449645.74000032758</v>
      </c>
      <c r="C14" s="204">
        <v>-368613.79000032757</v>
      </c>
      <c r="D14" s="204">
        <v>-334094.16000032757</v>
      </c>
      <c r="E14" s="204">
        <v>880360.2399996724</v>
      </c>
      <c r="F14" s="204">
        <v>3080018.2099996721</v>
      </c>
      <c r="G14" s="204">
        <v>3158893.569999672</v>
      </c>
      <c r="H14" s="204">
        <v>3171337.6499996721</v>
      </c>
      <c r="I14" s="204">
        <v>3597013.8299996722</v>
      </c>
      <c r="J14" s="204">
        <v>3853913.7799996724</v>
      </c>
      <c r="K14" s="204">
        <v>3859548.0399996727</v>
      </c>
      <c r="L14" s="204">
        <v>9781436.589999672</v>
      </c>
      <c r="M14" s="204">
        <v>9762305.3299996722</v>
      </c>
    </row>
    <row r="15" spans="1:13" x14ac:dyDescent="0.25">
      <c r="A15" s="203" t="s">
        <v>130</v>
      </c>
      <c r="B15" s="204">
        <v>-36465602.609999977</v>
      </c>
      <c r="C15" s="204">
        <v>-41009323.279999979</v>
      </c>
      <c r="D15" s="204">
        <v>-45553246.109999977</v>
      </c>
      <c r="E15" s="204">
        <v>-50099184.149999976</v>
      </c>
      <c r="F15" s="204">
        <v>-54650671.179999977</v>
      </c>
      <c r="G15" s="204">
        <v>-59205658.169999979</v>
      </c>
      <c r="H15" s="204">
        <v>-63760575.48999998</v>
      </c>
      <c r="I15" s="204">
        <v>-68316208.149999976</v>
      </c>
      <c r="J15" s="204">
        <v>-72873338.699999973</v>
      </c>
      <c r="K15" s="204">
        <v>-77431356.729999974</v>
      </c>
      <c r="L15" s="204">
        <v>-81998137.169999972</v>
      </c>
      <c r="M15" s="204">
        <v>-86573969.409999967</v>
      </c>
    </row>
    <row r="16" spans="1:13" x14ac:dyDescent="0.25">
      <c r="A16" s="203" t="s">
        <v>131</v>
      </c>
      <c r="B16" s="205">
        <v>-26736785.216622453</v>
      </c>
      <c r="C16" s="205">
        <v>-29984980.847591076</v>
      </c>
      <c r="D16" s="205">
        <v>-33230990.633146368</v>
      </c>
      <c r="E16" s="205">
        <v>-36783329.669733427</v>
      </c>
      <c r="F16" s="205">
        <v>-40134130.023969248</v>
      </c>
      <c r="G16" s="205">
        <v>-41132943.483973071</v>
      </c>
      <c r="H16" s="205">
        <v>-43265088.811630167</v>
      </c>
      <c r="I16" s="205">
        <v>-45592979.630812973</v>
      </c>
      <c r="J16" s="205">
        <v>-47403246.882044107</v>
      </c>
      <c r="K16" s="205">
        <v>-49452716.467889652</v>
      </c>
      <c r="L16" s="205">
        <v>-51649391.091056414</v>
      </c>
      <c r="M16" s="205">
        <v>-53726269.478696555</v>
      </c>
    </row>
    <row r="17" spans="1:13" x14ac:dyDescent="0.25">
      <c r="A17" s="166" t="s">
        <v>132</v>
      </c>
      <c r="B17" s="204">
        <f t="shared" ref="B17:M17" si="2">SUM(B14:B16)</f>
        <v>-63652033.566622764</v>
      </c>
      <c r="C17" s="204">
        <f t="shared" si="2"/>
        <v>-71362917.917591378</v>
      </c>
      <c r="D17" s="204">
        <f t="shared" si="2"/>
        <v>-79118330.903146669</v>
      </c>
      <c r="E17" s="204">
        <f t="shared" si="2"/>
        <v>-86002153.579733729</v>
      </c>
      <c r="F17" s="204">
        <f t="shared" si="2"/>
        <v>-91704782.99396956</v>
      </c>
      <c r="G17" s="204">
        <f t="shared" si="2"/>
        <v>-97179708.083973378</v>
      </c>
      <c r="H17" s="204">
        <f t="shared" si="2"/>
        <v>-103854326.65163048</v>
      </c>
      <c r="I17" s="204">
        <f t="shared" si="2"/>
        <v>-110312173.95081328</v>
      </c>
      <c r="J17" s="204">
        <f t="shared" si="2"/>
        <v>-116422671.80204441</v>
      </c>
      <c r="K17" s="204">
        <f t="shared" si="2"/>
        <v>-123024525.15788995</v>
      </c>
      <c r="L17" s="204">
        <f t="shared" si="2"/>
        <v>-123866091.67105672</v>
      </c>
      <c r="M17" s="204">
        <f t="shared" si="2"/>
        <v>-130537933.55869685</v>
      </c>
    </row>
    <row r="18" spans="1:13" x14ac:dyDescent="0.25">
      <c r="D18" s="22"/>
      <c r="E18" s="22"/>
      <c r="F18" s="22"/>
      <c r="G18" s="22"/>
      <c r="H18" s="22"/>
      <c r="I18" s="22"/>
      <c r="J18" s="22"/>
      <c r="K18" s="22"/>
      <c r="L18" s="22"/>
      <c r="M18" s="22"/>
    </row>
    <row r="20" spans="1:13" x14ac:dyDescent="0.25">
      <c r="M20" s="40"/>
    </row>
    <row r="23" spans="1:13" x14ac:dyDescent="0.25">
      <c r="M23" s="40"/>
    </row>
  </sheetData>
  <pageMargins left="0.7" right="0.7" top="0.75" bottom="0.75" header="0.3" footer="0.3"/>
  <pageSetup scale="52" orientation="landscape" r:id="rId1"/>
  <headerFooter>
    <oddFooter>&amp;CSchedule RL-1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9"/>
  <dimension ref="A1:EQ47"/>
  <sheetViews>
    <sheetView zoomScaleNormal="100" workbookViewId="0">
      <selection activeCell="F21" sqref="F21"/>
    </sheetView>
  </sheetViews>
  <sheetFormatPr defaultRowHeight="15" x14ac:dyDescent="0.25"/>
  <cols>
    <col min="1" max="1" width="14.5703125" style="166" bestFit="1" customWidth="1"/>
    <col min="2" max="2" width="15.5703125" style="208" bestFit="1" customWidth="1"/>
    <col min="3" max="3" width="15.42578125" style="209" bestFit="1" customWidth="1"/>
    <col min="4" max="4" width="15.42578125" style="166" bestFit="1" customWidth="1"/>
    <col min="5" max="5" width="15.5703125" style="208" bestFit="1" customWidth="1"/>
    <col min="6" max="6" width="12.28515625" style="209" bestFit="1" customWidth="1"/>
    <col min="7" max="7" width="18.42578125" style="166" bestFit="1" customWidth="1"/>
    <col min="8" max="8" width="15.42578125" style="208" hidden="1" customWidth="1"/>
    <col min="9" max="9" width="10.28515625" style="209" hidden="1" customWidth="1"/>
    <col min="10" max="10" width="13.42578125" style="166" hidden="1" customWidth="1"/>
    <col min="11" max="11" width="14.42578125" style="208" hidden="1" customWidth="1"/>
    <col min="12" max="12" width="10.28515625" style="209" hidden="1" customWidth="1"/>
    <col min="13" max="13" width="11.7109375" style="166" hidden="1" customWidth="1"/>
    <col min="14" max="14" width="14.42578125" style="208" hidden="1" customWidth="1"/>
    <col min="15" max="15" width="10.28515625" style="209" hidden="1" customWidth="1"/>
    <col min="16" max="16" width="11.7109375" style="166" hidden="1" customWidth="1"/>
    <col min="17" max="17" width="15.42578125" style="208" hidden="1" customWidth="1"/>
    <col min="18" max="18" width="10.28515625" style="209" hidden="1" customWidth="1"/>
    <col min="19" max="19" width="11.7109375" style="166" hidden="1" customWidth="1"/>
    <col min="20" max="20" width="15.42578125" style="208" hidden="1" customWidth="1"/>
    <col min="21" max="21" width="10.28515625" style="209" hidden="1" customWidth="1"/>
    <col min="22" max="22" width="11.7109375" style="166" hidden="1" customWidth="1"/>
    <col min="23" max="23" width="15.42578125" style="208" hidden="1" customWidth="1"/>
    <col min="24" max="24" width="10.28515625" style="209" hidden="1" customWidth="1"/>
    <col min="25" max="25" width="11.7109375" style="166" hidden="1" customWidth="1"/>
    <col min="26" max="26" width="15.42578125" style="208" hidden="1" customWidth="1"/>
    <col min="27" max="27" width="10.28515625" style="209" hidden="1" customWidth="1"/>
    <col min="28" max="28" width="11.7109375" style="166" hidden="1" customWidth="1"/>
    <col min="29" max="29" width="15.42578125" style="208" hidden="1" customWidth="1"/>
    <col min="30" max="30" width="10.28515625" style="209" hidden="1" customWidth="1"/>
    <col min="31" max="31" width="11.7109375" style="166" hidden="1" customWidth="1"/>
    <col min="32" max="32" width="14.42578125" style="208" hidden="1" customWidth="1"/>
    <col min="33" max="33" width="10.28515625" style="209" hidden="1" customWidth="1"/>
    <col min="34" max="34" width="10.7109375" style="166" hidden="1" customWidth="1"/>
    <col min="35" max="35" width="18.42578125" style="208" customWidth="1"/>
    <col min="36" max="36" width="11.7109375" style="209" customWidth="1"/>
    <col min="37" max="37" width="13.7109375" style="166" bestFit="1" customWidth="1"/>
    <col min="38" max="38" width="18.7109375" style="208" customWidth="1"/>
    <col min="39" max="39" width="13.140625" style="209" customWidth="1"/>
    <col min="40" max="40" width="13.7109375" style="166" bestFit="1" customWidth="1"/>
    <col min="41" max="41" width="18.28515625" style="208" customWidth="1"/>
    <col min="42" max="42" width="12.28515625" style="209" bestFit="1" customWidth="1"/>
    <col min="43" max="43" width="17.140625" style="166" customWidth="1"/>
    <col min="44" max="44" width="15.42578125" style="208" bestFit="1" customWidth="1"/>
    <col min="45" max="45" width="10.28515625" style="209" bestFit="1" customWidth="1"/>
    <col min="46" max="46" width="11.7109375" style="166" bestFit="1" customWidth="1"/>
    <col min="47" max="47" width="14.42578125" style="208" customWidth="1"/>
    <col min="48" max="48" width="10.28515625" style="209" customWidth="1"/>
    <col min="49" max="49" width="10.7109375" style="166" customWidth="1"/>
    <col min="50" max="50" width="14.42578125" style="208" customWidth="1"/>
    <col min="51" max="51" width="10.28515625" style="209" customWidth="1"/>
    <col min="52" max="52" width="10.7109375" style="166" customWidth="1"/>
    <col min="53" max="53" width="14.42578125" style="208" customWidth="1"/>
    <col min="54" max="54" width="10.28515625" style="209" customWidth="1"/>
    <col min="55" max="55" width="10.7109375" style="166" customWidth="1"/>
    <col min="56" max="56" width="14.42578125" style="208" customWidth="1"/>
    <col min="57" max="57" width="10.28515625" style="209" customWidth="1"/>
    <col min="58" max="58" width="10.7109375" style="166" customWidth="1"/>
    <col min="59" max="59" width="14.42578125" style="208" customWidth="1"/>
    <col min="60" max="60" width="10.28515625" style="209" customWidth="1"/>
    <col min="61" max="61" width="10.7109375" style="166" customWidth="1"/>
    <col min="62" max="62" width="14.42578125" style="208" customWidth="1"/>
    <col min="63" max="63" width="10.28515625" style="209" customWidth="1"/>
    <col min="64" max="64" width="10.7109375" style="166" customWidth="1"/>
    <col min="65" max="65" width="14.42578125" style="208" hidden="1" customWidth="1"/>
    <col min="66" max="66" width="10.28515625" style="209" hidden="1" customWidth="1"/>
    <col min="67" max="67" width="10.7109375" style="166" hidden="1" customWidth="1"/>
    <col min="68" max="68" width="14.42578125" style="208" hidden="1" customWidth="1"/>
    <col min="69" max="69" width="10.28515625" style="209" hidden="1" customWidth="1"/>
    <col min="70" max="70" width="10.7109375" style="166" hidden="1" customWidth="1"/>
    <col min="71" max="71" width="14.42578125" style="208" hidden="1" customWidth="1"/>
    <col min="72" max="72" width="10.28515625" style="209" hidden="1" customWidth="1"/>
    <col min="73" max="73" width="10.7109375" style="166" hidden="1" customWidth="1"/>
    <col min="74" max="74" width="14.42578125" style="208" hidden="1" customWidth="1"/>
    <col min="75" max="75" width="10.28515625" style="209" hidden="1" customWidth="1"/>
    <col min="76" max="76" width="10.7109375" style="166" hidden="1" customWidth="1"/>
    <col min="77" max="77" width="14.42578125" style="208" hidden="1" customWidth="1"/>
    <col min="78" max="78" width="10.28515625" style="209" hidden="1" customWidth="1"/>
    <col min="79" max="79" width="10.7109375" style="166" hidden="1" customWidth="1"/>
    <col min="80" max="80" width="14.42578125" style="208" hidden="1" customWidth="1"/>
    <col min="81" max="81" width="10.28515625" style="209" hidden="1" customWidth="1"/>
    <col min="82" max="82" width="10.7109375" style="166" hidden="1" customWidth="1"/>
    <col min="83" max="83" width="14.42578125" style="208" hidden="1" customWidth="1"/>
    <col min="84" max="84" width="10.28515625" style="209" hidden="1" customWidth="1"/>
    <col min="85" max="85" width="10.7109375" style="166" hidden="1" customWidth="1"/>
    <col min="86" max="86" width="14.42578125" style="208" hidden="1" customWidth="1"/>
    <col min="87" max="87" width="10.28515625" style="209" hidden="1" customWidth="1"/>
    <col min="88" max="88" width="10.7109375" style="166" hidden="1" customWidth="1"/>
    <col min="89" max="89" width="14.42578125" style="208" hidden="1" customWidth="1"/>
    <col min="90" max="90" width="10.28515625" style="209" hidden="1" customWidth="1"/>
    <col min="91" max="91" width="10.7109375" style="166" hidden="1" customWidth="1"/>
    <col min="92" max="92" width="14.42578125" style="208" hidden="1" customWidth="1"/>
    <col min="93" max="93" width="10.28515625" style="209" hidden="1" customWidth="1"/>
    <col min="94" max="94" width="10.7109375" style="166" hidden="1" customWidth="1"/>
    <col min="95" max="95" width="14.42578125" style="208" hidden="1" customWidth="1"/>
    <col min="96" max="96" width="10.28515625" style="209" hidden="1" customWidth="1"/>
    <col min="97" max="97" width="10.7109375" style="166" hidden="1" customWidth="1"/>
    <col min="98" max="98" width="14.42578125" style="208" hidden="1" customWidth="1"/>
    <col min="99" max="99" width="10.28515625" style="209" hidden="1" customWidth="1"/>
    <col min="100" max="100" width="10.7109375" style="166" hidden="1" customWidth="1"/>
    <col min="101" max="101" width="14.42578125" style="208" hidden="1" customWidth="1"/>
    <col min="102" max="102" width="10.28515625" style="209" hidden="1" customWidth="1"/>
    <col min="103" max="103" width="10.7109375" style="166" hidden="1" customWidth="1"/>
    <col min="104" max="104" width="14.42578125" style="208" hidden="1" customWidth="1"/>
    <col min="105" max="105" width="10.28515625" style="209" hidden="1" customWidth="1"/>
    <col min="106" max="106" width="10.7109375" style="166" hidden="1" customWidth="1"/>
    <col min="107" max="107" width="14.42578125" style="208" hidden="1" customWidth="1"/>
    <col min="108" max="108" width="10.28515625" style="209" hidden="1" customWidth="1"/>
    <col min="109" max="109" width="10.7109375" style="166" hidden="1" customWidth="1"/>
    <col min="110" max="110" width="14.42578125" style="208" hidden="1" customWidth="1"/>
    <col min="111" max="111" width="10.28515625" style="209" hidden="1" customWidth="1"/>
    <col min="112" max="112" width="10.7109375" style="166" hidden="1" customWidth="1"/>
    <col min="113" max="113" width="14.42578125" style="208" hidden="1" customWidth="1"/>
    <col min="114" max="114" width="10.28515625" style="209" hidden="1" customWidth="1"/>
    <col min="115" max="115" width="10.7109375" style="166" hidden="1" customWidth="1"/>
    <col min="116" max="116" width="14.42578125" style="208" hidden="1" customWidth="1"/>
    <col min="117" max="117" width="10.28515625" style="209" hidden="1" customWidth="1"/>
    <col min="118" max="118" width="10.7109375" style="166" hidden="1" customWidth="1"/>
    <col min="119" max="119" width="14.42578125" style="208" hidden="1" customWidth="1"/>
    <col min="120" max="120" width="10.28515625" style="209" hidden="1" customWidth="1"/>
    <col min="121" max="121" width="10.7109375" style="166" hidden="1" customWidth="1"/>
    <col min="122" max="122" width="14.42578125" style="208" hidden="1" customWidth="1"/>
    <col min="123" max="123" width="10.28515625" style="209" hidden="1" customWidth="1"/>
    <col min="124" max="124" width="10.7109375" style="166" hidden="1" customWidth="1"/>
    <col min="125" max="125" width="14.42578125" style="208" hidden="1" customWidth="1"/>
    <col min="126" max="126" width="10.28515625" style="209" hidden="1" customWidth="1"/>
    <col min="127" max="127" width="10.7109375" style="166" hidden="1" customWidth="1"/>
    <col min="128" max="128" width="14.42578125" style="208" hidden="1" customWidth="1"/>
    <col min="129" max="129" width="10.28515625" style="209" hidden="1" customWidth="1"/>
    <col min="130" max="130" width="10.7109375" style="166" hidden="1" customWidth="1"/>
    <col min="131" max="131" width="2.7109375" style="166" customWidth="1"/>
    <col min="132" max="132" width="18.7109375" style="166" customWidth="1"/>
    <col min="133" max="133" width="15.42578125" style="166" hidden="1" customWidth="1"/>
    <col min="134" max="134" width="14.42578125" style="166" bestFit="1" customWidth="1"/>
    <col min="135" max="135" width="20.140625" style="166" customWidth="1"/>
    <col min="136" max="136" width="2.7109375" style="166" customWidth="1"/>
    <col min="137" max="137" width="15.42578125" style="166" hidden="1" customWidth="1"/>
    <col min="138" max="138" width="14.42578125" style="166" hidden="1" customWidth="1"/>
    <col min="139" max="139" width="12.42578125" style="166" hidden="1" customWidth="1"/>
    <col min="140" max="140" width="2.7109375" style="166" hidden="1" customWidth="1"/>
    <col min="141" max="141" width="18.5703125" style="166" customWidth="1"/>
    <col min="142" max="142" width="15.42578125" style="166" hidden="1" customWidth="1"/>
    <col min="143" max="143" width="14.42578125" style="166" bestFit="1" customWidth="1"/>
    <col min="144" max="144" width="18.42578125" style="166" bestFit="1" customWidth="1"/>
    <col min="145" max="145" width="42.85546875" style="166" bestFit="1" customWidth="1"/>
    <col min="146" max="146" width="19.42578125" style="166" bestFit="1" customWidth="1"/>
    <col min="147" max="147" width="23.140625" style="166" bestFit="1" customWidth="1"/>
    <col min="148" max="16384" width="9.140625" style="166"/>
  </cols>
  <sheetData>
    <row r="1" spans="1:147" s="175" customFormat="1" x14ac:dyDescent="0.25">
      <c r="A1" s="227" t="s">
        <v>0</v>
      </c>
      <c r="B1" s="228"/>
      <c r="C1" s="229"/>
      <c r="E1" s="228"/>
      <c r="F1" s="229"/>
      <c r="H1" s="228"/>
      <c r="I1" s="229"/>
      <c r="K1" s="228"/>
      <c r="L1" s="229"/>
      <c r="N1" s="228"/>
      <c r="O1" s="229"/>
      <c r="Q1" s="228"/>
      <c r="R1" s="229"/>
      <c r="T1" s="228"/>
      <c r="U1" s="229"/>
      <c r="W1" s="228"/>
      <c r="X1" s="229"/>
      <c r="Z1" s="228"/>
      <c r="AA1" s="229"/>
      <c r="AC1" s="228"/>
      <c r="AD1" s="229"/>
      <c r="AF1" s="228"/>
      <c r="AG1" s="229"/>
      <c r="AI1" s="228"/>
      <c r="AJ1" s="229"/>
      <c r="AL1" s="228"/>
      <c r="AM1" s="229"/>
      <c r="AO1" s="228"/>
      <c r="AP1" s="229"/>
      <c r="AR1" s="228"/>
      <c r="AS1" s="229"/>
      <c r="AU1" s="228"/>
      <c r="AV1" s="229"/>
      <c r="AX1" s="228"/>
      <c r="AY1" s="229"/>
      <c r="BA1" s="228"/>
      <c r="BB1" s="229"/>
      <c r="BD1" s="228"/>
      <c r="BE1" s="229"/>
      <c r="BG1" s="228"/>
      <c r="BH1" s="229"/>
      <c r="BJ1" s="228"/>
      <c r="BK1" s="229"/>
      <c r="BM1" s="228"/>
      <c r="BN1" s="229"/>
      <c r="BP1" s="228"/>
      <c r="BQ1" s="229"/>
      <c r="BS1" s="228"/>
      <c r="BT1" s="229"/>
      <c r="BV1" s="228"/>
      <c r="BW1" s="229"/>
      <c r="BY1" s="228"/>
      <c r="BZ1" s="229"/>
      <c r="CB1" s="228"/>
      <c r="CC1" s="229"/>
      <c r="CE1" s="228"/>
      <c r="CF1" s="229"/>
      <c r="CH1" s="228"/>
      <c r="CI1" s="229"/>
      <c r="CK1" s="228"/>
      <c r="CL1" s="229"/>
      <c r="CN1" s="228"/>
      <c r="CO1" s="229"/>
      <c r="CQ1" s="228"/>
      <c r="CR1" s="229"/>
      <c r="CT1" s="228"/>
      <c r="CU1" s="229"/>
      <c r="CW1" s="228"/>
      <c r="CX1" s="229"/>
      <c r="CZ1" s="228"/>
      <c r="DA1" s="229"/>
      <c r="DC1" s="228"/>
      <c r="DD1" s="229"/>
      <c r="DF1" s="228"/>
      <c r="DG1" s="229"/>
      <c r="DI1" s="228"/>
      <c r="DJ1" s="229"/>
      <c r="DL1" s="228"/>
      <c r="DM1" s="229"/>
      <c r="DO1" s="228"/>
      <c r="DP1" s="229"/>
      <c r="DR1" s="228"/>
      <c r="DS1" s="229"/>
      <c r="DU1" s="228"/>
      <c r="DV1" s="229"/>
      <c r="DX1" s="228"/>
      <c r="DY1" s="229"/>
      <c r="DZ1" s="230"/>
      <c r="ED1" s="169"/>
      <c r="EE1" s="231" t="s">
        <v>37</v>
      </c>
      <c r="EI1" s="169" t="s">
        <v>38</v>
      </c>
      <c r="EM1" s="169"/>
      <c r="EN1" s="169" t="s">
        <v>39</v>
      </c>
      <c r="EO1" s="227" t="s">
        <v>40</v>
      </c>
      <c r="EP1" s="227" t="s">
        <v>41</v>
      </c>
      <c r="EQ1" s="227" t="s">
        <v>42</v>
      </c>
    </row>
    <row r="2" spans="1:147" s="175" customFormat="1" ht="15.75" thickBot="1" x14ac:dyDescent="0.3">
      <c r="A2" s="227" t="s">
        <v>43</v>
      </c>
      <c r="B2" s="228"/>
      <c r="C2" s="229"/>
      <c r="E2" s="230"/>
      <c r="F2" s="229"/>
      <c r="G2" s="169"/>
      <c r="H2" s="228"/>
      <c r="I2" s="229"/>
      <c r="K2" s="228"/>
      <c r="L2" s="229"/>
      <c r="N2" s="228"/>
      <c r="O2" s="229"/>
      <c r="Q2" s="228"/>
      <c r="R2" s="229"/>
      <c r="T2" s="228"/>
      <c r="U2" s="229"/>
      <c r="W2" s="228"/>
      <c r="X2" s="229"/>
      <c r="Z2" s="228"/>
      <c r="AA2" s="229"/>
      <c r="AC2" s="228"/>
      <c r="AD2" s="229"/>
      <c r="AF2" s="228"/>
      <c r="AG2" s="229"/>
      <c r="AI2" s="228"/>
      <c r="AJ2" s="229"/>
      <c r="AL2" s="228"/>
      <c r="AM2" s="229"/>
      <c r="AO2" s="228"/>
      <c r="AP2" s="229"/>
      <c r="AR2" s="228"/>
      <c r="AS2" s="229"/>
      <c r="AU2" s="228"/>
      <c r="AV2" s="229"/>
      <c r="AX2" s="228"/>
      <c r="AY2" s="229"/>
      <c r="BA2" s="228"/>
      <c r="BB2" s="229"/>
      <c r="BD2" s="228"/>
      <c r="BE2" s="229"/>
      <c r="BG2" s="228"/>
      <c r="BH2" s="229"/>
      <c r="BJ2" s="228"/>
      <c r="BK2" s="229"/>
      <c r="BM2" s="228"/>
      <c r="BN2" s="229"/>
      <c r="BP2" s="228"/>
      <c r="BQ2" s="229"/>
      <c r="BS2" s="228"/>
      <c r="BT2" s="229"/>
      <c r="BV2" s="228"/>
      <c r="BW2" s="229"/>
      <c r="BY2" s="228"/>
      <c r="BZ2" s="229"/>
      <c r="CB2" s="228"/>
      <c r="CC2" s="229"/>
      <c r="CE2" s="228"/>
      <c r="CF2" s="229"/>
      <c r="CH2" s="228"/>
      <c r="CI2" s="229"/>
      <c r="CK2" s="228"/>
      <c r="CL2" s="229"/>
      <c r="CN2" s="228"/>
      <c r="CO2" s="229"/>
      <c r="CQ2" s="228"/>
      <c r="CR2" s="229"/>
      <c r="CT2" s="228"/>
      <c r="CU2" s="229"/>
      <c r="CW2" s="228"/>
      <c r="CX2" s="229"/>
      <c r="CZ2" s="228"/>
      <c r="DA2" s="229"/>
      <c r="DC2" s="228"/>
      <c r="DD2" s="229"/>
      <c r="DF2" s="228"/>
      <c r="DG2" s="229"/>
      <c r="DI2" s="228"/>
      <c r="DJ2" s="229"/>
      <c r="DL2" s="228"/>
      <c r="DM2" s="229"/>
      <c r="DO2" s="228"/>
      <c r="DP2" s="229"/>
      <c r="DR2" s="228"/>
      <c r="DS2" s="229"/>
      <c r="DU2" s="228"/>
      <c r="DV2" s="229"/>
      <c r="DX2" s="228"/>
      <c r="DY2" s="229"/>
      <c r="EB2" s="166" t="s">
        <v>44</v>
      </c>
      <c r="EC2" s="166"/>
      <c r="ED2" s="208"/>
      <c r="EE2" s="208">
        <f>EB41</f>
        <v>287275000</v>
      </c>
      <c r="EI2" s="208">
        <f>EG40</f>
        <v>0</v>
      </c>
      <c r="EM2" s="208"/>
      <c r="EN2" s="208">
        <f>EK41</f>
        <v>287275000</v>
      </c>
      <c r="EO2" s="232">
        <v>-103326.04</v>
      </c>
      <c r="EP2" s="228">
        <f>EN2+EO2</f>
        <v>287171673.95999998</v>
      </c>
      <c r="EQ2" s="228">
        <f>EE2+EO2</f>
        <v>287171673.95999998</v>
      </c>
    </row>
    <row r="3" spans="1:147" ht="15.75" thickTop="1" x14ac:dyDescent="0.25">
      <c r="A3" s="233" t="s">
        <v>269</v>
      </c>
      <c r="E3" s="234" t="s">
        <v>45</v>
      </c>
      <c r="F3" s="210"/>
      <c r="G3" s="211"/>
      <c r="EB3" s="166" t="s">
        <v>46</v>
      </c>
      <c r="ED3" s="208"/>
      <c r="EE3" s="208">
        <f>AVERAGE(EB11:EB41)</f>
        <v>303012096.77419353</v>
      </c>
      <c r="EI3" s="208">
        <f>AVERAGE(EG11:EG40)</f>
        <v>0</v>
      </c>
      <c r="EM3" s="208"/>
      <c r="EN3" s="208">
        <f>AVERAGE(EK11:EK41)</f>
        <v>303012096.77419353</v>
      </c>
    </row>
    <row r="4" spans="1:147" x14ac:dyDescent="0.25">
      <c r="E4" s="212" t="s">
        <v>44</v>
      </c>
      <c r="F4" s="208"/>
      <c r="G4" s="213">
        <f>EQ2</f>
        <v>287171673.95999998</v>
      </c>
      <c r="AI4" s="227" t="s">
        <v>47</v>
      </c>
      <c r="EB4" s="166" t="s">
        <v>48</v>
      </c>
      <c r="ED4" s="209"/>
      <c r="EE4" s="209">
        <f>IF(EE3=0,0,360*(AVERAGE(ED11:ED41)/EE3))</f>
        <v>4.5683685576270491E-2</v>
      </c>
      <c r="EI4" s="209">
        <f>IF(EI3=0,0,360*(AVERAGE(EH11:EH40)/EI3))</f>
        <v>0</v>
      </c>
      <c r="EM4" s="209"/>
      <c r="EN4" s="209">
        <f>IF(EN3=0,0,360*(AVERAGE(EM11:EM41)/EN3))</f>
        <v>4.5683685576270491E-2</v>
      </c>
      <c r="EO4" s="175" t="s">
        <v>239</v>
      </c>
      <c r="EQ4" s="169" t="s">
        <v>47</v>
      </c>
    </row>
    <row r="5" spans="1:147" x14ac:dyDescent="0.25">
      <c r="E5" s="212" t="s">
        <v>46</v>
      </c>
      <c r="F5" s="208"/>
      <c r="G5" s="213">
        <f>EE3</f>
        <v>303012096.77419353</v>
      </c>
      <c r="AI5" s="235" t="s">
        <v>39</v>
      </c>
      <c r="EB5" s="166" t="s">
        <v>49</v>
      </c>
      <c r="ED5" s="208"/>
      <c r="EE5" s="208">
        <f>MAX(EB11:EB41)</f>
        <v>404400000</v>
      </c>
      <c r="EI5" s="208">
        <f>MAX(EG11:EG40)</f>
        <v>0</v>
      </c>
      <c r="EM5" s="208"/>
      <c r="EN5" s="208">
        <f>MAX(EK11:EK41)</f>
        <v>404400000</v>
      </c>
      <c r="EO5" s="166" t="s">
        <v>240</v>
      </c>
    </row>
    <row r="6" spans="1:147" x14ac:dyDescent="0.25">
      <c r="E6" s="212" t="s">
        <v>48</v>
      </c>
      <c r="F6" s="208"/>
      <c r="G6" s="214">
        <f>EE4</f>
        <v>4.5683685576270491E-2</v>
      </c>
    </row>
    <row r="7" spans="1:147" ht="15.75" thickBot="1" x14ac:dyDescent="0.3">
      <c r="E7" s="215" t="s">
        <v>49</v>
      </c>
      <c r="F7" s="216"/>
      <c r="G7" s="217">
        <f>EE5</f>
        <v>404400000</v>
      </c>
      <c r="AI7" s="235" t="s">
        <v>39</v>
      </c>
      <c r="EB7" s="236" t="s">
        <v>50</v>
      </c>
      <c r="EC7" s="236"/>
      <c r="ED7" s="218"/>
      <c r="EE7" s="218"/>
      <c r="EG7" s="236" t="s">
        <v>51</v>
      </c>
      <c r="EH7" s="218"/>
      <c r="EI7" s="218"/>
      <c r="EJ7" s="165"/>
      <c r="EK7" s="236" t="s">
        <v>52</v>
      </c>
      <c r="EL7" s="236"/>
      <c r="EM7" s="218"/>
      <c r="EN7" s="218"/>
    </row>
    <row r="8" spans="1:147" ht="15.75" thickTop="1" x14ac:dyDescent="0.25">
      <c r="AI8" s="230" t="s">
        <v>53</v>
      </c>
      <c r="AL8" s="230" t="s">
        <v>53</v>
      </c>
      <c r="AO8" s="230" t="s">
        <v>53</v>
      </c>
      <c r="AR8" s="230" t="s">
        <v>53</v>
      </c>
      <c r="AU8" s="230" t="s">
        <v>53</v>
      </c>
      <c r="AX8" s="230" t="s">
        <v>53</v>
      </c>
      <c r="BA8" s="230" t="s">
        <v>53</v>
      </c>
      <c r="BD8" s="230" t="s">
        <v>53</v>
      </c>
      <c r="BG8" s="230" t="s">
        <v>53</v>
      </c>
      <c r="BJ8" s="230" t="s">
        <v>53</v>
      </c>
      <c r="BM8" s="230" t="s">
        <v>53</v>
      </c>
      <c r="BP8" s="230" t="s">
        <v>53</v>
      </c>
      <c r="BS8" s="230" t="s">
        <v>53</v>
      </c>
      <c r="BV8" s="230" t="s">
        <v>53</v>
      </c>
      <c r="BY8" s="230" t="s">
        <v>53</v>
      </c>
      <c r="CB8" s="230" t="s">
        <v>53</v>
      </c>
      <c r="CE8" s="230" t="s">
        <v>53</v>
      </c>
      <c r="CH8" s="230" t="s">
        <v>53</v>
      </c>
      <c r="CK8" s="230" t="s">
        <v>53</v>
      </c>
      <c r="CN8" s="230" t="s">
        <v>53</v>
      </c>
      <c r="CQ8" s="230" t="s">
        <v>53</v>
      </c>
      <c r="CT8" s="230" t="s">
        <v>53</v>
      </c>
      <c r="CW8" s="230" t="s">
        <v>53</v>
      </c>
      <c r="CZ8" s="230" t="s">
        <v>53</v>
      </c>
      <c r="DC8" s="230" t="s">
        <v>53</v>
      </c>
      <c r="DF8" s="230" t="s">
        <v>53</v>
      </c>
      <c r="DI8" s="230" t="s">
        <v>53</v>
      </c>
      <c r="DL8" s="230" t="s">
        <v>53</v>
      </c>
      <c r="DO8" s="230" t="s">
        <v>53</v>
      </c>
      <c r="DR8" s="230" t="s">
        <v>53</v>
      </c>
      <c r="EB8" s="219"/>
      <c r="EC8" s="219"/>
      <c r="ED8" s="219"/>
      <c r="EE8" s="219" t="s">
        <v>54</v>
      </c>
      <c r="EG8" s="219"/>
      <c r="EH8" s="237" t="s">
        <v>38</v>
      </c>
      <c r="EI8" s="219" t="s">
        <v>54</v>
      </c>
      <c r="EJ8" s="219"/>
      <c r="EK8" s="169" t="s">
        <v>55</v>
      </c>
      <c r="EL8" s="169" t="s">
        <v>56</v>
      </c>
      <c r="EM8" s="237" t="s">
        <v>57</v>
      </c>
      <c r="EN8" s="219" t="s">
        <v>54</v>
      </c>
    </row>
    <row r="9" spans="1:147" x14ac:dyDescent="0.25">
      <c r="B9" s="220" t="s">
        <v>58</v>
      </c>
      <c r="C9" s="221"/>
      <c r="D9" s="218"/>
      <c r="E9" s="220" t="s">
        <v>59</v>
      </c>
      <c r="F9" s="221"/>
      <c r="G9" s="218"/>
      <c r="H9" s="220" t="s">
        <v>60</v>
      </c>
      <c r="I9" s="221"/>
      <c r="J9" s="218"/>
      <c r="K9" s="220" t="s">
        <v>61</v>
      </c>
      <c r="L9" s="221"/>
      <c r="M9" s="218"/>
      <c r="N9" s="220" t="s">
        <v>62</v>
      </c>
      <c r="O9" s="221"/>
      <c r="P9" s="218"/>
      <c r="Q9" s="220" t="s">
        <v>63</v>
      </c>
      <c r="R9" s="221"/>
      <c r="S9" s="218"/>
      <c r="T9" s="220" t="s">
        <v>64</v>
      </c>
      <c r="U9" s="221"/>
      <c r="V9" s="218"/>
      <c r="W9" s="220" t="s">
        <v>65</v>
      </c>
      <c r="X9" s="221"/>
      <c r="Y9" s="218"/>
      <c r="Z9" s="220" t="s">
        <v>66</v>
      </c>
      <c r="AA9" s="221"/>
      <c r="AB9" s="218"/>
      <c r="AC9" s="238" t="s">
        <v>67</v>
      </c>
      <c r="AD9" s="221"/>
      <c r="AE9" s="218"/>
      <c r="AF9" s="238" t="s">
        <v>68</v>
      </c>
      <c r="AG9" s="221"/>
      <c r="AH9" s="218"/>
      <c r="AI9" s="220" t="s">
        <v>69</v>
      </c>
      <c r="AJ9" s="221"/>
      <c r="AK9" s="218"/>
      <c r="AL9" s="220" t="s">
        <v>70</v>
      </c>
      <c r="AM9" s="221"/>
      <c r="AN9" s="218"/>
      <c r="AO9" s="220" t="s">
        <v>71</v>
      </c>
      <c r="AP9" s="221"/>
      <c r="AQ9" s="218"/>
      <c r="AR9" s="220" t="s">
        <v>72</v>
      </c>
      <c r="AS9" s="221"/>
      <c r="AT9" s="218"/>
      <c r="AU9" s="220" t="s">
        <v>73</v>
      </c>
      <c r="AV9" s="221"/>
      <c r="AW9" s="218"/>
      <c r="AX9" s="220" t="s">
        <v>74</v>
      </c>
      <c r="AY9" s="221"/>
      <c r="AZ9" s="218"/>
      <c r="BA9" s="220" t="s">
        <v>75</v>
      </c>
      <c r="BB9" s="221"/>
      <c r="BC9" s="218"/>
      <c r="BD9" s="220" t="s">
        <v>76</v>
      </c>
      <c r="BE9" s="221"/>
      <c r="BF9" s="218"/>
      <c r="BG9" s="220" t="s">
        <v>77</v>
      </c>
      <c r="BH9" s="221"/>
      <c r="BI9" s="218"/>
      <c r="BJ9" s="220" t="s">
        <v>78</v>
      </c>
      <c r="BK9" s="221"/>
      <c r="BL9" s="218"/>
      <c r="BM9" s="220" t="s">
        <v>79</v>
      </c>
      <c r="BN9" s="221"/>
      <c r="BO9" s="218"/>
      <c r="BP9" s="220" t="s">
        <v>80</v>
      </c>
      <c r="BQ9" s="221"/>
      <c r="BR9" s="218"/>
      <c r="BS9" s="220" t="s">
        <v>81</v>
      </c>
      <c r="BT9" s="221"/>
      <c r="BU9" s="218"/>
      <c r="BV9" s="220" t="s">
        <v>82</v>
      </c>
      <c r="BW9" s="221"/>
      <c r="BX9" s="218"/>
      <c r="BY9" s="220" t="s">
        <v>83</v>
      </c>
      <c r="BZ9" s="221"/>
      <c r="CA9" s="218"/>
      <c r="CB9" s="220" t="s">
        <v>84</v>
      </c>
      <c r="CC9" s="221"/>
      <c r="CD9" s="218"/>
      <c r="CE9" s="220" t="s">
        <v>85</v>
      </c>
      <c r="CF9" s="221"/>
      <c r="CG9" s="218"/>
      <c r="CH9" s="220" t="s">
        <v>86</v>
      </c>
      <c r="CI9" s="221"/>
      <c r="CJ9" s="218"/>
      <c r="CK9" s="220" t="s">
        <v>87</v>
      </c>
      <c r="CL9" s="221"/>
      <c r="CM9" s="218"/>
      <c r="CN9" s="220" t="s">
        <v>88</v>
      </c>
      <c r="CO9" s="221"/>
      <c r="CP9" s="218"/>
      <c r="CQ9" s="220" t="s">
        <v>89</v>
      </c>
      <c r="CR9" s="221"/>
      <c r="CS9" s="218"/>
      <c r="CT9" s="220" t="s">
        <v>90</v>
      </c>
      <c r="CU9" s="221"/>
      <c r="CV9" s="218"/>
      <c r="CW9" s="220" t="s">
        <v>91</v>
      </c>
      <c r="CX9" s="221"/>
      <c r="CY9" s="218"/>
      <c r="CZ9" s="220" t="s">
        <v>92</v>
      </c>
      <c r="DA9" s="221"/>
      <c r="DB9" s="218"/>
      <c r="DC9" s="220" t="s">
        <v>93</v>
      </c>
      <c r="DD9" s="221"/>
      <c r="DE9" s="218"/>
      <c r="DF9" s="220" t="s">
        <v>94</v>
      </c>
      <c r="DG9" s="221"/>
      <c r="DH9" s="218"/>
      <c r="DI9" s="220" t="s">
        <v>95</v>
      </c>
      <c r="DJ9" s="221"/>
      <c r="DK9" s="218"/>
      <c r="DL9" s="220" t="s">
        <v>96</v>
      </c>
      <c r="DM9" s="221"/>
      <c r="DN9" s="218"/>
      <c r="DO9" s="220" t="s">
        <v>97</v>
      </c>
      <c r="DP9" s="221"/>
      <c r="DQ9" s="218"/>
      <c r="DR9" s="220" t="s">
        <v>98</v>
      </c>
      <c r="DS9" s="221"/>
      <c r="DT9" s="218"/>
      <c r="DU9" s="220" t="s">
        <v>99</v>
      </c>
      <c r="DV9" s="221"/>
      <c r="DW9" s="218"/>
      <c r="DX9" s="239" t="s">
        <v>100</v>
      </c>
      <c r="DY9" s="221"/>
      <c r="DZ9" s="218"/>
      <c r="EA9" s="165"/>
      <c r="EB9" s="169" t="s">
        <v>101</v>
      </c>
      <c r="EC9" s="169" t="s">
        <v>102</v>
      </c>
      <c r="ED9" s="219" t="s">
        <v>103</v>
      </c>
      <c r="EE9" s="219" t="s">
        <v>104</v>
      </c>
      <c r="EG9" s="237" t="s">
        <v>105</v>
      </c>
      <c r="EH9" s="219" t="s">
        <v>103</v>
      </c>
      <c r="EI9" s="219" t="s">
        <v>104</v>
      </c>
      <c r="EJ9" s="219"/>
      <c r="EK9" s="237" t="s">
        <v>57</v>
      </c>
      <c r="EL9" s="237" t="s">
        <v>57</v>
      </c>
      <c r="EM9" s="219" t="s">
        <v>103</v>
      </c>
      <c r="EN9" s="219" t="s">
        <v>104</v>
      </c>
    </row>
    <row r="10" spans="1:147" x14ac:dyDescent="0.25">
      <c r="A10" s="219" t="s">
        <v>106</v>
      </c>
      <c r="B10" s="240" t="s">
        <v>107</v>
      </c>
      <c r="C10" s="241" t="s">
        <v>108</v>
      </c>
      <c r="D10" s="242" t="s">
        <v>12</v>
      </c>
      <c r="E10" s="240" t="s">
        <v>107</v>
      </c>
      <c r="F10" s="241" t="s">
        <v>108</v>
      </c>
      <c r="G10" s="242" t="s">
        <v>12</v>
      </c>
      <c r="H10" s="240" t="s">
        <v>107</v>
      </c>
      <c r="I10" s="241" t="s">
        <v>108</v>
      </c>
      <c r="J10" s="242" t="s">
        <v>12</v>
      </c>
      <c r="K10" s="240" t="s">
        <v>107</v>
      </c>
      <c r="L10" s="241" t="s">
        <v>108</v>
      </c>
      <c r="M10" s="242" t="s">
        <v>12</v>
      </c>
      <c r="N10" s="240" t="s">
        <v>107</v>
      </c>
      <c r="O10" s="241" t="s">
        <v>108</v>
      </c>
      <c r="P10" s="242" t="s">
        <v>12</v>
      </c>
      <c r="Q10" s="240" t="s">
        <v>107</v>
      </c>
      <c r="R10" s="241" t="s">
        <v>108</v>
      </c>
      <c r="S10" s="242" t="s">
        <v>12</v>
      </c>
      <c r="T10" s="240" t="s">
        <v>107</v>
      </c>
      <c r="U10" s="241" t="s">
        <v>108</v>
      </c>
      <c r="V10" s="242" t="s">
        <v>12</v>
      </c>
      <c r="W10" s="240" t="s">
        <v>107</v>
      </c>
      <c r="X10" s="241" t="s">
        <v>108</v>
      </c>
      <c r="Y10" s="242" t="s">
        <v>12</v>
      </c>
      <c r="Z10" s="240" t="s">
        <v>107</v>
      </c>
      <c r="AA10" s="241" t="s">
        <v>108</v>
      </c>
      <c r="AB10" s="242" t="s">
        <v>12</v>
      </c>
      <c r="AC10" s="240" t="s">
        <v>107</v>
      </c>
      <c r="AD10" s="241" t="s">
        <v>108</v>
      </c>
      <c r="AE10" s="242" t="s">
        <v>12</v>
      </c>
      <c r="AF10" s="240" t="s">
        <v>107</v>
      </c>
      <c r="AG10" s="241" t="s">
        <v>108</v>
      </c>
      <c r="AH10" s="242" t="s">
        <v>12</v>
      </c>
      <c r="AI10" s="240" t="s">
        <v>107</v>
      </c>
      <c r="AJ10" s="241" t="s">
        <v>108</v>
      </c>
      <c r="AK10" s="242" t="s">
        <v>12</v>
      </c>
      <c r="AL10" s="240" t="s">
        <v>107</v>
      </c>
      <c r="AM10" s="241" t="s">
        <v>108</v>
      </c>
      <c r="AN10" s="242" t="s">
        <v>12</v>
      </c>
      <c r="AO10" s="240" t="s">
        <v>107</v>
      </c>
      <c r="AP10" s="241" t="s">
        <v>108</v>
      </c>
      <c r="AQ10" s="242" t="s">
        <v>12</v>
      </c>
      <c r="AR10" s="240" t="s">
        <v>107</v>
      </c>
      <c r="AS10" s="241" t="s">
        <v>108</v>
      </c>
      <c r="AT10" s="242" t="s">
        <v>12</v>
      </c>
      <c r="AU10" s="240" t="s">
        <v>107</v>
      </c>
      <c r="AV10" s="241" t="s">
        <v>108</v>
      </c>
      <c r="AW10" s="242" t="s">
        <v>12</v>
      </c>
      <c r="AX10" s="240" t="s">
        <v>107</v>
      </c>
      <c r="AY10" s="241" t="s">
        <v>108</v>
      </c>
      <c r="AZ10" s="242" t="s">
        <v>12</v>
      </c>
      <c r="BA10" s="240" t="s">
        <v>107</v>
      </c>
      <c r="BB10" s="241" t="s">
        <v>108</v>
      </c>
      <c r="BC10" s="242" t="s">
        <v>12</v>
      </c>
      <c r="BD10" s="240" t="s">
        <v>107</v>
      </c>
      <c r="BE10" s="241" t="s">
        <v>108</v>
      </c>
      <c r="BF10" s="242" t="s">
        <v>12</v>
      </c>
      <c r="BG10" s="240" t="s">
        <v>107</v>
      </c>
      <c r="BH10" s="241" t="s">
        <v>108</v>
      </c>
      <c r="BI10" s="242" t="s">
        <v>12</v>
      </c>
      <c r="BJ10" s="240" t="s">
        <v>107</v>
      </c>
      <c r="BK10" s="241" t="s">
        <v>108</v>
      </c>
      <c r="BL10" s="242" t="s">
        <v>12</v>
      </c>
      <c r="BM10" s="240" t="s">
        <v>107</v>
      </c>
      <c r="BN10" s="241" t="s">
        <v>108</v>
      </c>
      <c r="BO10" s="242" t="s">
        <v>12</v>
      </c>
      <c r="BP10" s="240" t="s">
        <v>107</v>
      </c>
      <c r="BQ10" s="241" t="s">
        <v>108</v>
      </c>
      <c r="BR10" s="242" t="s">
        <v>12</v>
      </c>
      <c r="BS10" s="240" t="s">
        <v>107</v>
      </c>
      <c r="BT10" s="241" t="s">
        <v>108</v>
      </c>
      <c r="BU10" s="242" t="s">
        <v>12</v>
      </c>
      <c r="BV10" s="240" t="s">
        <v>107</v>
      </c>
      <c r="BW10" s="241" t="s">
        <v>108</v>
      </c>
      <c r="BX10" s="242" t="s">
        <v>12</v>
      </c>
      <c r="BY10" s="240" t="s">
        <v>107</v>
      </c>
      <c r="BZ10" s="241" t="s">
        <v>108</v>
      </c>
      <c r="CA10" s="242" t="s">
        <v>12</v>
      </c>
      <c r="CB10" s="240" t="s">
        <v>107</v>
      </c>
      <c r="CC10" s="241" t="s">
        <v>108</v>
      </c>
      <c r="CD10" s="242" t="s">
        <v>12</v>
      </c>
      <c r="CE10" s="240" t="s">
        <v>107</v>
      </c>
      <c r="CF10" s="241" t="s">
        <v>108</v>
      </c>
      <c r="CG10" s="242" t="s">
        <v>12</v>
      </c>
      <c r="CH10" s="240" t="s">
        <v>107</v>
      </c>
      <c r="CI10" s="241" t="s">
        <v>108</v>
      </c>
      <c r="CJ10" s="242" t="s">
        <v>12</v>
      </c>
      <c r="CK10" s="240" t="s">
        <v>107</v>
      </c>
      <c r="CL10" s="241" t="s">
        <v>108</v>
      </c>
      <c r="CM10" s="242" t="s">
        <v>12</v>
      </c>
      <c r="CN10" s="240" t="s">
        <v>107</v>
      </c>
      <c r="CO10" s="241" t="s">
        <v>108</v>
      </c>
      <c r="CP10" s="242" t="s">
        <v>12</v>
      </c>
      <c r="CQ10" s="240" t="s">
        <v>107</v>
      </c>
      <c r="CR10" s="241" t="s">
        <v>108</v>
      </c>
      <c r="CS10" s="242" t="s">
        <v>12</v>
      </c>
      <c r="CT10" s="240" t="s">
        <v>107</v>
      </c>
      <c r="CU10" s="241" t="s">
        <v>108</v>
      </c>
      <c r="CV10" s="242" t="s">
        <v>12</v>
      </c>
      <c r="CW10" s="240" t="s">
        <v>107</v>
      </c>
      <c r="CX10" s="241" t="s">
        <v>108</v>
      </c>
      <c r="CY10" s="242" t="s">
        <v>12</v>
      </c>
      <c r="CZ10" s="240" t="s">
        <v>107</v>
      </c>
      <c r="DA10" s="241" t="s">
        <v>108</v>
      </c>
      <c r="DB10" s="242" t="s">
        <v>12</v>
      </c>
      <c r="DC10" s="240" t="s">
        <v>107</v>
      </c>
      <c r="DD10" s="241" t="s">
        <v>108</v>
      </c>
      <c r="DE10" s="242" t="s">
        <v>12</v>
      </c>
      <c r="DF10" s="240" t="s">
        <v>107</v>
      </c>
      <c r="DG10" s="241" t="s">
        <v>108</v>
      </c>
      <c r="DH10" s="242" t="s">
        <v>12</v>
      </c>
      <c r="DI10" s="240" t="s">
        <v>107</v>
      </c>
      <c r="DJ10" s="241" t="s">
        <v>108</v>
      </c>
      <c r="DK10" s="242" t="s">
        <v>12</v>
      </c>
      <c r="DL10" s="240" t="s">
        <v>107</v>
      </c>
      <c r="DM10" s="241" t="s">
        <v>108</v>
      </c>
      <c r="DN10" s="242" t="s">
        <v>12</v>
      </c>
      <c r="DO10" s="240" t="s">
        <v>107</v>
      </c>
      <c r="DP10" s="241" t="s">
        <v>108</v>
      </c>
      <c r="DQ10" s="242" t="s">
        <v>12</v>
      </c>
      <c r="DR10" s="240" t="s">
        <v>107</v>
      </c>
      <c r="DS10" s="241" t="s">
        <v>108</v>
      </c>
      <c r="DT10" s="242" t="s">
        <v>12</v>
      </c>
      <c r="DU10" s="240" t="s">
        <v>107</v>
      </c>
      <c r="DV10" s="241" t="s">
        <v>108</v>
      </c>
      <c r="DW10" s="242" t="s">
        <v>12</v>
      </c>
      <c r="DX10" s="240" t="s">
        <v>107</v>
      </c>
      <c r="DY10" s="241"/>
      <c r="DZ10" s="242"/>
      <c r="EA10" s="242"/>
      <c r="EB10" s="242" t="s">
        <v>109</v>
      </c>
      <c r="EC10" s="242" t="s">
        <v>109</v>
      </c>
      <c r="ED10" s="242" t="s">
        <v>12</v>
      </c>
      <c r="EE10" s="242" t="s">
        <v>108</v>
      </c>
      <c r="EG10" s="242" t="s">
        <v>109</v>
      </c>
      <c r="EH10" s="242" t="s">
        <v>12</v>
      </c>
      <c r="EI10" s="242" t="s">
        <v>108</v>
      </c>
      <c r="EJ10" s="242"/>
      <c r="EK10" s="242" t="s">
        <v>109</v>
      </c>
      <c r="EL10" s="242" t="s">
        <v>109</v>
      </c>
      <c r="EM10" s="242" t="s">
        <v>12</v>
      </c>
      <c r="EN10" s="242" t="s">
        <v>108</v>
      </c>
    </row>
    <row r="11" spans="1:147" x14ac:dyDescent="0.25">
      <c r="A11" s="222">
        <v>45870</v>
      </c>
      <c r="B11" s="208">
        <v>0</v>
      </c>
      <c r="C11" s="209">
        <v>4.5932609999999999E-2</v>
      </c>
      <c r="D11" s="208">
        <f>(B11*C11)/360</f>
        <v>0</v>
      </c>
      <c r="G11" s="208">
        <f>(E11*F11)/360</f>
        <v>0</v>
      </c>
      <c r="J11" s="208">
        <f>(H11*I11)/360</f>
        <v>0</v>
      </c>
      <c r="M11" s="208">
        <f>(K11*L11)/360</f>
        <v>0</v>
      </c>
      <c r="P11" s="208">
        <f>(N11*O11)/360</f>
        <v>0</v>
      </c>
      <c r="S11" s="208">
        <f>(Q11*R11)/360</f>
        <v>0</v>
      </c>
      <c r="V11" s="208">
        <f>(T11*U11)/360</f>
        <v>0</v>
      </c>
      <c r="Y11" s="208">
        <f>(W11*X11)/360</f>
        <v>0</v>
      </c>
      <c r="AB11" s="208">
        <f>(Z11*AA11)/360</f>
        <v>0</v>
      </c>
      <c r="AE11" s="208">
        <v>0</v>
      </c>
      <c r="AH11" s="208">
        <v>0</v>
      </c>
      <c r="AI11" s="223">
        <f>60000000+65000000+42050000</f>
        <v>167050000</v>
      </c>
      <c r="AJ11" s="224">
        <v>4.5100000000000001E-2</v>
      </c>
      <c r="AK11" s="208">
        <f>(AI11*AJ11)/360</f>
        <v>20927.652777777777</v>
      </c>
      <c r="AL11" s="223">
        <f>33905000+66095000+40000000</f>
        <v>140000000</v>
      </c>
      <c r="AM11" s="224">
        <v>4.5999999999999999E-2</v>
      </c>
      <c r="AN11" s="208">
        <f>(AL11*AM11)/360</f>
        <v>17888.888888888891</v>
      </c>
      <c r="AO11" s="223">
        <f t="shared" ref="AO11:AO16" si="0">50000000+40000000</f>
        <v>90000000</v>
      </c>
      <c r="AP11" s="224">
        <v>4.6300000000000001E-2</v>
      </c>
      <c r="AQ11" s="208">
        <f>(AO11*AP11)/360</f>
        <v>11575</v>
      </c>
      <c r="AR11" s="223"/>
      <c r="AS11" s="224"/>
      <c r="AT11" s="208">
        <f>(AR11*AS11)/360</f>
        <v>0</v>
      </c>
      <c r="AW11" s="208">
        <f>(AU11*AV11)/360</f>
        <v>0</v>
      </c>
      <c r="AZ11" s="208">
        <f>(AX11*AY11)/360</f>
        <v>0</v>
      </c>
      <c r="BC11" s="208">
        <f>(BA11*BB11)/360</f>
        <v>0</v>
      </c>
      <c r="BF11" s="208">
        <f>(BD11*BE11)/360</f>
        <v>0</v>
      </c>
      <c r="BI11" s="208">
        <f>(BG11*BH11)/360</f>
        <v>0</v>
      </c>
      <c r="BL11" s="208">
        <f>(BJ11*BK11)/360</f>
        <v>0</v>
      </c>
      <c r="BO11" s="208">
        <f>(BM11*BN11)/360</f>
        <v>0</v>
      </c>
      <c r="BR11" s="208">
        <f>(BP11*BQ11)/360</f>
        <v>0</v>
      </c>
      <c r="BU11" s="208">
        <f>(BS11*BT11)/360</f>
        <v>0</v>
      </c>
      <c r="BX11" s="208">
        <f>(BV11*BW11)/360</f>
        <v>0</v>
      </c>
      <c r="CA11" s="208">
        <f>(BY11*BZ11)/360</f>
        <v>0</v>
      </c>
      <c r="CD11" s="208">
        <f>(CB11*CC11)/360</f>
        <v>0</v>
      </c>
      <c r="CG11" s="208">
        <f>(CE11*CF11)/360</f>
        <v>0</v>
      </c>
      <c r="CJ11" s="208">
        <f>(CH11*CI11)/360</f>
        <v>0</v>
      </c>
      <c r="CM11" s="208">
        <f>(CK11*CL11)/360</f>
        <v>0</v>
      </c>
      <c r="CP11" s="208">
        <f>(CN11*CO11)/360</f>
        <v>0</v>
      </c>
      <c r="CS11" s="208">
        <f>(CQ11*CR11)/360</f>
        <v>0</v>
      </c>
      <c r="CV11" s="208">
        <f>(CT11*CU11)/360</f>
        <v>0</v>
      </c>
      <c r="CY11" s="208">
        <f>(CW11*CX11)/360</f>
        <v>0</v>
      </c>
      <c r="DB11" s="208">
        <f>(CZ11*DA11)/360</f>
        <v>0</v>
      </c>
      <c r="DE11" s="208">
        <f>(DC11*DD11)/360</f>
        <v>0</v>
      </c>
      <c r="DH11" s="208">
        <f>(DF11*DG11)/360</f>
        <v>0</v>
      </c>
      <c r="DK11" s="208">
        <f>(DI11*DJ11)/360</f>
        <v>0</v>
      </c>
      <c r="DN11" s="208">
        <f>(DL11*DM11)/360</f>
        <v>0</v>
      </c>
      <c r="DQ11" s="208">
        <f>(DO11*DP11)/360</f>
        <v>0</v>
      </c>
      <c r="DT11" s="208">
        <f>(DR11*DS11)/360</f>
        <v>0</v>
      </c>
      <c r="DW11" s="208">
        <f>(DU11*DV11)/360</f>
        <v>0</v>
      </c>
      <c r="DZ11" s="208"/>
      <c r="EA11" s="208"/>
      <c r="EB11" s="228">
        <f>B11+E11+H11+K11+N11+Q11+T11+W11+Z11+AC11+AF11+AL11+AO11+AR11+AU11+AX11+BA11+BD11+BG11+DU11+AI11+DR11+DO11+DL11+DI11+DF11+DC11+CZ11+CW11+CT11+CQ11+CN11+CK11+CH11+CE11+CB11+BY11+BV11+BS11+BP11+BM11+BJ11</f>
        <v>397050000</v>
      </c>
      <c r="EC11" s="228">
        <f>EB11-EK11+EL11</f>
        <v>0</v>
      </c>
      <c r="ED11" s="208">
        <f>D11+G11+J11+M11+P11+S11+V11+Y11+AB11+AE11+AH11+AK11+AN11+AQ11+AT11+AW11+AZ11+BC11+BF11+BI11+DW11+DT11+DQ11+DN11+DK11+DH11+DE11+DB11+CY11+CV11+CS11+CP11+CM11+CJ11+CG11+CD11+CA11+BX11+BU11+BR11+BO11+BL11</f>
        <v>50391.541666666672</v>
      </c>
      <c r="EE11" s="209">
        <f>IF(EB11&lt;&gt;0,((ED11/EB11)*360),0)</f>
        <v>4.5689346429920667E-2</v>
      </c>
      <c r="EG11" s="228">
        <f>Q11+T11+W11+Z11+AC11+AF11</f>
        <v>0</v>
      </c>
      <c r="EH11" s="208">
        <f>S11+V11+Y11+AB11+AE11+AH11</f>
        <v>0</v>
      </c>
      <c r="EI11" s="209">
        <f>IF(EG11&lt;&gt;0,((EH11/EG11)*360),0)</f>
        <v>0</v>
      </c>
      <c r="EJ11" s="209"/>
      <c r="EK11" s="228">
        <f>DR11+DL11+DI11+DF11+DC11+CZ11+CW11+CT11+CQ11+CN11+CK11+CH11+CE11+CB11+BY11+BV11+BS11+BP11+BM11+BJ11+BG11+BD11+BA11+AX11+AU11+AR11+AO11+AL11+AI11+DO11</f>
        <v>397050000</v>
      </c>
      <c r="EL11" s="228">
        <f>DX11</f>
        <v>0</v>
      </c>
      <c r="EM11" s="228">
        <f>DT11+DQ11+DN11+DK11+DH11+DE11+DB11+CY11+CV11+CS11+CP11+CM11+CJ11+CG11+CD11+CA11+BX11+BU11+BR11+BO11+BL11+BI11+BF11+BC11+AZ11+AW11+AT11+AQ11+AN11+AK11</f>
        <v>50391.541666666672</v>
      </c>
      <c r="EN11" s="209">
        <f>IF(EK11&lt;&gt;0,((EM11/EK11)*360),0)</f>
        <v>4.5689346429920667E-2</v>
      </c>
      <c r="EP11" s="208"/>
    </row>
    <row r="12" spans="1:147" x14ac:dyDescent="0.25">
      <c r="A12" s="222">
        <f>1+A11</f>
        <v>45871</v>
      </c>
      <c r="B12" s="208">
        <v>0</v>
      </c>
      <c r="C12" s="209">
        <v>4.5932609999999999E-2</v>
      </c>
      <c r="D12" s="208">
        <f t="shared" ref="D12:D41" si="1">(B12*C12)/360</f>
        <v>0</v>
      </c>
      <c r="G12" s="208">
        <f t="shared" ref="G12:G41" si="2">(E12*F12)/360</f>
        <v>0</v>
      </c>
      <c r="J12" s="208">
        <f t="shared" ref="J12:J41" si="3">(H12*I12)/360</f>
        <v>0</v>
      </c>
      <c r="M12" s="208">
        <f t="shared" ref="M12:M41" si="4">(K12*L12)/360</f>
        <v>0</v>
      </c>
      <c r="P12" s="208">
        <f t="shared" ref="P12:P41" si="5">(N12*O12)/360</f>
        <v>0</v>
      </c>
      <c r="S12" s="208">
        <f t="shared" ref="S12:S41" si="6">(Q12*R12)/360</f>
        <v>0</v>
      </c>
      <c r="V12" s="208">
        <f t="shared" ref="V12:V41" si="7">(T12*U12)/360</f>
        <v>0</v>
      </c>
      <c r="Y12" s="208">
        <f t="shared" ref="Y12:Y41" si="8">(W12*X12)/360</f>
        <v>0</v>
      </c>
      <c r="AB12" s="208">
        <f t="shared" ref="AB12:AB41" si="9">(Z12*AA12)/360</f>
        <v>0</v>
      </c>
      <c r="AE12" s="208">
        <v>0</v>
      </c>
      <c r="AH12" s="208">
        <v>0</v>
      </c>
      <c r="AI12" s="223">
        <f>60000000+65000000+42050000</f>
        <v>167050000</v>
      </c>
      <c r="AJ12" s="224">
        <v>4.5100000000000001E-2</v>
      </c>
      <c r="AK12" s="208">
        <f t="shared" ref="AK12:AK41" si="10">(AI12*AJ12)/360</f>
        <v>20927.652777777777</v>
      </c>
      <c r="AL12" s="223">
        <f>33905000+66095000+40000000</f>
        <v>140000000</v>
      </c>
      <c r="AM12" s="224">
        <v>4.5999999999999999E-2</v>
      </c>
      <c r="AN12" s="208">
        <f t="shared" ref="AN12:AN41" si="11">(AL12*AM12)/360</f>
        <v>17888.888888888891</v>
      </c>
      <c r="AO12" s="223">
        <f t="shared" si="0"/>
        <v>90000000</v>
      </c>
      <c r="AP12" s="224">
        <v>4.6300000000000001E-2</v>
      </c>
      <c r="AQ12" s="208">
        <f t="shared" ref="AQ12:AQ41" si="12">(AO12*AP12)/360</f>
        <v>11575</v>
      </c>
      <c r="AR12" s="223"/>
      <c r="AS12" s="224"/>
      <c r="AT12" s="208">
        <f t="shared" ref="AT12:AT41" si="13">(AR12*AS12)/360</f>
        <v>0</v>
      </c>
      <c r="AW12" s="208">
        <f t="shared" ref="AW12:AW41" si="14">(AU12*AV12)/360</f>
        <v>0</v>
      </c>
      <c r="AZ12" s="208">
        <f t="shared" ref="AZ12:AZ41" si="15">(AX12*AY12)/360</f>
        <v>0</v>
      </c>
      <c r="BC12" s="208">
        <f t="shared" ref="BC12:BC41" si="16">(BA12*BB12)/360</f>
        <v>0</v>
      </c>
      <c r="BF12" s="208">
        <f t="shared" ref="BF12:BF41" si="17">(BD12*BE12)/360</f>
        <v>0</v>
      </c>
      <c r="BI12" s="208">
        <f t="shared" ref="BI12:BI41" si="18">(BG12*BH12)/360</f>
        <v>0</v>
      </c>
      <c r="BL12" s="208">
        <f t="shared" ref="BL12:BL41" si="19">(BJ12*BK12)/360</f>
        <v>0</v>
      </c>
      <c r="BO12" s="208">
        <f t="shared" ref="BO12:BO41" si="20">(BM12*BN12)/360</f>
        <v>0</v>
      </c>
      <c r="BR12" s="208">
        <f t="shared" ref="BR12:BR41" si="21">(BP12*BQ12)/360</f>
        <v>0</v>
      </c>
      <c r="BU12" s="208">
        <f t="shared" ref="BU12:BU41" si="22">(BS12*BT12)/360</f>
        <v>0</v>
      </c>
      <c r="BX12" s="208">
        <f t="shared" ref="BX12:BX41" si="23">(BV12*BW12)/360</f>
        <v>0</v>
      </c>
      <c r="CA12" s="208">
        <f t="shared" ref="CA12:CA41" si="24">(BY12*BZ12)/360</f>
        <v>0</v>
      </c>
      <c r="CD12" s="208">
        <f t="shared" ref="CD12:CD41" si="25">(CB12*CC12)/360</f>
        <v>0</v>
      </c>
      <c r="CG12" s="208">
        <f t="shared" ref="CG12:CG41" si="26">(CE12*CF12)/360</f>
        <v>0</v>
      </c>
      <c r="CJ12" s="208">
        <f t="shared" ref="CJ12:CJ41" si="27">(CH12*CI12)/360</f>
        <v>0</v>
      </c>
      <c r="CM12" s="208">
        <f t="shared" ref="CM12:CM41" si="28">(CK12*CL12)/360</f>
        <v>0</v>
      </c>
      <c r="CP12" s="208">
        <f t="shared" ref="CP12:CP41" si="29">(CN12*CO12)/360</f>
        <v>0</v>
      </c>
      <c r="CS12" s="208">
        <f t="shared" ref="CS12:CS41" si="30">(CQ12*CR12)/360</f>
        <v>0</v>
      </c>
      <c r="CV12" s="208">
        <f t="shared" ref="CV12:CV41" si="31">(CT12*CU12)/360</f>
        <v>0</v>
      </c>
      <c r="CY12" s="208">
        <f t="shared" ref="CY12:CY41" si="32">(CW12*CX12)/360</f>
        <v>0</v>
      </c>
      <c r="DB12" s="208">
        <f t="shared" ref="DB12:DB41" si="33">(CZ12*DA12)/360</f>
        <v>0</v>
      </c>
      <c r="DE12" s="208">
        <f t="shared" ref="DE12:DE41" si="34">(DC12*DD12)/360</f>
        <v>0</v>
      </c>
      <c r="DH12" s="208">
        <f t="shared" ref="DH12:DH41" si="35">(DF12*DG12)/360</f>
        <v>0</v>
      </c>
      <c r="DK12" s="208">
        <f t="shared" ref="DK12:DK41" si="36">(DI12*DJ12)/360</f>
        <v>0</v>
      </c>
      <c r="DN12" s="208">
        <f t="shared" ref="DN12:DN41" si="37">(DL12*DM12)/360</f>
        <v>0</v>
      </c>
      <c r="DQ12" s="208">
        <f t="shared" ref="DQ12:DQ41" si="38">(DO12*DP12)/360</f>
        <v>0</v>
      </c>
      <c r="DT12" s="208">
        <f t="shared" ref="DT12:DT41" si="39">(DR12*DS12)/360</f>
        <v>0</v>
      </c>
      <c r="DW12" s="208">
        <f t="shared" ref="DW12:DW41" si="40">(DU12*DV12)/360</f>
        <v>0</v>
      </c>
      <c r="DZ12" s="208"/>
      <c r="EA12" s="208"/>
      <c r="EB12" s="228">
        <f t="shared" ref="EB12:EB41" si="41">B12+E12+H12+K12+N12+Q12+T12+W12+Z12+AC12+AF12+AL12+AO12+AR12+AU12+AX12+BA12+BD12+BG12+DU12+AI12+DR12+DO12+DL12+DI12+DF12+DC12+CZ12+CW12+CT12+CQ12+CN12+CK12+CH12+CE12+CB12+BY12+BV12+BS12+BP12+BM12+BJ12</f>
        <v>397050000</v>
      </c>
      <c r="EC12" s="228">
        <f t="shared" ref="EC12:EC41" si="42">EB12-EK12+EL12</f>
        <v>0</v>
      </c>
      <c r="ED12" s="208">
        <f t="shared" ref="ED12:ED41" si="43">D12+G12+J12+M12+P12+S12+V12+Y12+AB12+AE12+AH12+AK12+AN12+AQ12+AT12+AW12+AZ12+BC12+BF12+BI12+DW12+DT12+DQ12+DN12+DK12+DH12+DE12+DB12+CY12+CV12+CS12+CP12+CM12+CJ12+CG12+CD12+CA12+BX12+BU12+BR12+BO12+BL12</f>
        <v>50391.541666666672</v>
      </c>
      <c r="EE12" s="209">
        <f t="shared" ref="EE12:EE41" si="44">IF(EB12&lt;&gt;0,((ED12/EB12)*360),0)</f>
        <v>4.5689346429920667E-2</v>
      </c>
      <c r="EG12" s="228">
        <f t="shared" ref="EG12:EG41" si="45">Q12+T12+W12+Z12+AC12+AF12</f>
        <v>0</v>
      </c>
      <c r="EH12" s="208">
        <f t="shared" ref="EH12:EH41" si="46">S12+V12+Y12+AB12+AE12+AH12</f>
        <v>0</v>
      </c>
      <c r="EI12" s="209">
        <f t="shared" ref="EI12:EI41" si="47">IF(EG12&lt;&gt;0,((EH12/EG12)*360),0)</f>
        <v>0</v>
      </c>
      <c r="EJ12" s="209"/>
      <c r="EK12" s="228">
        <f t="shared" ref="EK12:EK41" si="48">DR12+DL12+DI12+DF12+DC12+CZ12+CW12+CT12+CQ12+CN12+CK12+CH12+CE12+CB12+BY12+BV12+BS12+BP12+BM12+BJ12+BG12+BD12+BA12+AX12+AU12+AR12+AO12+AL12+AI12+DO12</f>
        <v>397050000</v>
      </c>
      <c r="EL12" s="228">
        <f t="shared" ref="EL12:EL41" si="49">DX12</f>
        <v>0</v>
      </c>
      <c r="EM12" s="228">
        <f t="shared" ref="EM12:EM41" si="50">DT12+DQ12+DN12+DK12+DH12+DE12+DB12+CY12+CV12+CS12+CP12+CM12+CJ12+CG12+CD12+CA12+BX12+BU12+BR12+BO12+BL12+BI12+BF12+BC12+AZ12+AW12+AT12+AQ12+AN12+AK12</f>
        <v>50391.541666666672</v>
      </c>
      <c r="EN12" s="209">
        <f t="shared" ref="EN12:EN41" si="51">IF(EK12&lt;&gt;0,((EM12/EK12)*360),0)</f>
        <v>4.5689346429920667E-2</v>
      </c>
      <c r="EP12" s="208"/>
    </row>
    <row r="13" spans="1:147" x14ac:dyDescent="0.25">
      <c r="A13" s="222">
        <f t="shared" ref="A13:A41" si="52">1+A12</f>
        <v>45872</v>
      </c>
      <c r="B13" s="208">
        <v>0</v>
      </c>
      <c r="C13" s="209">
        <v>4.5932609999999999E-2</v>
      </c>
      <c r="D13" s="208">
        <f t="shared" si="1"/>
        <v>0</v>
      </c>
      <c r="G13" s="208">
        <f t="shared" si="2"/>
        <v>0</v>
      </c>
      <c r="J13" s="208">
        <f t="shared" si="3"/>
        <v>0</v>
      </c>
      <c r="M13" s="208">
        <f t="shared" si="4"/>
        <v>0</v>
      </c>
      <c r="P13" s="208">
        <f t="shared" si="5"/>
        <v>0</v>
      </c>
      <c r="S13" s="208">
        <f t="shared" si="6"/>
        <v>0</v>
      </c>
      <c r="V13" s="208">
        <f t="shared" si="7"/>
        <v>0</v>
      </c>
      <c r="Y13" s="208">
        <f t="shared" si="8"/>
        <v>0</v>
      </c>
      <c r="AB13" s="208">
        <f t="shared" si="9"/>
        <v>0</v>
      </c>
      <c r="AE13" s="208">
        <v>0</v>
      </c>
      <c r="AH13" s="208">
        <v>0</v>
      </c>
      <c r="AI13" s="223">
        <f>60000000+65000000+42050000</f>
        <v>167050000</v>
      </c>
      <c r="AJ13" s="224">
        <v>4.5100000000000001E-2</v>
      </c>
      <c r="AK13" s="208">
        <f t="shared" si="10"/>
        <v>20927.652777777777</v>
      </c>
      <c r="AL13" s="223">
        <f>33905000+66095000+40000000</f>
        <v>140000000</v>
      </c>
      <c r="AM13" s="224">
        <v>4.5999999999999999E-2</v>
      </c>
      <c r="AN13" s="208">
        <f t="shared" si="11"/>
        <v>17888.888888888891</v>
      </c>
      <c r="AO13" s="223">
        <f t="shared" si="0"/>
        <v>90000000</v>
      </c>
      <c r="AP13" s="224">
        <v>4.6300000000000001E-2</v>
      </c>
      <c r="AQ13" s="208">
        <f t="shared" si="12"/>
        <v>11575</v>
      </c>
      <c r="AR13" s="223"/>
      <c r="AS13" s="224"/>
      <c r="AT13" s="208">
        <f t="shared" si="13"/>
        <v>0</v>
      </c>
      <c r="AW13" s="208">
        <f t="shared" si="14"/>
        <v>0</v>
      </c>
      <c r="AZ13" s="208">
        <f t="shared" si="15"/>
        <v>0</v>
      </c>
      <c r="BC13" s="208">
        <f t="shared" si="16"/>
        <v>0</v>
      </c>
      <c r="BF13" s="208">
        <f t="shared" si="17"/>
        <v>0</v>
      </c>
      <c r="BI13" s="208">
        <f t="shared" si="18"/>
        <v>0</v>
      </c>
      <c r="BL13" s="208">
        <f t="shared" si="19"/>
        <v>0</v>
      </c>
      <c r="BO13" s="208">
        <f t="shared" si="20"/>
        <v>0</v>
      </c>
      <c r="BR13" s="208">
        <f t="shared" si="21"/>
        <v>0</v>
      </c>
      <c r="BU13" s="208">
        <f t="shared" si="22"/>
        <v>0</v>
      </c>
      <c r="BX13" s="208">
        <f t="shared" si="23"/>
        <v>0</v>
      </c>
      <c r="CA13" s="208">
        <f t="shared" si="24"/>
        <v>0</v>
      </c>
      <c r="CD13" s="208">
        <f t="shared" si="25"/>
        <v>0</v>
      </c>
      <c r="CG13" s="208">
        <f t="shared" si="26"/>
        <v>0</v>
      </c>
      <c r="CJ13" s="208">
        <f t="shared" si="27"/>
        <v>0</v>
      </c>
      <c r="CM13" s="208">
        <f t="shared" si="28"/>
        <v>0</v>
      </c>
      <c r="CP13" s="208">
        <f t="shared" si="29"/>
        <v>0</v>
      </c>
      <c r="CS13" s="208">
        <f t="shared" si="30"/>
        <v>0</v>
      </c>
      <c r="CV13" s="208">
        <f t="shared" si="31"/>
        <v>0</v>
      </c>
      <c r="CY13" s="208">
        <f t="shared" si="32"/>
        <v>0</v>
      </c>
      <c r="DB13" s="208">
        <f t="shared" si="33"/>
        <v>0</v>
      </c>
      <c r="DE13" s="208">
        <f t="shared" si="34"/>
        <v>0</v>
      </c>
      <c r="DH13" s="208">
        <f t="shared" si="35"/>
        <v>0</v>
      </c>
      <c r="DK13" s="208">
        <f t="shared" si="36"/>
        <v>0</v>
      </c>
      <c r="DN13" s="208">
        <f t="shared" si="37"/>
        <v>0</v>
      </c>
      <c r="DQ13" s="208">
        <f t="shared" si="38"/>
        <v>0</v>
      </c>
      <c r="DT13" s="208">
        <f t="shared" si="39"/>
        <v>0</v>
      </c>
      <c r="DW13" s="208">
        <f t="shared" si="40"/>
        <v>0</v>
      </c>
      <c r="DZ13" s="208"/>
      <c r="EA13" s="208"/>
      <c r="EB13" s="228">
        <f t="shared" si="41"/>
        <v>397050000</v>
      </c>
      <c r="EC13" s="228">
        <f t="shared" si="42"/>
        <v>0</v>
      </c>
      <c r="ED13" s="208">
        <f t="shared" si="43"/>
        <v>50391.541666666672</v>
      </c>
      <c r="EE13" s="209">
        <f t="shared" si="44"/>
        <v>4.5689346429920667E-2</v>
      </c>
      <c r="EG13" s="228">
        <f t="shared" si="45"/>
        <v>0</v>
      </c>
      <c r="EH13" s="208">
        <f t="shared" si="46"/>
        <v>0</v>
      </c>
      <c r="EI13" s="209">
        <f t="shared" si="47"/>
        <v>0</v>
      </c>
      <c r="EJ13" s="209"/>
      <c r="EK13" s="228">
        <f t="shared" si="48"/>
        <v>397050000</v>
      </c>
      <c r="EL13" s="228">
        <f t="shared" si="49"/>
        <v>0</v>
      </c>
      <c r="EM13" s="228">
        <f t="shared" si="50"/>
        <v>50391.541666666672</v>
      </c>
      <c r="EN13" s="209">
        <f t="shared" si="51"/>
        <v>4.5689346429920667E-2</v>
      </c>
      <c r="EP13" s="208"/>
    </row>
    <row r="14" spans="1:147" x14ac:dyDescent="0.25">
      <c r="A14" s="222">
        <f t="shared" si="52"/>
        <v>45873</v>
      </c>
      <c r="B14" s="208">
        <v>0</v>
      </c>
      <c r="C14" s="209">
        <v>4.5921659999999996E-2</v>
      </c>
      <c r="D14" s="208">
        <f t="shared" si="1"/>
        <v>0</v>
      </c>
      <c r="G14" s="208">
        <f t="shared" si="2"/>
        <v>0</v>
      </c>
      <c r="J14" s="208">
        <f t="shared" si="3"/>
        <v>0</v>
      </c>
      <c r="M14" s="208">
        <f t="shared" si="4"/>
        <v>0</v>
      </c>
      <c r="P14" s="208">
        <f t="shared" si="5"/>
        <v>0</v>
      </c>
      <c r="S14" s="208">
        <f t="shared" si="6"/>
        <v>0</v>
      </c>
      <c r="V14" s="208">
        <f t="shared" si="7"/>
        <v>0</v>
      </c>
      <c r="Y14" s="208">
        <f t="shared" si="8"/>
        <v>0</v>
      </c>
      <c r="AB14" s="208">
        <f t="shared" si="9"/>
        <v>0</v>
      </c>
      <c r="AE14" s="208">
        <v>0</v>
      </c>
      <c r="AH14" s="208">
        <v>0</v>
      </c>
      <c r="AI14" s="223">
        <f>64400000+40000000</f>
        <v>104400000</v>
      </c>
      <c r="AJ14" s="224">
        <v>4.4999999999999998E-2</v>
      </c>
      <c r="AK14" s="208">
        <f t="shared" si="10"/>
        <v>13050</v>
      </c>
      <c r="AL14" s="223">
        <f t="shared" ref="AL14:AL24" si="53">33905000+66095000+40000000+42375000+27625000</f>
        <v>210000000</v>
      </c>
      <c r="AM14" s="224">
        <v>4.5999999999999999E-2</v>
      </c>
      <c r="AN14" s="208">
        <f t="shared" si="11"/>
        <v>26833.333333333332</v>
      </c>
      <c r="AO14" s="223">
        <f t="shared" si="0"/>
        <v>90000000</v>
      </c>
      <c r="AP14" s="224">
        <v>4.6300000000000001E-2</v>
      </c>
      <c r="AQ14" s="208">
        <f t="shared" si="12"/>
        <v>11575</v>
      </c>
      <c r="AR14" s="223"/>
      <c r="AS14" s="224"/>
      <c r="AT14" s="208">
        <f t="shared" si="13"/>
        <v>0</v>
      </c>
      <c r="AW14" s="208">
        <f t="shared" si="14"/>
        <v>0</v>
      </c>
      <c r="AZ14" s="208">
        <f t="shared" si="15"/>
        <v>0</v>
      </c>
      <c r="BC14" s="208">
        <f t="shared" si="16"/>
        <v>0</v>
      </c>
      <c r="BF14" s="208">
        <f t="shared" si="17"/>
        <v>0</v>
      </c>
      <c r="BI14" s="208">
        <f t="shared" si="18"/>
        <v>0</v>
      </c>
      <c r="BL14" s="208">
        <f t="shared" si="19"/>
        <v>0</v>
      </c>
      <c r="BO14" s="208">
        <f t="shared" si="20"/>
        <v>0</v>
      </c>
      <c r="BR14" s="208">
        <f t="shared" si="21"/>
        <v>0</v>
      </c>
      <c r="BU14" s="208">
        <f t="shared" si="22"/>
        <v>0</v>
      </c>
      <c r="BX14" s="208">
        <f t="shared" si="23"/>
        <v>0</v>
      </c>
      <c r="CA14" s="208">
        <f t="shared" si="24"/>
        <v>0</v>
      </c>
      <c r="CD14" s="208">
        <f t="shared" si="25"/>
        <v>0</v>
      </c>
      <c r="CG14" s="208">
        <f t="shared" si="26"/>
        <v>0</v>
      </c>
      <c r="CJ14" s="208">
        <f t="shared" si="27"/>
        <v>0</v>
      </c>
      <c r="CM14" s="208">
        <f t="shared" si="28"/>
        <v>0</v>
      </c>
      <c r="CP14" s="208">
        <f t="shared" si="29"/>
        <v>0</v>
      </c>
      <c r="CS14" s="208">
        <f t="shared" si="30"/>
        <v>0</v>
      </c>
      <c r="CV14" s="208">
        <f t="shared" si="31"/>
        <v>0</v>
      </c>
      <c r="CY14" s="208">
        <f t="shared" si="32"/>
        <v>0</v>
      </c>
      <c r="DB14" s="208">
        <f t="shared" si="33"/>
        <v>0</v>
      </c>
      <c r="DE14" s="208">
        <f t="shared" si="34"/>
        <v>0</v>
      </c>
      <c r="DH14" s="208">
        <f t="shared" si="35"/>
        <v>0</v>
      </c>
      <c r="DK14" s="208">
        <f t="shared" si="36"/>
        <v>0</v>
      </c>
      <c r="DN14" s="208">
        <f t="shared" si="37"/>
        <v>0</v>
      </c>
      <c r="DQ14" s="208">
        <f t="shared" si="38"/>
        <v>0</v>
      </c>
      <c r="DT14" s="208">
        <f t="shared" si="39"/>
        <v>0</v>
      </c>
      <c r="DW14" s="208">
        <f t="shared" si="40"/>
        <v>0</v>
      </c>
      <c r="DZ14" s="208"/>
      <c r="EA14" s="208"/>
      <c r="EB14" s="228">
        <f t="shared" si="41"/>
        <v>404400000</v>
      </c>
      <c r="EC14" s="228">
        <f t="shared" si="42"/>
        <v>0</v>
      </c>
      <c r="ED14" s="208">
        <f t="shared" si="43"/>
        <v>51458.333333333328</v>
      </c>
      <c r="EE14" s="209">
        <f t="shared" si="44"/>
        <v>4.5808605341246283E-2</v>
      </c>
      <c r="EG14" s="228">
        <f t="shared" si="45"/>
        <v>0</v>
      </c>
      <c r="EH14" s="208">
        <f t="shared" si="46"/>
        <v>0</v>
      </c>
      <c r="EI14" s="209">
        <f t="shared" si="47"/>
        <v>0</v>
      </c>
      <c r="EJ14" s="209"/>
      <c r="EK14" s="228">
        <f t="shared" si="48"/>
        <v>404400000</v>
      </c>
      <c r="EL14" s="228">
        <f t="shared" si="49"/>
        <v>0</v>
      </c>
      <c r="EM14" s="228">
        <f t="shared" si="50"/>
        <v>51458.333333333328</v>
      </c>
      <c r="EN14" s="209">
        <f t="shared" si="51"/>
        <v>4.5808605341246283E-2</v>
      </c>
      <c r="EP14" s="208"/>
    </row>
    <row r="15" spans="1:147" x14ac:dyDescent="0.25">
      <c r="A15" s="222">
        <f t="shared" si="52"/>
        <v>45874</v>
      </c>
      <c r="B15" s="208">
        <v>0</v>
      </c>
      <c r="C15" s="209">
        <v>4.5923049999999993E-2</v>
      </c>
      <c r="D15" s="208">
        <f t="shared" si="1"/>
        <v>0</v>
      </c>
      <c r="G15" s="208">
        <f t="shared" si="2"/>
        <v>0</v>
      </c>
      <c r="J15" s="208">
        <f t="shared" si="3"/>
        <v>0</v>
      </c>
      <c r="M15" s="208">
        <f t="shared" si="4"/>
        <v>0</v>
      </c>
      <c r="P15" s="208">
        <f t="shared" si="5"/>
        <v>0</v>
      </c>
      <c r="S15" s="208">
        <f t="shared" si="6"/>
        <v>0</v>
      </c>
      <c r="V15" s="208">
        <f t="shared" si="7"/>
        <v>0</v>
      </c>
      <c r="Y15" s="208">
        <f t="shared" si="8"/>
        <v>0</v>
      </c>
      <c r="AB15" s="208">
        <f t="shared" si="9"/>
        <v>0</v>
      </c>
      <c r="AE15" s="208">
        <v>0</v>
      </c>
      <c r="AH15" s="208">
        <v>0</v>
      </c>
      <c r="AI15" s="223">
        <f>75675000</f>
        <v>75675000</v>
      </c>
      <c r="AJ15" s="224">
        <v>4.4999999999999998E-2</v>
      </c>
      <c r="AK15" s="208">
        <f t="shared" si="10"/>
        <v>9459.375</v>
      </c>
      <c r="AL15" s="223">
        <f t="shared" si="53"/>
        <v>210000000</v>
      </c>
      <c r="AM15" s="224">
        <v>4.5999999999999999E-2</v>
      </c>
      <c r="AN15" s="208">
        <f t="shared" si="11"/>
        <v>26833.333333333332</v>
      </c>
      <c r="AO15" s="223">
        <f t="shared" si="0"/>
        <v>90000000</v>
      </c>
      <c r="AP15" s="224">
        <v>4.6300000000000001E-2</v>
      </c>
      <c r="AQ15" s="208">
        <f t="shared" si="12"/>
        <v>11575</v>
      </c>
      <c r="AR15" s="223"/>
      <c r="AS15" s="224"/>
      <c r="AT15" s="208">
        <f t="shared" si="13"/>
        <v>0</v>
      </c>
      <c r="AW15" s="208">
        <f t="shared" si="14"/>
        <v>0</v>
      </c>
      <c r="AZ15" s="208">
        <f t="shared" si="15"/>
        <v>0</v>
      </c>
      <c r="BC15" s="208">
        <f t="shared" si="16"/>
        <v>0</v>
      </c>
      <c r="BF15" s="208">
        <f t="shared" si="17"/>
        <v>0</v>
      </c>
      <c r="BI15" s="208">
        <f t="shared" si="18"/>
        <v>0</v>
      </c>
      <c r="BL15" s="208">
        <f t="shared" si="19"/>
        <v>0</v>
      </c>
      <c r="BO15" s="208">
        <f t="shared" si="20"/>
        <v>0</v>
      </c>
      <c r="BR15" s="208">
        <f t="shared" si="21"/>
        <v>0</v>
      </c>
      <c r="BU15" s="208">
        <f t="shared" si="22"/>
        <v>0</v>
      </c>
      <c r="BX15" s="208">
        <f t="shared" si="23"/>
        <v>0</v>
      </c>
      <c r="CA15" s="208">
        <f t="shared" si="24"/>
        <v>0</v>
      </c>
      <c r="CD15" s="208">
        <f t="shared" si="25"/>
        <v>0</v>
      </c>
      <c r="CG15" s="208">
        <f t="shared" si="26"/>
        <v>0</v>
      </c>
      <c r="CJ15" s="208">
        <f t="shared" si="27"/>
        <v>0</v>
      </c>
      <c r="CM15" s="208">
        <f t="shared" si="28"/>
        <v>0</v>
      </c>
      <c r="CP15" s="208">
        <f t="shared" si="29"/>
        <v>0</v>
      </c>
      <c r="CS15" s="208">
        <f t="shared" si="30"/>
        <v>0</v>
      </c>
      <c r="CV15" s="208">
        <f t="shared" si="31"/>
        <v>0</v>
      </c>
      <c r="CY15" s="208">
        <f t="shared" si="32"/>
        <v>0</v>
      </c>
      <c r="DB15" s="208">
        <f t="shared" si="33"/>
        <v>0</v>
      </c>
      <c r="DE15" s="208">
        <f t="shared" si="34"/>
        <v>0</v>
      </c>
      <c r="DH15" s="208">
        <f t="shared" si="35"/>
        <v>0</v>
      </c>
      <c r="DK15" s="208">
        <f t="shared" si="36"/>
        <v>0</v>
      </c>
      <c r="DN15" s="208">
        <f t="shared" si="37"/>
        <v>0</v>
      </c>
      <c r="DQ15" s="208">
        <f t="shared" si="38"/>
        <v>0</v>
      </c>
      <c r="DT15" s="208">
        <f t="shared" si="39"/>
        <v>0</v>
      </c>
      <c r="DW15" s="208">
        <f t="shared" si="40"/>
        <v>0</v>
      </c>
      <c r="DZ15" s="208"/>
      <c r="EA15" s="208"/>
      <c r="EB15" s="228">
        <f t="shared" si="41"/>
        <v>375675000</v>
      </c>
      <c r="EC15" s="228">
        <f t="shared" si="42"/>
        <v>0</v>
      </c>
      <c r="ED15" s="208">
        <f t="shared" si="43"/>
        <v>47867.708333333328</v>
      </c>
      <c r="EE15" s="209">
        <f t="shared" si="44"/>
        <v>4.5870433220203635E-2</v>
      </c>
      <c r="EG15" s="228">
        <f t="shared" si="45"/>
        <v>0</v>
      </c>
      <c r="EH15" s="208">
        <f t="shared" si="46"/>
        <v>0</v>
      </c>
      <c r="EI15" s="209">
        <f t="shared" si="47"/>
        <v>0</v>
      </c>
      <c r="EJ15" s="209"/>
      <c r="EK15" s="228">
        <f t="shared" si="48"/>
        <v>375675000</v>
      </c>
      <c r="EL15" s="228">
        <f t="shared" si="49"/>
        <v>0</v>
      </c>
      <c r="EM15" s="228">
        <f t="shared" si="50"/>
        <v>47867.708333333328</v>
      </c>
      <c r="EN15" s="209">
        <f t="shared" si="51"/>
        <v>4.5870433220203635E-2</v>
      </c>
      <c r="EP15" s="208"/>
    </row>
    <row r="16" spans="1:147" x14ac:dyDescent="0.25">
      <c r="A16" s="222">
        <f t="shared" si="52"/>
        <v>45875</v>
      </c>
      <c r="B16" s="208">
        <v>0</v>
      </c>
      <c r="C16" s="209">
        <v>4.5897110000000005E-2</v>
      </c>
      <c r="D16" s="208">
        <f t="shared" si="1"/>
        <v>0</v>
      </c>
      <c r="G16" s="208">
        <f t="shared" si="2"/>
        <v>0</v>
      </c>
      <c r="J16" s="208">
        <f t="shared" si="3"/>
        <v>0</v>
      </c>
      <c r="M16" s="208">
        <f t="shared" si="4"/>
        <v>0</v>
      </c>
      <c r="P16" s="208">
        <f t="shared" si="5"/>
        <v>0</v>
      </c>
      <c r="S16" s="208">
        <f t="shared" si="6"/>
        <v>0</v>
      </c>
      <c r="V16" s="208">
        <f t="shared" si="7"/>
        <v>0</v>
      </c>
      <c r="Y16" s="208">
        <f t="shared" si="8"/>
        <v>0</v>
      </c>
      <c r="AB16" s="208">
        <f t="shared" si="9"/>
        <v>0</v>
      </c>
      <c r="AE16" s="208">
        <v>0</v>
      </c>
      <c r="AH16" s="208">
        <v>0</v>
      </c>
      <c r="AI16" s="223">
        <f>59600000</f>
        <v>59600000</v>
      </c>
      <c r="AJ16" s="224">
        <v>4.4999999999999998E-2</v>
      </c>
      <c r="AK16" s="208">
        <f t="shared" si="10"/>
        <v>7450</v>
      </c>
      <c r="AL16" s="223">
        <f t="shared" si="53"/>
        <v>210000000</v>
      </c>
      <c r="AM16" s="224">
        <v>4.5999999999999999E-2</v>
      </c>
      <c r="AN16" s="208">
        <f t="shared" si="11"/>
        <v>26833.333333333332</v>
      </c>
      <c r="AO16" s="223">
        <f t="shared" si="0"/>
        <v>90000000</v>
      </c>
      <c r="AP16" s="224">
        <v>4.6300000000000001E-2</v>
      </c>
      <c r="AQ16" s="208">
        <f t="shared" si="12"/>
        <v>11575</v>
      </c>
      <c r="AR16" s="223"/>
      <c r="AS16" s="224"/>
      <c r="AT16" s="208">
        <f t="shared" si="13"/>
        <v>0</v>
      </c>
      <c r="AW16" s="208">
        <f t="shared" si="14"/>
        <v>0</v>
      </c>
      <c r="AZ16" s="208">
        <f t="shared" si="15"/>
        <v>0</v>
      </c>
      <c r="BC16" s="208">
        <f t="shared" si="16"/>
        <v>0</v>
      </c>
      <c r="BF16" s="208">
        <f t="shared" si="17"/>
        <v>0</v>
      </c>
      <c r="BI16" s="208">
        <f t="shared" si="18"/>
        <v>0</v>
      </c>
      <c r="BL16" s="208">
        <f t="shared" si="19"/>
        <v>0</v>
      </c>
      <c r="BO16" s="208">
        <f t="shared" si="20"/>
        <v>0</v>
      </c>
      <c r="BR16" s="208">
        <f t="shared" si="21"/>
        <v>0</v>
      </c>
      <c r="BU16" s="208">
        <f t="shared" si="22"/>
        <v>0</v>
      </c>
      <c r="BX16" s="208">
        <f t="shared" si="23"/>
        <v>0</v>
      </c>
      <c r="CA16" s="208">
        <f t="shared" si="24"/>
        <v>0</v>
      </c>
      <c r="CD16" s="208">
        <f t="shared" si="25"/>
        <v>0</v>
      </c>
      <c r="CG16" s="208">
        <f t="shared" si="26"/>
        <v>0</v>
      </c>
      <c r="CJ16" s="208">
        <f t="shared" si="27"/>
        <v>0</v>
      </c>
      <c r="CM16" s="208">
        <f t="shared" si="28"/>
        <v>0</v>
      </c>
      <c r="CP16" s="208">
        <f t="shared" si="29"/>
        <v>0</v>
      </c>
      <c r="CS16" s="208">
        <f t="shared" si="30"/>
        <v>0</v>
      </c>
      <c r="CV16" s="208">
        <f t="shared" si="31"/>
        <v>0</v>
      </c>
      <c r="CY16" s="208">
        <f t="shared" si="32"/>
        <v>0</v>
      </c>
      <c r="DB16" s="208">
        <f t="shared" si="33"/>
        <v>0</v>
      </c>
      <c r="DE16" s="208">
        <f t="shared" si="34"/>
        <v>0</v>
      </c>
      <c r="DH16" s="208">
        <f t="shared" si="35"/>
        <v>0</v>
      </c>
      <c r="DK16" s="208">
        <f t="shared" si="36"/>
        <v>0</v>
      </c>
      <c r="DN16" s="208">
        <f t="shared" si="37"/>
        <v>0</v>
      </c>
      <c r="DQ16" s="208">
        <f t="shared" si="38"/>
        <v>0</v>
      </c>
      <c r="DT16" s="208">
        <f t="shared" si="39"/>
        <v>0</v>
      </c>
      <c r="DW16" s="208">
        <f t="shared" si="40"/>
        <v>0</v>
      </c>
      <c r="DZ16" s="208"/>
      <c r="EA16" s="208"/>
      <c r="EB16" s="228">
        <f t="shared" si="41"/>
        <v>359600000</v>
      </c>
      <c r="EC16" s="228">
        <f t="shared" si="42"/>
        <v>0</v>
      </c>
      <c r="ED16" s="208">
        <f t="shared" si="43"/>
        <v>45858.333333333328</v>
      </c>
      <c r="EE16" s="209">
        <f t="shared" si="44"/>
        <v>4.5909343715239151E-2</v>
      </c>
      <c r="EG16" s="228">
        <f t="shared" si="45"/>
        <v>0</v>
      </c>
      <c r="EH16" s="208">
        <f t="shared" si="46"/>
        <v>0</v>
      </c>
      <c r="EI16" s="209">
        <f t="shared" si="47"/>
        <v>0</v>
      </c>
      <c r="EJ16" s="209"/>
      <c r="EK16" s="228">
        <f t="shared" si="48"/>
        <v>359600000</v>
      </c>
      <c r="EL16" s="228">
        <f t="shared" si="49"/>
        <v>0</v>
      </c>
      <c r="EM16" s="228">
        <f t="shared" si="50"/>
        <v>45858.333333333328</v>
      </c>
      <c r="EN16" s="209">
        <f t="shared" si="51"/>
        <v>4.5909343715239151E-2</v>
      </c>
      <c r="EP16" s="208"/>
    </row>
    <row r="17" spans="1:146" x14ac:dyDescent="0.25">
      <c r="A17" s="222">
        <f t="shared" si="52"/>
        <v>45876</v>
      </c>
      <c r="B17" s="208">
        <v>0</v>
      </c>
      <c r="C17" s="209">
        <v>4.5722680000000002E-2</v>
      </c>
      <c r="D17" s="208">
        <f t="shared" si="1"/>
        <v>0</v>
      </c>
      <c r="G17" s="208">
        <f t="shared" si="2"/>
        <v>0</v>
      </c>
      <c r="J17" s="208">
        <f t="shared" si="3"/>
        <v>0</v>
      </c>
      <c r="M17" s="208">
        <f t="shared" si="4"/>
        <v>0</v>
      </c>
      <c r="P17" s="208">
        <f t="shared" si="5"/>
        <v>0</v>
      </c>
      <c r="S17" s="208">
        <f t="shared" si="6"/>
        <v>0</v>
      </c>
      <c r="V17" s="208">
        <f t="shared" si="7"/>
        <v>0</v>
      </c>
      <c r="Y17" s="208">
        <f t="shared" si="8"/>
        <v>0</v>
      </c>
      <c r="AB17" s="208">
        <f t="shared" si="9"/>
        <v>0</v>
      </c>
      <c r="AE17" s="208">
        <v>0</v>
      </c>
      <c r="AH17" s="208">
        <v>0</v>
      </c>
      <c r="AI17" s="223">
        <f>88000000</f>
        <v>88000000</v>
      </c>
      <c r="AJ17" s="224">
        <v>4.4999999999999998E-2</v>
      </c>
      <c r="AK17" s="208">
        <f t="shared" si="10"/>
        <v>11000</v>
      </c>
      <c r="AL17" s="223">
        <f t="shared" si="53"/>
        <v>210000000</v>
      </c>
      <c r="AM17" s="224">
        <v>4.5999999999999999E-2</v>
      </c>
      <c r="AN17" s="208">
        <f t="shared" si="11"/>
        <v>26833.333333333332</v>
      </c>
      <c r="AO17" s="223">
        <f>50000000</f>
        <v>50000000</v>
      </c>
      <c r="AP17" s="224">
        <v>4.6300000000000001E-2</v>
      </c>
      <c r="AQ17" s="208">
        <f t="shared" si="12"/>
        <v>6430.5555555555557</v>
      </c>
      <c r="AR17" s="223"/>
      <c r="AS17" s="224"/>
      <c r="AT17" s="208">
        <f t="shared" si="13"/>
        <v>0</v>
      </c>
      <c r="AW17" s="208">
        <f t="shared" si="14"/>
        <v>0</v>
      </c>
      <c r="AZ17" s="208">
        <f t="shared" si="15"/>
        <v>0</v>
      </c>
      <c r="BC17" s="208">
        <f t="shared" si="16"/>
        <v>0</v>
      </c>
      <c r="BF17" s="208">
        <f t="shared" si="17"/>
        <v>0</v>
      </c>
      <c r="BI17" s="208">
        <f t="shared" si="18"/>
        <v>0</v>
      </c>
      <c r="BL17" s="208">
        <f t="shared" si="19"/>
        <v>0</v>
      </c>
      <c r="BO17" s="208">
        <f t="shared" si="20"/>
        <v>0</v>
      </c>
      <c r="BR17" s="208">
        <f t="shared" si="21"/>
        <v>0</v>
      </c>
      <c r="BU17" s="208">
        <f t="shared" si="22"/>
        <v>0</v>
      </c>
      <c r="BX17" s="208">
        <f t="shared" si="23"/>
        <v>0</v>
      </c>
      <c r="CA17" s="208">
        <f t="shared" si="24"/>
        <v>0</v>
      </c>
      <c r="CD17" s="208">
        <f t="shared" si="25"/>
        <v>0</v>
      </c>
      <c r="CG17" s="208">
        <f t="shared" si="26"/>
        <v>0</v>
      </c>
      <c r="CJ17" s="208">
        <f t="shared" si="27"/>
        <v>0</v>
      </c>
      <c r="CM17" s="208">
        <f t="shared" si="28"/>
        <v>0</v>
      </c>
      <c r="CP17" s="208">
        <f t="shared" si="29"/>
        <v>0</v>
      </c>
      <c r="CS17" s="208">
        <f t="shared" si="30"/>
        <v>0</v>
      </c>
      <c r="CV17" s="208">
        <f t="shared" si="31"/>
        <v>0</v>
      </c>
      <c r="CY17" s="208">
        <f t="shared" si="32"/>
        <v>0</v>
      </c>
      <c r="DB17" s="208">
        <f t="shared" si="33"/>
        <v>0</v>
      </c>
      <c r="DE17" s="208">
        <f t="shared" si="34"/>
        <v>0</v>
      </c>
      <c r="DH17" s="208">
        <f t="shared" si="35"/>
        <v>0</v>
      </c>
      <c r="DK17" s="208">
        <f t="shared" si="36"/>
        <v>0</v>
      </c>
      <c r="DN17" s="208">
        <f t="shared" si="37"/>
        <v>0</v>
      </c>
      <c r="DQ17" s="208">
        <f t="shared" si="38"/>
        <v>0</v>
      </c>
      <c r="DT17" s="208">
        <f t="shared" si="39"/>
        <v>0</v>
      </c>
      <c r="DW17" s="208">
        <f t="shared" si="40"/>
        <v>0</v>
      </c>
      <c r="DZ17" s="208"/>
      <c r="EA17" s="208"/>
      <c r="EB17" s="228">
        <f t="shared" si="41"/>
        <v>348000000</v>
      </c>
      <c r="EC17" s="228">
        <f t="shared" si="42"/>
        <v>0</v>
      </c>
      <c r="ED17" s="208">
        <f t="shared" si="43"/>
        <v>44263.888888888883</v>
      </c>
      <c r="EE17" s="209">
        <f t="shared" si="44"/>
        <v>4.5790229885057467E-2</v>
      </c>
      <c r="EG17" s="228">
        <f t="shared" si="45"/>
        <v>0</v>
      </c>
      <c r="EH17" s="208">
        <f t="shared" si="46"/>
        <v>0</v>
      </c>
      <c r="EI17" s="209">
        <f t="shared" si="47"/>
        <v>0</v>
      </c>
      <c r="EJ17" s="209"/>
      <c r="EK17" s="228">
        <f t="shared" si="48"/>
        <v>348000000</v>
      </c>
      <c r="EL17" s="228">
        <f t="shared" si="49"/>
        <v>0</v>
      </c>
      <c r="EM17" s="228">
        <f t="shared" si="50"/>
        <v>44263.888888888891</v>
      </c>
      <c r="EN17" s="209">
        <f t="shared" si="51"/>
        <v>4.579022988505748E-2</v>
      </c>
      <c r="EP17" s="208"/>
    </row>
    <row r="18" spans="1:146" x14ac:dyDescent="0.25">
      <c r="A18" s="222">
        <f t="shared" si="52"/>
        <v>45877</v>
      </c>
      <c r="B18" s="208">
        <v>0</v>
      </c>
      <c r="C18" s="209">
        <v>4.5777499999999999E-2</v>
      </c>
      <c r="D18" s="208">
        <f t="shared" si="1"/>
        <v>0</v>
      </c>
      <c r="G18" s="208">
        <f t="shared" si="2"/>
        <v>0</v>
      </c>
      <c r="J18" s="208">
        <f t="shared" si="3"/>
        <v>0</v>
      </c>
      <c r="M18" s="208">
        <f t="shared" si="4"/>
        <v>0</v>
      </c>
      <c r="P18" s="208">
        <f t="shared" si="5"/>
        <v>0</v>
      </c>
      <c r="S18" s="208">
        <f t="shared" si="6"/>
        <v>0</v>
      </c>
      <c r="V18" s="208">
        <f t="shared" si="7"/>
        <v>0</v>
      </c>
      <c r="Y18" s="208">
        <f t="shared" si="8"/>
        <v>0</v>
      </c>
      <c r="AB18" s="208">
        <f t="shared" si="9"/>
        <v>0</v>
      </c>
      <c r="AE18" s="208">
        <v>0</v>
      </c>
      <c r="AH18" s="208">
        <v>0</v>
      </c>
      <c r="AI18" s="223">
        <f>124800000</f>
        <v>124800000</v>
      </c>
      <c r="AJ18" s="224">
        <v>4.4999999999999998E-2</v>
      </c>
      <c r="AK18" s="208">
        <f t="shared" si="10"/>
        <v>15600</v>
      </c>
      <c r="AL18" s="223">
        <f t="shared" si="53"/>
        <v>210000000</v>
      </c>
      <c r="AM18" s="224">
        <v>4.5999999999999999E-2</v>
      </c>
      <c r="AN18" s="208">
        <f t="shared" si="11"/>
        <v>26833.333333333332</v>
      </c>
      <c r="AO18" s="223"/>
      <c r="AP18" s="224"/>
      <c r="AQ18" s="208">
        <f t="shared" si="12"/>
        <v>0</v>
      </c>
      <c r="AR18" s="223"/>
      <c r="AS18" s="224"/>
      <c r="AT18" s="208">
        <f t="shared" si="13"/>
        <v>0</v>
      </c>
      <c r="AW18" s="208">
        <f t="shared" si="14"/>
        <v>0</v>
      </c>
      <c r="AZ18" s="208">
        <f t="shared" si="15"/>
        <v>0</v>
      </c>
      <c r="BC18" s="208">
        <f t="shared" si="16"/>
        <v>0</v>
      </c>
      <c r="BF18" s="208">
        <f t="shared" si="17"/>
        <v>0</v>
      </c>
      <c r="BI18" s="208">
        <f t="shared" si="18"/>
        <v>0</v>
      </c>
      <c r="BL18" s="208">
        <f t="shared" si="19"/>
        <v>0</v>
      </c>
      <c r="BO18" s="208">
        <f t="shared" si="20"/>
        <v>0</v>
      </c>
      <c r="BR18" s="208">
        <f t="shared" si="21"/>
        <v>0</v>
      </c>
      <c r="BU18" s="208">
        <f t="shared" si="22"/>
        <v>0</v>
      </c>
      <c r="BX18" s="208">
        <f t="shared" si="23"/>
        <v>0</v>
      </c>
      <c r="CA18" s="208">
        <f t="shared" si="24"/>
        <v>0</v>
      </c>
      <c r="CD18" s="208">
        <f t="shared" si="25"/>
        <v>0</v>
      </c>
      <c r="CG18" s="208">
        <f t="shared" si="26"/>
        <v>0</v>
      </c>
      <c r="CJ18" s="208">
        <f t="shared" si="27"/>
        <v>0</v>
      </c>
      <c r="CM18" s="208">
        <f t="shared" si="28"/>
        <v>0</v>
      </c>
      <c r="CP18" s="208">
        <f t="shared" si="29"/>
        <v>0</v>
      </c>
      <c r="CS18" s="208">
        <f t="shared" si="30"/>
        <v>0</v>
      </c>
      <c r="CV18" s="208">
        <f t="shared" si="31"/>
        <v>0</v>
      </c>
      <c r="CY18" s="208">
        <f t="shared" si="32"/>
        <v>0</v>
      </c>
      <c r="DB18" s="208">
        <f t="shared" si="33"/>
        <v>0</v>
      </c>
      <c r="DE18" s="208">
        <f t="shared" si="34"/>
        <v>0</v>
      </c>
      <c r="DH18" s="208">
        <f t="shared" si="35"/>
        <v>0</v>
      </c>
      <c r="DK18" s="208">
        <f t="shared" si="36"/>
        <v>0</v>
      </c>
      <c r="DN18" s="208">
        <f t="shared" si="37"/>
        <v>0</v>
      </c>
      <c r="DQ18" s="208">
        <f t="shared" si="38"/>
        <v>0</v>
      </c>
      <c r="DT18" s="208">
        <f t="shared" si="39"/>
        <v>0</v>
      </c>
      <c r="DW18" s="208">
        <f t="shared" si="40"/>
        <v>0</v>
      </c>
      <c r="DZ18" s="208"/>
      <c r="EA18" s="208"/>
      <c r="EB18" s="228">
        <f t="shared" si="41"/>
        <v>334800000</v>
      </c>
      <c r="EC18" s="228">
        <f t="shared" si="42"/>
        <v>0</v>
      </c>
      <c r="ED18" s="208">
        <f t="shared" si="43"/>
        <v>42433.333333333328</v>
      </c>
      <c r="EE18" s="209">
        <f t="shared" si="44"/>
        <v>4.562724014336917E-2</v>
      </c>
      <c r="EG18" s="228">
        <f t="shared" si="45"/>
        <v>0</v>
      </c>
      <c r="EH18" s="208">
        <f t="shared" si="46"/>
        <v>0</v>
      </c>
      <c r="EI18" s="209">
        <f t="shared" si="47"/>
        <v>0</v>
      </c>
      <c r="EJ18" s="209"/>
      <c r="EK18" s="228">
        <f t="shared" si="48"/>
        <v>334800000</v>
      </c>
      <c r="EL18" s="228">
        <f t="shared" si="49"/>
        <v>0</v>
      </c>
      <c r="EM18" s="228">
        <f t="shared" si="50"/>
        <v>42433.333333333328</v>
      </c>
      <c r="EN18" s="209">
        <f t="shared" si="51"/>
        <v>4.562724014336917E-2</v>
      </c>
      <c r="EP18" s="208"/>
    </row>
    <row r="19" spans="1:146" x14ac:dyDescent="0.25">
      <c r="A19" s="222">
        <f t="shared" si="52"/>
        <v>45878</v>
      </c>
      <c r="B19" s="208">
        <v>0</v>
      </c>
      <c r="C19" s="209">
        <v>4.5777499999999999E-2</v>
      </c>
      <c r="D19" s="208">
        <f t="shared" si="1"/>
        <v>0</v>
      </c>
      <c r="G19" s="208">
        <f t="shared" si="2"/>
        <v>0</v>
      </c>
      <c r="J19" s="208">
        <f t="shared" si="3"/>
        <v>0</v>
      </c>
      <c r="M19" s="208">
        <f t="shared" si="4"/>
        <v>0</v>
      </c>
      <c r="P19" s="208">
        <f t="shared" si="5"/>
        <v>0</v>
      </c>
      <c r="S19" s="208">
        <f t="shared" si="6"/>
        <v>0</v>
      </c>
      <c r="V19" s="208">
        <f t="shared" si="7"/>
        <v>0</v>
      </c>
      <c r="Y19" s="208">
        <f t="shared" si="8"/>
        <v>0</v>
      </c>
      <c r="AB19" s="208">
        <f t="shared" si="9"/>
        <v>0</v>
      </c>
      <c r="AE19" s="208">
        <v>0</v>
      </c>
      <c r="AH19" s="208">
        <v>0</v>
      </c>
      <c r="AI19" s="223">
        <f>124800000</f>
        <v>124800000</v>
      </c>
      <c r="AJ19" s="224">
        <v>4.4999999999999998E-2</v>
      </c>
      <c r="AK19" s="208">
        <f t="shared" si="10"/>
        <v>15600</v>
      </c>
      <c r="AL19" s="223">
        <f t="shared" si="53"/>
        <v>210000000</v>
      </c>
      <c r="AM19" s="224">
        <v>4.5999999999999999E-2</v>
      </c>
      <c r="AN19" s="208">
        <f t="shared" si="11"/>
        <v>26833.333333333332</v>
      </c>
      <c r="AO19" s="223"/>
      <c r="AP19" s="224"/>
      <c r="AQ19" s="208">
        <f t="shared" si="12"/>
        <v>0</v>
      </c>
      <c r="AR19" s="223"/>
      <c r="AS19" s="224"/>
      <c r="AT19" s="208">
        <f t="shared" si="13"/>
        <v>0</v>
      </c>
      <c r="AW19" s="208">
        <f t="shared" si="14"/>
        <v>0</v>
      </c>
      <c r="AZ19" s="208">
        <f t="shared" si="15"/>
        <v>0</v>
      </c>
      <c r="BC19" s="208">
        <f t="shared" si="16"/>
        <v>0</v>
      </c>
      <c r="BF19" s="208">
        <f t="shared" si="17"/>
        <v>0</v>
      </c>
      <c r="BI19" s="208">
        <f t="shared" si="18"/>
        <v>0</v>
      </c>
      <c r="BL19" s="208">
        <f t="shared" si="19"/>
        <v>0</v>
      </c>
      <c r="BO19" s="208">
        <f t="shared" si="20"/>
        <v>0</v>
      </c>
      <c r="BR19" s="208">
        <f t="shared" si="21"/>
        <v>0</v>
      </c>
      <c r="BU19" s="208">
        <f t="shared" si="22"/>
        <v>0</v>
      </c>
      <c r="BX19" s="208">
        <f t="shared" si="23"/>
        <v>0</v>
      </c>
      <c r="CA19" s="208">
        <f t="shared" si="24"/>
        <v>0</v>
      </c>
      <c r="CD19" s="208">
        <f t="shared" si="25"/>
        <v>0</v>
      </c>
      <c r="CG19" s="208">
        <f t="shared" si="26"/>
        <v>0</v>
      </c>
      <c r="CJ19" s="208">
        <f t="shared" si="27"/>
        <v>0</v>
      </c>
      <c r="CM19" s="208">
        <f t="shared" si="28"/>
        <v>0</v>
      </c>
      <c r="CP19" s="208">
        <f t="shared" si="29"/>
        <v>0</v>
      </c>
      <c r="CS19" s="208">
        <f t="shared" si="30"/>
        <v>0</v>
      </c>
      <c r="CV19" s="208">
        <f t="shared" si="31"/>
        <v>0</v>
      </c>
      <c r="CY19" s="208">
        <f t="shared" si="32"/>
        <v>0</v>
      </c>
      <c r="DB19" s="208">
        <f t="shared" si="33"/>
        <v>0</v>
      </c>
      <c r="DE19" s="208">
        <f t="shared" si="34"/>
        <v>0</v>
      </c>
      <c r="DH19" s="208">
        <f t="shared" si="35"/>
        <v>0</v>
      </c>
      <c r="DK19" s="208">
        <f t="shared" si="36"/>
        <v>0</v>
      </c>
      <c r="DN19" s="208">
        <f t="shared" si="37"/>
        <v>0</v>
      </c>
      <c r="DQ19" s="208">
        <f t="shared" si="38"/>
        <v>0</v>
      </c>
      <c r="DT19" s="208">
        <f t="shared" si="39"/>
        <v>0</v>
      </c>
      <c r="DW19" s="208">
        <f t="shared" si="40"/>
        <v>0</v>
      </c>
      <c r="DZ19" s="208"/>
      <c r="EA19" s="208"/>
      <c r="EB19" s="228">
        <f t="shared" si="41"/>
        <v>334800000</v>
      </c>
      <c r="EC19" s="228">
        <f t="shared" si="42"/>
        <v>0</v>
      </c>
      <c r="ED19" s="208">
        <f t="shared" si="43"/>
        <v>42433.333333333328</v>
      </c>
      <c r="EE19" s="209">
        <f t="shared" si="44"/>
        <v>4.562724014336917E-2</v>
      </c>
      <c r="EG19" s="228">
        <f t="shared" si="45"/>
        <v>0</v>
      </c>
      <c r="EH19" s="208">
        <f t="shared" si="46"/>
        <v>0</v>
      </c>
      <c r="EI19" s="209">
        <f t="shared" si="47"/>
        <v>0</v>
      </c>
      <c r="EJ19" s="209"/>
      <c r="EK19" s="228">
        <f t="shared" si="48"/>
        <v>334800000</v>
      </c>
      <c r="EL19" s="228">
        <f t="shared" si="49"/>
        <v>0</v>
      </c>
      <c r="EM19" s="228">
        <f t="shared" si="50"/>
        <v>42433.333333333328</v>
      </c>
      <c r="EN19" s="209">
        <f t="shared" si="51"/>
        <v>4.562724014336917E-2</v>
      </c>
      <c r="EP19" s="208"/>
    </row>
    <row r="20" spans="1:146" x14ac:dyDescent="0.25">
      <c r="A20" s="222">
        <f t="shared" si="52"/>
        <v>45879</v>
      </c>
      <c r="B20" s="208">
        <v>0</v>
      </c>
      <c r="C20" s="209">
        <v>4.5777499999999999E-2</v>
      </c>
      <c r="D20" s="208">
        <f t="shared" si="1"/>
        <v>0</v>
      </c>
      <c r="G20" s="208">
        <f t="shared" si="2"/>
        <v>0</v>
      </c>
      <c r="J20" s="208">
        <f t="shared" si="3"/>
        <v>0</v>
      </c>
      <c r="M20" s="208">
        <f t="shared" si="4"/>
        <v>0</v>
      </c>
      <c r="P20" s="208">
        <f t="shared" si="5"/>
        <v>0</v>
      </c>
      <c r="S20" s="208">
        <f t="shared" si="6"/>
        <v>0</v>
      </c>
      <c r="V20" s="208">
        <f t="shared" si="7"/>
        <v>0</v>
      </c>
      <c r="Y20" s="208">
        <f t="shared" si="8"/>
        <v>0</v>
      </c>
      <c r="AB20" s="208">
        <f t="shared" si="9"/>
        <v>0</v>
      </c>
      <c r="AE20" s="208">
        <v>0</v>
      </c>
      <c r="AH20" s="208">
        <v>0</v>
      </c>
      <c r="AI20" s="223">
        <f>124800000</f>
        <v>124800000</v>
      </c>
      <c r="AJ20" s="224">
        <v>4.4999999999999998E-2</v>
      </c>
      <c r="AK20" s="208">
        <f t="shared" si="10"/>
        <v>15600</v>
      </c>
      <c r="AL20" s="223">
        <f t="shared" si="53"/>
        <v>210000000</v>
      </c>
      <c r="AM20" s="224">
        <v>4.5999999999999999E-2</v>
      </c>
      <c r="AN20" s="208">
        <f t="shared" si="11"/>
        <v>26833.333333333332</v>
      </c>
      <c r="AO20" s="223"/>
      <c r="AP20" s="224"/>
      <c r="AQ20" s="208">
        <f t="shared" si="12"/>
        <v>0</v>
      </c>
      <c r="AR20" s="223"/>
      <c r="AS20" s="224"/>
      <c r="AT20" s="208">
        <f t="shared" si="13"/>
        <v>0</v>
      </c>
      <c r="AW20" s="208">
        <f t="shared" si="14"/>
        <v>0</v>
      </c>
      <c r="AZ20" s="208">
        <f t="shared" si="15"/>
        <v>0</v>
      </c>
      <c r="BC20" s="208">
        <f t="shared" si="16"/>
        <v>0</v>
      </c>
      <c r="BF20" s="208">
        <f t="shared" si="17"/>
        <v>0</v>
      </c>
      <c r="BI20" s="208">
        <f t="shared" si="18"/>
        <v>0</v>
      </c>
      <c r="BL20" s="208">
        <f t="shared" si="19"/>
        <v>0</v>
      </c>
      <c r="BO20" s="208">
        <f t="shared" si="20"/>
        <v>0</v>
      </c>
      <c r="BR20" s="208">
        <f t="shared" si="21"/>
        <v>0</v>
      </c>
      <c r="BU20" s="208">
        <f t="shared" si="22"/>
        <v>0</v>
      </c>
      <c r="BX20" s="208">
        <f t="shared" si="23"/>
        <v>0</v>
      </c>
      <c r="CA20" s="208">
        <f t="shared" si="24"/>
        <v>0</v>
      </c>
      <c r="CD20" s="208">
        <f t="shared" si="25"/>
        <v>0</v>
      </c>
      <c r="CG20" s="208">
        <f t="shared" si="26"/>
        <v>0</v>
      </c>
      <c r="CJ20" s="208">
        <f t="shared" si="27"/>
        <v>0</v>
      </c>
      <c r="CM20" s="208">
        <f t="shared" si="28"/>
        <v>0</v>
      </c>
      <c r="CP20" s="208">
        <f t="shared" si="29"/>
        <v>0</v>
      </c>
      <c r="CS20" s="208">
        <f t="shared" si="30"/>
        <v>0</v>
      </c>
      <c r="CV20" s="208">
        <f t="shared" si="31"/>
        <v>0</v>
      </c>
      <c r="CY20" s="208">
        <f t="shared" si="32"/>
        <v>0</v>
      </c>
      <c r="DB20" s="208">
        <f t="shared" si="33"/>
        <v>0</v>
      </c>
      <c r="DE20" s="208">
        <f t="shared" si="34"/>
        <v>0</v>
      </c>
      <c r="DH20" s="208">
        <f t="shared" si="35"/>
        <v>0</v>
      </c>
      <c r="DK20" s="208">
        <f t="shared" si="36"/>
        <v>0</v>
      </c>
      <c r="DN20" s="208">
        <f t="shared" si="37"/>
        <v>0</v>
      </c>
      <c r="DQ20" s="208">
        <f t="shared" si="38"/>
        <v>0</v>
      </c>
      <c r="DT20" s="208">
        <f t="shared" si="39"/>
        <v>0</v>
      </c>
      <c r="DW20" s="208">
        <f t="shared" si="40"/>
        <v>0</v>
      </c>
      <c r="DZ20" s="208"/>
      <c r="EA20" s="208"/>
      <c r="EB20" s="228">
        <f t="shared" si="41"/>
        <v>334800000</v>
      </c>
      <c r="EC20" s="228">
        <f t="shared" si="42"/>
        <v>0</v>
      </c>
      <c r="ED20" s="208">
        <f t="shared" si="43"/>
        <v>42433.333333333328</v>
      </c>
      <c r="EE20" s="209">
        <f t="shared" si="44"/>
        <v>4.562724014336917E-2</v>
      </c>
      <c r="EG20" s="228">
        <f t="shared" si="45"/>
        <v>0</v>
      </c>
      <c r="EH20" s="208">
        <f t="shared" si="46"/>
        <v>0</v>
      </c>
      <c r="EI20" s="209">
        <f t="shared" si="47"/>
        <v>0</v>
      </c>
      <c r="EJ20" s="209"/>
      <c r="EK20" s="228">
        <f t="shared" si="48"/>
        <v>334800000</v>
      </c>
      <c r="EL20" s="228">
        <f t="shared" si="49"/>
        <v>0</v>
      </c>
      <c r="EM20" s="228">
        <f t="shared" si="50"/>
        <v>42433.333333333328</v>
      </c>
      <c r="EN20" s="209">
        <f t="shared" si="51"/>
        <v>4.562724014336917E-2</v>
      </c>
      <c r="EP20" s="208"/>
    </row>
    <row r="21" spans="1:146" x14ac:dyDescent="0.25">
      <c r="A21" s="222">
        <f t="shared" si="52"/>
        <v>45880</v>
      </c>
      <c r="B21" s="208">
        <v>0</v>
      </c>
      <c r="C21" s="209">
        <v>4.5777939999999996E-2</v>
      </c>
      <c r="D21" s="208">
        <f t="shared" si="1"/>
        <v>0</v>
      </c>
      <c r="G21" s="208">
        <f t="shared" si="2"/>
        <v>0</v>
      </c>
      <c r="J21" s="208">
        <f t="shared" si="3"/>
        <v>0</v>
      </c>
      <c r="M21" s="208">
        <f t="shared" si="4"/>
        <v>0</v>
      </c>
      <c r="P21" s="208">
        <f t="shared" si="5"/>
        <v>0</v>
      </c>
      <c r="S21" s="208">
        <f t="shared" si="6"/>
        <v>0</v>
      </c>
      <c r="V21" s="208">
        <f t="shared" si="7"/>
        <v>0</v>
      </c>
      <c r="Y21" s="208">
        <f t="shared" si="8"/>
        <v>0</v>
      </c>
      <c r="AB21" s="208">
        <f t="shared" si="9"/>
        <v>0</v>
      </c>
      <c r="AE21" s="208">
        <v>0</v>
      </c>
      <c r="AH21" s="208">
        <v>0</v>
      </c>
      <c r="AI21" s="223">
        <f>137225000</f>
        <v>137225000</v>
      </c>
      <c r="AJ21" s="224">
        <v>4.4999999999999998E-2</v>
      </c>
      <c r="AK21" s="208">
        <f t="shared" si="10"/>
        <v>17153.125</v>
      </c>
      <c r="AL21" s="223">
        <f t="shared" si="53"/>
        <v>210000000</v>
      </c>
      <c r="AM21" s="224">
        <v>4.5999999999999999E-2</v>
      </c>
      <c r="AN21" s="208">
        <f t="shared" si="11"/>
        <v>26833.333333333332</v>
      </c>
      <c r="AO21" s="223"/>
      <c r="AP21" s="224"/>
      <c r="AQ21" s="208">
        <f t="shared" si="12"/>
        <v>0</v>
      </c>
      <c r="AR21" s="223"/>
      <c r="AS21" s="224"/>
      <c r="AT21" s="208">
        <f t="shared" si="13"/>
        <v>0</v>
      </c>
      <c r="AW21" s="208">
        <f t="shared" si="14"/>
        <v>0</v>
      </c>
      <c r="AZ21" s="208">
        <f t="shared" si="15"/>
        <v>0</v>
      </c>
      <c r="BC21" s="208">
        <f t="shared" si="16"/>
        <v>0</v>
      </c>
      <c r="BF21" s="208">
        <f t="shared" si="17"/>
        <v>0</v>
      </c>
      <c r="BI21" s="208">
        <f t="shared" si="18"/>
        <v>0</v>
      </c>
      <c r="BL21" s="208">
        <f t="shared" si="19"/>
        <v>0</v>
      </c>
      <c r="BO21" s="208">
        <f t="shared" si="20"/>
        <v>0</v>
      </c>
      <c r="BR21" s="208">
        <f t="shared" si="21"/>
        <v>0</v>
      </c>
      <c r="BU21" s="208">
        <f t="shared" si="22"/>
        <v>0</v>
      </c>
      <c r="BX21" s="208">
        <f t="shared" si="23"/>
        <v>0</v>
      </c>
      <c r="CA21" s="208">
        <f t="shared" si="24"/>
        <v>0</v>
      </c>
      <c r="CD21" s="208">
        <f t="shared" si="25"/>
        <v>0</v>
      </c>
      <c r="CG21" s="208">
        <f t="shared" si="26"/>
        <v>0</v>
      </c>
      <c r="CJ21" s="208">
        <f t="shared" si="27"/>
        <v>0</v>
      </c>
      <c r="CM21" s="208">
        <f t="shared" si="28"/>
        <v>0</v>
      </c>
      <c r="CP21" s="208">
        <f t="shared" si="29"/>
        <v>0</v>
      </c>
      <c r="CS21" s="208">
        <f t="shared" si="30"/>
        <v>0</v>
      </c>
      <c r="CV21" s="208">
        <f t="shared" si="31"/>
        <v>0</v>
      </c>
      <c r="CY21" s="208">
        <f t="shared" si="32"/>
        <v>0</v>
      </c>
      <c r="DB21" s="208">
        <f t="shared" si="33"/>
        <v>0</v>
      </c>
      <c r="DE21" s="208">
        <f t="shared" si="34"/>
        <v>0</v>
      </c>
      <c r="DH21" s="208">
        <f t="shared" si="35"/>
        <v>0</v>
      </c>
      <c r="DK21" s="208">
        <f t="shared" si="36"/>
        <v>0</v>
      </c>
      <c r="DN21" s="208">
        <f t="shared" si="37"/>
        <v>0</v>
      </c>
      <c r="DQ21" s="208">
        <f t="shared" si="38"/>
        <v>0</v>
      </c>
      <c r="DT21" s="208">
        <f t="shared" si="39"/>
        <v>0</v>
      </c>
      <c r="DW21" s="208">
        <f t="shared" si="40"/>
        <v>0</v>
      </c>
      <c r="DZ21" s="208"/>
      <c r="EA21" s="208"/>
      <c r="EB21" s="228">
        <f t="shared" si="41"/>
        <v>347225000</v>
      </c>
      <c r="EC21" s="228">
        <f t="shared" si="42"/>
        <v>0</v>
      </c>
      <c r="ED21" s="208">
        <f t="shared" si="43"/>
        <v>43986.458333333328</v>
      </c>
      <c r="EE21" s="209">
        <f t="shared" si="44"/>
        <v>4.5604795161638706E-2</v>
      </c>
      <c r="EG21" s="228">
        <f t="shared" si="45"/>
        <v>0</v>
      </c>
      <c r="EH21" s="208">
        <f t="shared" si="46"/>
        <v>0</v>
      </c>
      <c r="EI21" s="209">
        <f t="shared" si="47"/>
        <v>0</v>
      </c>
      <c r="EJ21" s="209"/>
      <c r="EK21" s="228">
        <f t="shared" si="48"/>
        <v>347225000</v>
      </c>
      <c r="EL21" s="228">
        <f t="shared" si="49"/>
        <v>0</v>
      </c>
      <c r="EM21" s="228">
        <f t="shared" si="50"/>
        <v>43986.458333333328</v>
      </c>
      <c r="EN21" s="209">
        <f t="shared" si="51"/>
        <v>4.5604795161638706E-2</v>
      </c>
      <c r="EP21" s="208"/>
    </row>
    <row r="22" spans="1:146" x14ac:dyDescent="0.25">
      <c r="A22" s="222">
        <f t="shared" si="52"/>
        <v>45881</v>
      </c>
      <c r="B22" s="208">
        <v>0</v>
      </c>
      <c r="C22" s="209">
        <v>4.5782969999999999E-2</v>
      </c>
      <c r="D22" s="208">
        <f t="shared" si="1"/>
        <v>0</v>
      </c>
      <c r="G22" s="208">
        <f t="shared" si="2"/>
        <v>0</v>
      </c>
      <c r="J22" s="208">
        <f t="shared" si="3"/>
        <v>0</v>
      </c>
      <c r="M22" s="208">
        <f t="shared" si="4"/>
        <v>0</v>
      </c>
      <c r="P22" s="208">
        <f t="shared" si="5"/>
        <v>0</v>
      </c>
      <c r="S22" s="208">
        <f t="shared" si="6"/>
        <v>0</v>
      </c>
      <c r="V22" s="208">
        <f t="shared" si="7"/>
        <v>0</v>
      </c>
      <c r="Y22" s="208">
        <f t="shared" si="8"/>
        <v>0</v>
      </c>
      <c r="AB22" s="208">
        <f t="shared" si="9"/>
        <v>0</v>
      </c>
      <c r="AE22" s="208">
        <v>0</v>
      </c>
      <c r="AH22" s="208">
        <v>0</v>
      </c>
      <c r="AI22" s="223">
        <f>45000000+70325000</f>
        <v>115325000</v>
      </c>
      <c r="AJ22" s="224">
        <v>4.4999999999999998E-2</v>
      </c>
      <c r="AK22" s="208">
        <f t="shared" si="10"/>
        <v>14415.625</v>
      </c>
      <c r="AL22" s="223">
        <f t="shared" si="53"/>
        <v>210000000</v>
      </c>
      <c r="AM22" s="224">
        <v>4.5999999999999999E-2</v>
      </c>
      <c r="AN22" s="208">
        <f t="shared" si="11"/>
        <v>26833.333333333332</v>
      </c>
      <c r="AO22" s="223"/>
      <c r="AP22" s="224"/>
      <c r="AQ22" s="208">
        <f t="shared" si="12"/>
        <v>0</v>
      </c>
      <c r="AR22" s="223"/>
      <c r="AS22" s="224"/>
      <c r="AT22" s="208">
        <f t="shared" si="13"/>
        <v>0</v>
      </c>
      <c r="AW22" s="208">
        <f t="shared" si="14"/>
        <v>0</v>
      </c>
      <c r="AZ22" s="208">
        <f t="shared" si="15"/>
        <v>0</v>
      </c>
      <c r="BC22" s="208">
        <f t="shared" si="16"/>
        <v>0</v>
      </c>
      <c r="BF22" s="208">
        <f t="shared" si="17"/>
        <v>0</v>
      </c>
      <c r="BI22" s="208">
        <f t="shared" si="18"/>
        <v>0</v>
      </c>
      <c r="BL22" s="208">
        <f t="shared" si="19"/>
        <v>0</v>
      </c>
      <c r="BO22" s="208">
        <f t="shared" si="20"/>
        <v>0</v>
      </c>
      <c r="BR22" s="208">
        <f t="shared" si="21"/>
        <v>0</v>
      </c>
      <c r="BU22" s="208">
        <f t="shared" si="22"/>
        <v>0</v>
      </c>
      <c r="BX22" s="208">
        <f t="shared" si="23"/>
        <v>0</v>
      </c>
      <c r="CA22" s="208">
        <f t="shared" si="24"/>
        <v>0</v>
      </c>
      <c r="CD22" s="208">
        <f t="shared" si="25"/>
        <v>0</v>
      </c>
      <c r="CG22" s="208">
        <f t="shared" si="26"/>
        <v>0</v>
      </c>
      <c r="CJ22" s="208">
        <f t="shared" si="27"/>
        <v>0</v>
      </c>
      <c r="CM22" s="208">
        <f t="shared" si="28"/>
        <v>0</v>
      </c>
      <c r="CP22" s="208">
        <f t="shared" si="29"/>
        <v>0</v>
      </c>
      <c r="CS22" s="208">
        <f t="shared" si="30"/>
        <v>0</v>
      </c>
      <c r="CV22" s="208">
        <f t="shared" si="31"/>
        <v>0</v>
      </c>
      <c r="CY22" s="208">
        <f t="shared" si="32"/>
        <v>0</v>
      </c>
      <c r="DB22" s="208">
        <f t="shared" si="33"/>
        <v>0</v>
      </c>
      <c r="DE22" s="208">
        <f t="shared" si="34"/>
        <v>0</v>
      </c>
      <c r="DH22" s="208">
        <f t="shared" si="35"/>
        <v>0</v>
      </c>
      <c r="DK22" s="208">
        <f t="shared" si="36"/>
        <v>0</v>
      </c>
      <c r="DN22" s="208">
        <f t="shared" si="37"/>
        <v>0</v>
      </c>
      <c r="DQ22" s="208">
        <f t="shared" si="38"/>
        <v>0</v>
      </c>
      <c r="DT22" s="208">
        <f t="shared" si="39"/>
        <v>0</v>
      </c>
      <c r="DW22" s="208">
        <f t="shared" si="40"/>
        <v>0</v>
      </c>
      <c r="DZ22" s="208"/>
      <c r="EA22" s="208"/>
      <c r="EB22" s="228">
        <f t="shared" si="41"/>
        <v>325325000</v>
      </c>
      <c r="EC22" s="228">
        <f t="shared" si="42"/>
        <v>0</v>
      </c>
      <c r="ED22" s="208">
        <f t="shared" si="43"/>
        <v>41248.958333333328</v>
      </c>
      <c r="EE22" s="209">
        <f t="shared" si="44"/>
        <v>4.5645508337816026E-2</v>
      </c>
      <c r="EG22" s="228">
        <f t="shared" si="45"/>
        <v>0</v>
      </c>
      <c r="EH22" s="208">
        <f t="shared" si="46"/>
        <v>0</v>
      </c>
      <c r="EI22" s="209">
        <f t="shared" si="47"/>
        <v>0</v>
      </c>
      <c r="EJ22" s="209"/>
      <c r="EK22" s="228">
        <f t="shared" si="48"/>
        <v>325325000</v>
      </c>
      <c r="EL22" s="228">
        <f t="shared" si="49"/>
        <v>0</v>
      </c>
      <c r="EM22" s="228">
        <f t="shared" si="50"/>
        <v>41248.958333333328</v>
      </c>
      <c r="EN22" s="209">
        <f t="shared" si="51"/>
        <v>4.5645508337816026E-2</v>
      </c>
      <c r="EP22" s="208"/>
    </row>
    <row r="23" spans="1:146" x14ac:dyDescent="0.25">
      <c r="A23" s="222">
        <f t="shared" si="52"/>
        <v>45882</v>
      </c>
      <c r="B23" s="208">
        <v>0</v>
      </c>
      <c r="C23" s="209">
        <v>4.5698559999999999E-2</v>
      </c>
      <c r="D23" s="208">
        <f t="shared" si="1"/>
        <v>0</v>
      </c>
      <c r="G23" s="208">
        <f t="shared" si="2"/>
        <v>0</v>
      </c>
      <c r="J23" s="208">
        <f t="shared" si="3"/>
        <v>0</v>
      </c>
      <c r="M23" s="208">
        <f t="shared" si="4"/>
        <v>0</v>
      </c>
      <c r="P23" s="208">
        <f t="shared" si="5"/>
        <v>0</v>
      </c>
      <c r="S23" s="208">
        <f t="shared" si="6"/>
        <v>0</v>
      </c>
      <c r="V23" s="208">
        <f t="shared" si="7"/>
        <v>0</v>
      </c>
      <c r="Y23" s="208">
        <f t="shared" si="8"/>
        <v>0</v>
      </c>
      <c r="AB23" s="208">
        <f t="shared" si="9"/>
        <v>0</v>
      </c>
      <c r="AE23" s="208">
        <v>0</v>
      </c>
      <c r="AH23" s="208">
        <v>0</v>
      </c>
      <c r="AI23" s="223">
        <f>50000000+36825000+100000</f>
        <v>86925000</v>
      </c>
      <c r="AJ23" s="224">
        <v>4.4999999999999998E-2</v>
      </c>
      <c r="AK23" s="208">
        <f t="shared" si="10"/>
        <v>10865.625</v>
      </c>
      <c r="AL23" s="223">
        <f t="shared" si="53"/>
        <v>210000000</v>
      </c>
      <c r="AM23" s="224">
        <v>4.5999999999999999E-2</v>
      </c>
      <c r="AN23" s="208">
        <f t="shared" si="11"/>
        <v>26833.333333333332</v>
      </c>
      <c r="AO23" s="223">
        <f t="shared" ref="AO23:AO41" si="54">30000000</f>
        <v>30000000</v>
      </c>
      <c r="AP23" s="224">
        <v>4.5499999999999999E-2</v>
      </c>
      <c r="AQ23" s="208">
        <f t="shared" si="12"/>
        <v>3791.6666666666665</v>
      </c>
      <c r="AR23" s="223"/>
      <c r="AS23" s="224"/>
      <c r="AT23" s="208">
        <f t="shared" si="13"/>
        <v>0</v>
      </c>
      <c r="AW23" s="208">
        <f t="shared" si="14"/>
        <v>0</v>
      </c>
      <c r="AZ23" s="208">
        <f t="shared" si="15"/>
        <v>0</v>
      </c>
      <c r="BC23" s="208">
        <f t="shared" si="16"/>
        <v>0</v>
      </c>
      <c r="BF23" s="208">
        <f t="shared" si="17"/>
        <v>0</v>
      </c>
      <c r="BI23" s="208">
        <f t="shared" si="18"/>
        <v>0</v>
      </c>
      <c r="BL23" s="208">
        <f t="shared" si="19"/>
        <v>0</v>
      </c>
      <c r="BO23" s="208">
        <f t="shared" si="20"/>
        <v>0</v>
      </c>
      <c r="BR23" s="208">
        <f t="shared" si="21"/>
        <v>0</v>
      </c>
      <c r="BU23" s="208">
        <f t="shared" si="22"/>
        <v>0</v>
      </c>
      <c r="BX23" s="208">
        <f t="shared" si="23"/>
        <v>0</v>
      </c>
      <c r="CA23" s="208">
        <f t="shared" si="24"/>
        <v>0</v>
      </c>
      <c r="CD23" s="208">
        <f t="shared" si="25"/>
        <v>0</v>
      </c>
      <c r="CG23" s="208">
        <f t="shared" si="26"/>
        <v>0</v>
      </c>
      <c r="CJ23" s="208">
        <f t="shared" si="27"/>
        <v>0</v>
      </c>
      <c r="CM23" s="208">
        <f t="shared" si="28"/>
        <v>0</v>
      </c>
      <c r="CP23" s="208">
        <f t="shared" si="29"/>
        <v>0</v>
      </c>
      <c r="CS23" s="208">
        <f t="shared" si="30"/>
        <v>0</v>
      </c>
      <c r="CV23" s="208">
        <f t="shared" si="31"/>
        <v>0</v>
      </c>
      <c r="CY23" s="208">
        <f t="shared" si="32"/>
        <v>0</v>
      </c>
      <c r="DB23" s="208">
        <f t="shared" si="33"/>
        <v>0</v>
      </c>
      <c r="DE23" s="208">
        <f t="shared" si="34"/>
        <v>0</v>
      </c>
      <c r="DH23" s="208">
        <f t="shared" si="35"/>
        <v>0</v>
      </c>
      <c r="DK23" s="208">
        <f t="shared" si="36"/>
        <v>0</v>
      </c>
      <c r="DN23" s="208">
        <f t="shared" si="37"/>
        <v>0</v>
      </c>
      <c r="DQ23" s="208">
        <f t="shared" si="38"/>
        <v>0</v>
      </c>
      <c r="DT23" s="208">
        <f t="shared" si="39"/>
        <v>0</v>
      </c>
      <c r="DW23" s="208">
        <f t="shared" si="40"/>
        <v>0</v>
      </c>
      <c r="DZ23" s="208"/>
      <c r="EA23" s="208"/>
      <c r="EB23" s="228">
        <f t="shared" si="41"/>
        <v>326925000</v>
      </c>
      <c r="EC23" s="228">
        <f t="shared" si="42"/>
        <v>0</v>
      </c>
      <c r="ED23" s="208">
        <f t="shared" si="43"/>
        <v>41490.624999999993</v>
      </c>
      <c r="EE23" s="209">
        <f t="shared" si="44"/>
        <v>4.5688231245698548E-2</v>
      </c>
      <c r="EG23" s="228">
        <f t="shared" si="45"/>
        <v>0</v>
      </c>
      <c r="EH23" s="208">
        <f t="shared" si="46"/>
        <v>0</v>
      </c>
      <c r="EI23" s="209">
        <f t="shared" si="47"/>
        <v>0</v>
      </c>
      <c r="EJ23" s="209"/>
      <c r="EK23" s="228">
        <f t="shared" si="48"/>
        <v>326925000</v>
      </c>
      <c r="EL23" s="228">
        <f t="shared" si="49"/>
        <v>0</v>
      </c>
      <c r="EM23" s="228">
        <f t="shared" si="50"/>
        <v>41490.625</v>
      </c>
      <c r="EN23" s="209">
        <f t="shared" si="51"/>
        <v>4.5688231245698548E-2</v>
      </c>
      <c r="EP23" s="208"/>
    </row>
    <row r="24" spans="1:146" x14ac:dyDescent="0.25">
      <c r="A24" s="222">
        <f t="shared" si="52"/>
        <v>45883</v>
      </c>
      <c r="B24" s="208">
        <v>0</v>
      </c>
      <c r="C24" s="209">
        <v>4.5699360000000001E-2</v>
      </c>
      <c r="D24" s="208">
        <f t="shared" si="1"/>
        <v>0</v>
      </c>
      <c r="G24" s="208">
        <f t="shared" si="2"/>
        <v>0</v>
      </c>
      <c r="J24" s="208">
        <f t="shared" si="3"/>
        <v>0</v>
      </c>
      <c r="M24" s="208">
        <f t="shared" si="4"/>
        <v>0</v>
      </c>
      <c r="P24" s="208">
        <f t="shared" si="5"/>
        <v>0</v>
      </c>
      <c r="S24" s="208">
        <f t="shared" si="6"/>
        <v>0</v>
      </c>
      <c r="V24" s="208">
        <f t="shared" si="7"/>
        <v>0</v>
      </c>
      <c r="Y24" s="208">
        <f t="shared" si="8"/>
        <v>0</v>
      </c>
      <c r="AB24" s="208">
        <f t="shared" si="9"/>
        <v>0</v>
      </c>
      <c r="AE24" s="208">
        <v>0</v>
      </c>
      <c r="AH24" s="208">
        <v>0</v>
      </c>
      <c r="AI24" s="223">
        <f>30000000+56300000</f>
        <v>86300000</v>
      </c>
      <c r="AJ24" s="224">
        <v>4.4999999999999998E-2</v>
      </c>
      <c r="AK24" s="208">
        <f t="shared" si="10"/>
        <v>10787.5</v>
      </c>
      <c r="AL24" s="223">
        <f t="shared" si="53"/>
        <v>210000000</v>
      </c>
      <c r="AM24" s="224">
        <v>4.5999999999999999E-2</v>
      </c>
      <c r="AN24" s="208">
        <f t="shared" si="11"/>
        <v>26833.333333333332</v>
      </c>
      <c r="AO24" s="223">
        <f t="shared" si="54"/>
        <v>30000000</v>
      </c>
      <c r="AP24" s="224">
        <v>4.5499999999999999E-2</v>
      </c>
      <c r="AQ24" s="208">
        <f t="shared" si="12"/>
        <v>3791.6666666666665</v>
      </c>
      <c r="AR24" s="223"/>
      <c r="AS24" s="224"/>
      <c r="AT24" s="208">
        <f t="shared" si="13"/>
        <v>0</v>
      </c>
      <c r="AW24" s="208">
        <f t="shared" si="14"/>
        <v>0</v>
      </c>
      <c r="AZ24" s="208">
        <f t="shared" si="15"/>
        <v>0</v>
      </c>
      <c r="BC24" s="208">
        <f t="shared" si="16"/>
        <v>0</v>
      </c>
      <c r="BF24" s="208">
        <f t="shared" si="17"/>
        <v>0</v>
      </c>
      <c r="BI24" s="208">
        <f t="shared" si="18"/>
        <v>0</v>
      </c>
      <c r="BL24" s="208">
        <f t="shared" si="19"/>
        <v>0</v>
      </c>
      <c r="BO24" s="208">
        <f t="shared" si="20"/>
        <v>0</v>
      </c>
      <c r="BR24" s="208">
        <f t="shared" si="21"/>
        <v>0</v>
      </c>
      <c r="BU24" s="208">
        <f t="shared" si="22"/>
        <v>0</v>
      </c>
      <c r="BX24" s="208">
        <f t="shared" si="23"/>
        <v>0</v>
      </c>
      <c r="CA24" s="208">
        <f t="shared" si="24"/>
        <v>0</v>
      </c>
      <c r="CD24" s="208">
        <f t="shared" si="25"/>
        <v>0</v>
      </c>
      <c r="CG24" s="208">
        <f t="shared" si="26"/>
        <v>0</v>
      </c>
      <c r="CJ24" s="208">
        <f t="shared" si="27"/>
        <v>0</v>
      </c>
      <c r="CM24" s="208">
        <f t="shared" si="28"/>
        <v>0</v>
      </c>
      <c r="CP24" s="208">
        <f t="shared" si="29"/>
        <v>0</v>
      </c>
      <c r="CS24" s="208">
        <f t="shared" si="30"/>
        <v>0</v>
      </c>
      <c r="CV24" s="208">
        <f t="shared" si="31"/>
        <v>0</v>
      </c>
      <c r="CY24" s="208">
        <f t="shared" si="32"/>
        <v>0</v>
      </c>
      <c r="DB24" s="208">
        <f t="shared" si="33"/>
        <v>0</v>
      </c>
      <c r="DE24" s="208">
        <f t="shared" si="34"/>
        <v>0</v>
      </c>
      <c r="DH24" s="208">
        <f t="shared" si="35"/>
        <v>0</v>
      </c>
      <c r="DK24" s="208">
        <f t="shared" si="36"/>
        <v>0</v>
      </c>
      <c r="DN24" s="208">
        <f t="shared" si="37"/>
        <v>0</v>
      </c>
      <c r="DQ24" s="208">
        <f t="shared" si="38"/>
        <v>0</v>
      </c>
      <c r="DT24" s="208">
        <f t="shared" si="39"/>
        <v>0</v>
      </c>
      <c r="DW24" s="208">
        <f t="shared" si="40"/>
        <v>0</v>
      </c>
      <c r="DZ24" s="208"/>
      <c r="EA24" s="208"/>
      <c r="EB24" s="228">
        <f t="shared" si="41"/>
        <v>326300000</v>
      </c>
      <c r="EC24" s="228">
        <f t="shared" si="42"/>
        <v>0</v>
      </c>
      <c r="ED24" s="208">
        <f t="shared" si="43"/>
        <v>41412.499999999993</v>
      </c>
      <c r="EE24" s="209">
        <f t="shared" si="44"/>
        <v>4.5689549494330364E-2</v>
      </c>
      <c r="EG24" s="228">
        <f t="shared" si="45"/>
        <v>0</v>
      </c>
      <c r="EH24" s="208">
        <f t="shared" si="46"/>
        <v>0</v>
      </c>
      <c r="EI24" s="209">
        <f t="shared" si="47"/>
        <v>0</v>
      </c>
      <c r="EJ24" s="209"/>
      <c r="EK24" s="228">
        <f t="shared" si="48"/>
        <v>326300000</v>
      </c>
      <c r="EL24" s="228">
        <f t="shared" si="49"/>
        <v>0</v>
      </c>
      <c r="EM24" s="228">
        <f t="shared" si="50"/>
        <v>41412.5</v>
      </c>
      <c r="EN24" s="209">
        <f t="shared" si="51"/>
        <v>4.5689549494330364E-2</v>
      </c>
      <c r="EP24" s="208"/>
    </row>
    <row r="25" spans="1:146" x14ac:dyDescent="0.25">
      <c r="A25" s="222">
        <f t="shared" si="52"/>
        <v>45884</v>
      </c>
      <c r="B25" s="208">
        <v>0</v>
      </c>
      <c r="C25" s="209">
        <v>4.5696920000000002E-2</v>
      </c>
      <c r="D25" s="208">
        <f t="shared" si="1"/>
        <v>0</v>
      </c>
      <c r="G25" s="208">
        <f t="shared" si="2"/>
        <v>0</v>
      </c>
      <c r="J25" s="208">
        <f t="shared" si="3"/>
        <v>0</v>
      </c>
      <c r="M25" s="208">
        <f t="shared" si="4"/>
        <v>0</v>
      </c>
      <c r="P25" s="208">
        <f t="shared" si="5"/>
        <v>0</v>
      </c>
      <c r="S25" s="208">
        <f t="shared" si="6"/>
        <v>0</v>
      </c>
      <c r="V25" s="208">
        <f t="shared" si="7"/>
        <v>0</v>
      </c>
      <c r="Y25" s="208">
        <f t="shared" si="8"/>
        <v>0</v>
      </c>
      <c r="AB25" s="208">
        <f t="shared" si="9"/>
        <v>0</v>
      </c>
      <c r="AE25" s="208">
        <v>0</v>
      </c>
      <c r="AH25" s="208">
        <v>0</v>
      </c>
      <c r="AI25" s="223">
        <f>35000000+36350000+40000000</f>
        <v>111350000</v>
      </c>
      <c r="AJ25" s="224">
        <v>4.4999999999999998E-2</v>
      </c>
      <c r="AK25" s="208">
        <f t="shared" si="10"/>
        <v>13918.75</v>
      </c>
      <c r="AL25" s="223">
        <f t="shared" ref="AL25:AL35" si="55">33905000+66095000+42375000+27625000</f>
        <v>170000000</v>
      </c>
      <c r="AM25" s="224">
        <v>4.5999999999999999E-2</v>
      </c>
      <c r="AN25" s="208">
        <f t="shared" si="11"/>
        <v>21722.222222222223</v>
      </c>
      <c r="AO25" s="223">
        <f t="shared" si="54"/>
        <v>30000000</v>
      </c>
      <c r="AP25" s="224">
        <v>4.5499999999999999E-2</v>
      </c>
      <c r="AQ25" s="208">
        <f t="shared" si="12"/>
        <v>3791.6666666666665</v>
      </c>
      <c r="AR25" s="223"/>
      <c r="AS25" s="224"/>
      <c r="AT25" s="208">
        <f t="shared" si="13"/>
        <v>0</v>
      </c>
      <c r="AW25" s="208">
        <f t="shared" si="14"/>
        <v>0</v>
      </c>
      <c r="AZ25" s="208">
        <f t="shared" si="15"/>
        <v>0</v>
      </c>
      <c r="BC25" s="208">
        <f t="shared" si="16"/>
        <v>0</v>
      </c>
      <c r="BF25" s="208">
        <f t="shared" si="17"/>
        <v>0</v>
      </c>
      <c r="BI25" s="208">
        <f t="shared" si="18"/>
        <v>0</v>
      </c>
      <c r="BL25" s="208">
        <f t="shared" si="19"/>
        <v>0</v>
      </c>
      <c r="BO25" s="208">
        <f t="shared" si="20"/>
        <v>0</v>
      </c>
      <c r="BR25" s="208">
        <f t="shared" si="21"/>
        <v>0</v>
      </c>
      <c r="BU25" s="208">
        <f t="shared" si="22"/>
        <v>0</v>
      </c>
      <c r="BX25" s="208">
        <f t="shared" si="23"/>
        <v>0</v>
      </c>
      <c r="CA25" s="208">
        <f t="shared" si="24"/>
        <v>0</v>
      </c>
      <c r="CD25" s="208">
        <f t="shared" si="25"/>
        <v>0</v>
      </c>
      <c r="CG25" s="208">
        <f t="shared" si="26"/>
        <v>0</v>
      </c>
      <c r="CJ25" s="208">
        <f t="shared" si="27"/>
        <v>0</v>
      </c>
      <c r="CM25" s="208">
        <f t="shared" si="28"/>
        <v>0</v>
      </c>
      <c r="CP25" s="208">
        <f t="shared" si="29"/>
        <v>0</v>
      </c>
      <c r="CS25" s="208">
        <f t="shared" si="30"/>
        <v>0</v>
      </c>
      <c r="CV25" s="208">
        <f t="shared" si="31"/>
        <v>0</v>
      </c>
      <c r="CY25" s="208">
        <f t="shared" si="32"/>
        <v>0</v>
      </c>
      <c r="DB25" s="208">
        <f t="shared" si="33"/>
        <v>0</v>
      </c>
      <c r="DE25" s="208">
        <f t="shared" si="34"/>
        <v>0</v>
      </c>
      <c r="DH25" s="208">
        <f t="shared" si="35"/>
        <v>0</v>
      </c>
      <c r="DK25" s="208">
        <f t="shared" si="36"/>
        <v>0</v>
      </c>
      <c r="DN25" s="208">
        <f t="shared" si="37"/>
        <v>0</v>
      </c>
      <c r="DQ25" s="208">
        <f t="shared" si="38"/>
        <v>0</v>
      </c>
      <c r="DT25" s="208">
        <f t="shared" si="39"/>
        <v>0</v>
      </c>
      <c r="DW25" s="208">
        <f t="shared" si="40"/>
        <v>0</v>
      </c>
      <c r="DZ25" s="208"/>
      <c r="EA25" s="208"/>
      <c r="EB25" s="228">
        <f t="shared" si="41"/>
        <v>311350000</v>
      </c>
      <c r="EC25" s="228">
        <f t="shared" si="42"/>
        <v>0</v>
      </c>
      <c r="ED25" s="208">
        <f t="shared" si="43"/>
        <v>39432.638888888883</v>
      </c>
      <c r="EE25" s="209">
        <f t="shared" si="44"/>
        <v>4.5594186606712696E-2</v>
      </c>
      <c r="EG25" s="228">
        <f t="shared" si="45"/>
        <v>0</v>
      </c>
      <c r="EH25" s="208">
        <f t="shared" si="46"/>
        <v>0</v>
      </c>
      <c r="EI25" s="209">
        <f t="shared" si="47"/>
        <v>0</v>
      </c>
      <c r="EJ25" s="209"/>
      <c r="EK25" s="228">
        <f t="shared" si="48"/>
        <v>311350000</v>
      </c>
      <c r="EL25" s="228">
        <f t="shared" si="49"/>
        <v>0</v>
      </c>
      <c r="EM25" s="228">
        <f t="shared" si="50"/>
        <v>39432.638888888891</v>
      </c>
      <c r="EN25" s="209">
        <f t="shared" si="51"/>
        <v>4.5594186606712703E-2</v>
      </c>
      <c r="EP25" s="208"/>
    </row>
    <row r="26" spans="1:146" x14ac:dyDescent="0.25">
      <c r="A26" s="222">
        <f t="shared" si="52"/>
        <v>45885</v>
      </c>
      <c r="B26" s="208">
        <v>0</v>
      </c>
      <c r="C26" s="209">
        <v>4.5696920000000002E-2</v>
      </c>
      <c r="D26" s="208">
        <f t="shared" si="1"/>
        <v>0</v>
      </c>
      <c r="G26" s="208">
        <f t="shared" si="2"/>
        <v>0</v>
      </c>
      <c r="J26" s="208">
        <f t="shared" si="3"/>
        <v>0</v>
      </c>
      <c r="M26" s="208">
        <f t="shared" si="4"/>
        <v>0</v>
      </c>
      <c r="P26" s="208">
        <f t="shared" si="5"/>
        <v>0</v>
      </c>
      <c r="S26" s="208">
        <f t="shared" si="6"/>
        <v>0</v>
      </c>
      <c r="V26" s="208">
        <f t="shared" si="7"/>
        <v>0</v>
      </c>
      <c r="Y26" s="208">
        <f t="shared" si="8"/>
        <v>0</v>
      </c>
      <c r="AB26" s="208">
        <f t="shared" si="9"/>
        <v>0</v>
      </c>
      <c r="AE26" s="208">
        <v>0</v>
      </c>
      <c r="AH26" s="208">
        <v>0</v>
      </c>
      <c r="AI26" s="223">
        <f>35000000+36350000+40000000</f>
        <v>111350000</v>
      </c>
      <c r="AJ26" s="224">
        <v>4.4999999999999998E-2</v>
      </c>
      <c r="AK26" s="208">
        <f t="shared" si="10"/>
        <v>13918.75</v>
      </c>
      <c r="AL26" s="223">
        <f t="shared" si="55"/>
        <v>170000000</v>
      </c>
      <c r="AM26" s="224">
        <v>4.5999999999999999E-2</v>
      </c>
      <c r="AN26" s="208">
        <f t="shared" si="11"/>
        <v>21722.222222222223</v>
      </c>
      <c r="AO26" s="223">
        <f t="shared" si="54"/>
        <v>30000000</v>
      </c>
      <c r="AP26" s="224">
        <v>4.5499999999999999E-2</v>
      </c>
      <c r="AQ26" s="208">
        <f t="shared" si="12"/>
        <v>3791.6666666666665</v>
      </c>
      <c r="AR26" s="223"/>
      <c r="AS26" s="224"/>
      <c r="AT26" s="208">
        <f t="shared" si="13"/>
        <v>0</v>
      </c>
      <c r="AW26" s="208">
        <f t="shared" si="14"/>
        <v>0</v>
      </c>
      <c r="AZ26" s="208">
        <f t="shared" si="15"/>
        <v>0</v>
      </c>
      <c r="BC26" s="208">
        <f t="shared" si="16"/>
        <v>0</v>
      </c>
      <c r="BF26" s="208">
        <f t="shared" si="17"/>
        <v>0</v>
      </c>
      <c r="BI26" s="208">
        <f t="shared" si="18"/>
        <v>0</v>
      </c>
      <c r="BL26" s="208">
        <f t="shared" si="19"/>
        <v>0</v>
      </c>
      <c r="BO26" s="208">
        <f t="shared" si="20"/>
        <v>0</v>
      </c>
      <c r="BR26" s="208">
        <f t="shared" si="21"/>
        <v>0</v>
      </c>
      <c r="BU26" s="208">
        <f t="shared" si="22"/>
        <v>0</v>
      </c>
      <c r="BX26" s="208">
        <f t="shared" si="23"/>
        <v>0</v>
      </c>
      <c r="CA26" s="208">
        <f t="shared" si="24"/>
        <v>0</v>
      </c>
      <c r="CD26" s="208">
        <f t="shared" si="25"/>
        <v>0</v>
      </c>
      <c r="CG26" s="208">
        <f t="shared" si="26"/>
        <v>0</v>
      </c>
      <c r="CJ26" s="208">
        <f t="shared" si="27"/>
        <v>0</v>
      </c>
      <c r="CM26" s="208">
        <f t="shared" si="28"/>
        <v>0</v>
      </c>
      <c r="CP26" s="208">
        <f t="shared" si="29"/>
        <v>0</v>
      </c>
      <c r="CS26" s="208">
        <f t="shared" si="30"/>
        <v>0</v>
      </c>
      <c r="CV26" s="208">
        <f t="shared" si="31"/>
        <v>0</v>
      </c>
      <c r="CY26" s="208">
        <f t="shared" si="32"/>
        <v>0</v>
      </c>
      <c r="DB26" s="208">
        <f t="shared" si="33"/>
        <v>0</v>
      </c>
      <c r="DE26" s="208">
        <f t="shared" si="34"/>
        <v>0</v>
      </c>
      <c r="DH26" s="208">
        <f t="shared" si="35"/>
        <v>0</v>
      </c>
      <c r="DK26" s="208">
        <f t="shared" si="36"/>
        <v>0</v>
      </c>
      <c r="DN26" s="208">
        <f t="shared" si="37"/>
        <v>0</v>
      </c>
      <c r="DQ26" s="208">
        <f t="shared" si="38"/>
        <v>0</v>
      </c>
      <c r="DT26" s="208">
        <f t="shared" si="39"/>
        <v>0</v>
      </c>
      <c r="DW26" s="208">
        <f t="shared" si="40"/>
        <v>0</v>
      </c>
      <c r="DZ26" s="208"/>
      <c r="EA26" s="208"/>
      <c r="EB26" s="228">
        <f t="shared" si="41"/>
        <v>311350000</v>
      </c>
      <c r="EC26" s="228">
        <f t="shared" si="42"/>
        <v>0</v>
      </c>
      <c r="ED26" s="208">
        <f t="shared" si="43"/>
        <v>39432.638888888883</v>
      </c>
      <c r="EE26" s="209">
        <f t="shared" si="44"/>
        <v>4.5594186606712696E-2</v>
      </c>
      <c r="EG26" s="228">
        <f t="shared" si="45"/>
        <v>0</v>
      </c>
      <c r="EH26" s="208">
        <f t="shared" si="46"/>
        <v>0</v>
      </c>
      <c r="EI26" s="209">
        <f t="shared" si="47"/>
        <v>0</v>
      </c>
      <c r="EJ26" s="209"/>
      <c r="EK26" s="228">
        <f t="shared" si="48"/>
        <v>311350000</v>
      </c>
      <c r="EL26" s="228">
        <f t="shared" si="49"/>
        <v>0</v>
      </c>
      <c r="EM26" s="228">
        <f t="shared" si="50"/>
        <v>39432.638888888891</v>
      </c>
      <c r="EN26" s="209">
        <f t="shared" si="51"/>
        <v>4.5594186606712703E-2</v>
      </c>
      <c r="EP26" s="208"/>
    </row>
    <row r="27" spans="1:146" x14ac:dyDescent="0.25">
      <c r="A27" s="222">
        <f t="shared" si="52"/>
        <v>45886</v>
      </c>
      <c r="B27" s="208">
        <v>0</v>
      </c>
      <c r="C27" s="209">
        <v>4.5696920000000002E-2</v>
      </c>
      <c r="D27" s="208">
        <f t="shared" si="1"/>
        <v>0</v>
      </c>
      <c r="G27" s="208">
        <f t="shared" si="2"/>
        <v>0</v>
      </c>
      <c r="J27" s="208">
        <f t="shared" si="3"/>
        <v>0</v>
      </c>
      <c r="M27" s="208">
        <f t="shared" si="4"/>
        <v>0</v>
      </c>
      <c r="P27" s="208">
        <f t="shared" si="5"/>
        <v>0</v>
      </c>
      <c r="S27" s="208">
        <f t="shared" si="6"/>
        <v>0</v>
      </c>
      <c r="V27" s="208">
        <f t="shared" si="7"/>
        <v>0</v>
      </c>
      <c r="Y27" s="208">
        <f t="shared" si="8"/>
        <v>0</v>
      </c>
      <c r="AB27" s="208">
        <f t="shared" si="9"/>
        <v>0</v>
      </c>
      <c r="AE27" s="208">
        <v>0</v>
      </c>
      <c r="AH27" s="208">
        <v>0</v>
      </c>
      <c r="AI27" s="223">
        <f>35000000+36350000+40000000</f>
        <v>111350000</v>
      </c>
      <c r="AJ27" s="224">
        <v>4.4999999999999998E-2</v>
      </c>
      <c r="AK27" s="208">
        <f t="shared" si="10"/>
        <v>13918.75</v>
      </c>
      <c r="AL27" s="223">
        <f t="shared" si="55"/>
        <v>170000000</v>
      </c>
      <c r="AM27" s="224">
        <v>4.5999999999999999E-2</v>
      </c>
      <c r="AN27" s="208">
        <f t="shared" si="11"/>
        <v>21722.222222222223</v>
      </c>
      <c r="AO27" s="223">
        <f t="shared" si="54"/>
        <v>30000000</v>
      </c>
      <c r="AP27" s="224">
        <v>4.5499999999999999E-2</v>
      </c>
      <c r="AQ27" s="208">
        <f t="shared" si="12"/>
        <v>3791.6666666666665</v>
      </c>
      <c r="AR27" s="223"/>
      <c r="AS27" s="224"/>
      <c r="AT27" s="208">
        <f t="shared" si="13"/>
        <v>0</v>
      </c>
      <c r="AW27" s="208">
        <f t="shared" si="14"/>
        <v>0</v>
      </c>
      <c r="AZ27" s="208">
        <f t="shared" si="15"/>
        <v>0</v>
      </c>
      <c r="BC27" s="208">
        <f t="shared" si="16"/>
        <v>0</v>
      </c>
      <c r="BF27" s="208">
        <f t="shared" si="17"/>
        <v>0</v>
      </c>
      <c r="BI27" s="208">
        <f t="shared" si="18"/>
        <v>0</v>
      </c>
      <c r="BL27" s="208">
        <f t="shared" si="19"/>
        <v>0</v>
      </c>
      <c r="BO27" s="208">
        <f t="shared" si="20"/>
        <v>0</v>
      </c>
      <c r="BR27" s="208">
        <f t="shared" si="21"/>
        <v>0</v>
      </c>
      <c r="BU27" s="208">
        <f t="shared" si="22"/>
        <v>0</v>
      </c>
      <c r="BX27" s="208">
        <f t="shared" si="23"/>
        <v>0</v>
      </c>
      <c r="CA27" s="208">
        <f t="shared" si="24"/>
        <v>0</v>
      </c>
      <c r="CD27" s="208">
        <f t="shared" si="25"/>
        <v>0</v>
      </c>
      <c r="CG27" s="208">
        <f t="shared" si="26"/>
        <v>0</v>
      </c>
      <c r="CJ27" s="208">
        <f t="shared" si="27"/>
        <v>0</v>
      </c>
      <c r="CM27" s="208">
        <f t="shared" si="28"/>
        <v>0</v>
      </c>
      <c r="CP27" s="208">
        <f t="shared" si="29"/>
        <v>0</v>
      </c>
      <c r="CS27" s="208">
        <f t="shared" si="30"/>
        <v>0</v>
      </c>
      <c r="CV27" s="208">
        <f t="shared" si="31"/>
        <v>0</v>
      </c>
      <c r="CY27" s="208">
        <f t="shared" si="32"/>
        <v>0</v>
      </c>
      <c r="DB27" s="208">
        <f t="shared" si="33"/>
        <v>0</v>
      </c>
      <c r="DE27" s="208">
        <f t="shared" si="34"/>
        <v>0</v>
      </c>
      <c r="DH27" s="208">
        <f t="shared" si="35"/>
        <v>0</v>
      </c>
      <c r="DK27" s="208">
        <f t="shared" si="36"/>
        <v>0</v>
      </c>
      <c r="DN27" s="208">
        <f t="shared" si="37"/>
        <v>0</v>
      </c>
      <c r="DQ27" s="208">
        <f t="shared" si="38"/>
        <v>0</v>
      </c>
      <c r="DT27" s="208">
        <f t="shared" si="39"/>
        <v>0</v>
      </c>
      <c r="DW27" s="208">
        <f t="shared" si="40"/>
        <v>0</v>
      </c>
      <c r="DZ27" s="208"/>
      <c r="EA27" s="208"/>
      <c r="EB27" s="228">
        <f t="shared" si="41"/>
        <v>311350000</v>
      </c>
      <c r="EC27" s="228">
        <f t="shared" si="42"/>
        <v>0</v>
      </c>
      <c r="ED27" s="208">
        <f t="shared" si="43"/>
        <v>39432.638888888883</v>
      </c>
      <c r="EE27" s="209">
        <f t="shared" si="44"/>
        <v>4.5594186606712696E-2</v>
      </c>
      <c r="EG27" s="228">
        <f t="shared" si="45"/>
        <v>0</v>
      </c>
      <c r="EH27" s="208">
        <f t="shared" si="46"/>
        <v>0</v>
      </c>
      <c r="EI27" s="209">
        <f t="shared" si="47"/>
        <v>0</v>
      </c>
      <c r="EJ27" s="209"/>
      <c r="EK27" s="228">
        <f t="shared" si="48"/>
        <v>311350000</v>
      </c>
      <c r="EL27" s="228">
        <f t="shared" si="49"/>
        <v>0</v>
      </c>
      <c r="EM27" s="228">
        <f t="shared" si="50"/>
        <v>39432.638888888891</v>
      </c>
      <c r="EN27" s="209">
        <f t="shared" si="51"/>
        <v>4.5594186606712703E-2</v>
      </c>
      <c r="EP27" s="208"/>
    </row>
    <row r="28" spans="1:146" x14ac:dyDescent="0.25">
      <c r="A28" s="222">
        <f t="shared" si="52"/>
        <v>45887</v>
      </c>
      <c r="B28" s="208">
        <v>0</v>
      </c>
      <c r="C28" s="209">
        <v>4.5534249999999998E-2</v>
      </c>
      <c r="D28" s="208">
        <f t="shared" si="1"/>
        <v>0</v>
      </c>
      <c r="G28" s="208">
        <f t="shared" si="2"/>
        <v>0</v>
      </c>
      <c r="J28" s="208">
        <f t="shared" si="3"/>
        <v>0</v>
      </c>
      <c r="M28" s="208">
        <f t="shared" si="4"/>
        <v>0</v>
      </c>
      <c r="P28" s="208">
        <f t="shared" si="5"/>
        <v>0</v>
      </c>
      <c r="S28" s="208">
        <f t="shared" si="6"/>
        <v>0</v>
      </c>
      <c r="V28" s="208">
        <f t="shared" si="7"/>
        <v>0</v>
      </c>
      <c r="Y28" s="208">
        <f t="shared" si="8"/>
        <v>0</v>
      </c>
      <c r="AB28" s="208">
        <f t="shared" si="9"/>
        <v>0</v>
      </c>
      <c r="AE28" s="208">
        <v>0</v>
      </c>
      <c r="AH28" s="208">
        <v>0</v>
      </c>
      <c r="AI28" s="223">
        <f>60000000+49000000</f>
        <v>109000000</v>
      </c>
      <c r="AJ28" s="224">
        <v>4.4999999999999998E-2</v>
      </c>
      <c r="AK28" s="208">
        <f t="shared" si="10"/>
        <v>13625</v>
      </c>
      <c r="AL28" s="223">
        <f t="shared" si="55"/>
        <v>170000000</v>
      </c>
      <c r="AM28" s="224">
        <v>4.5999999999999999E-2</v>
      </c>
      <c r="AN28" s="208">
        <f t="shared" si="11"/>
        <v>21722.222222222223</v>
      </c>
      <c r="AO28" s="223">
        <f t="shared" si="54"/>
        <v>30000000</v>
      </c>
      <c r="AP28" s="224">
        <v>4.5499999999999999E-2</v>
      </c>
      <c r="AQ28" s="208">
        <f t="shared" si="12"/>
        <v>3791.6666666666665</v>
      </c>
      <c r="AR28" s="223"/>
      <c r="AS28" s="224"/>
      <c r="AT28" s="208">
        <f t="shared" si="13"/>
        <v>0</v>
      </c>
      <c r="AW28" s="208">
        <f t="shared" si="14"/>
        <v>0</v>
      </c>
      <c r="AZ28" s="208">
        <f t="shared" si="15"/>
        <v>0</v>
      </c>
      <c r="BC28" s="208">
        <f t="shared" si="16"/>
        <v>0</v>
      </c>
      <c r="BF28" s="208">
        <f t="shared" si="17"/>
        <v>0</v>
      </c>
      <c r="BI28" s="208">
        <f t="shared" si="18"/>
        <v>0</v>
      </c>
      <c r="BL28" s="208">
        <f t="shared" si="19"/>
        <v>0</v>
      </c>
      <c r="BO28" s="208">
        <f t="shared" si="20"/>
        <v>0</v>
      </c>
      <c r="BR28" s="208">
        <f t="shared" si="21"/>
        <v>0</v>
      </c>
      <c r="BU28" s="208">
        <f t="shared" si="22"/>
        <v>0</v>
      </c>
      <c r="BX28" s="208">
        <f t="shared" si="23"/>
        <v>0</v>
      </c>
      <c r="CA28" s="208">
        <f t="shared" si="24"/>
        <v>0</v>
      </c>
      <c r="CD28" s="208">
        <f t="shared" si="25"/>
        <v>0</v>
      </c>
      <c r="CG28" s="208">
        <f t="shared" si="26"/>
        <v>0</v>
      </c>
      <c r="CJ28" s="208">
        <f t="shared" si="27"/>
        <v>0</v>
      </c>
      <c r="CM28" s="208">
        <f t="shared" si="28"/>
        <v>0</v>
      </c>
      <c r="CP28" s="208">
        <f t="shared" si="29"/>
        <v>0</v>
      </c>
      <c r="CS28" s="208">
        <f t="shared" si="30"/>
        <v>0</v>
      </c>
      <c r="CV28" s="208">
        <f t="shared" si="31"/>
        <v>0</v>
      </c>
      <c r="CY28" s="208">
        <f t="shared" si="32"/>
        <v>0</v>
      </c>
      <c r="DB28" s="208">
        <f t="shared" si="33"/>
        <v>0</v>
      </c>
      <c r="DE28" s="208">
        <f t="shared" si="34"/>
        <v>0</v>
      </c>
      <c r="DH28" s="208">
        <f t="shared" si="35"/>
        <v>0</v>
      </c>
      <c r="DK28" s="208">
        <f t="shared" si="36"/>
        <v>0</v>
      </c>
      <c r="DN28" s="208">
        <f t="shared" si="37"/>
        <v>0</v>
      </c>
      <c r="DQ28" s="208">
        <f t="shared" si="38"/>
        <v>0</v>
      </c>
      <c r="DT28" s="208">
        <f t="shared" si="39"/>
        <v>0</v>
      </c>
      <c r="DW28" s="208">
        <f t="shared" si="40"/>
        <v>0</v>
      </c>
      <c r="DZ28" s="208"/>
      <c r="EA28" s="208"/>
      <c r="EB28" s="228">
        <f t="shared" si="41"/>
        <v>309000000</v>
      </c>
      <c r="EC28" s="228">
        <f t="shared" si="42"/>
        <v>0</v>
      </c>
      <c r="ED28" s="208">
        <f t="shared" si="43"/>
        <v>39138.888888888883</v>
      </c>
      <c r="EE28" s="209">
        <f t="shared" si="44"/>
        <v>4.5598705501618111E-2</v>
      </c>
      <c r="EG28" s="228">
        <f t="shared" si="45"/>
        <v>0</v>
      </c>
      <c r="EH28" s="208">
        <f t="shared" si="46"/>
        <v>0</v>
      </c>
      <c r="EI28" s="209">
        <f t="shared" si="47"/>
        <v>0</v>
      </c>
      <c r="EJ28" s="209"/>
      <c r="EK28" s="228">
        <f t="shared" si="48"/>
        <v>309000000</v>
      </c>
      <c r="EL28" s="228">
        <f t="shared" si="49"/>
        <v>0</v>
      </c>
      <c r="EM28" s="228">
        <f t="shared" si="50"/>
        <v>39138.888888888891</v>
      </c>
      <c r="EN28" s="209">
        <f t="shared" si="51"/>
        <v>4.5598705501618125E-2</v>
      </c>
      <c r="EP28" s="208"/>
    </row>
    <row r="29" spans="1:146" x14ac:dyDescent="0.25">
      <c r="A29" s="222">
        <f t="shared" si="52"/>
        <v>45888</v>
      </c>
      <c r="B29" s="208">
        <v>0</v>
      </c>
      <c r="C29" s="209">
        <v>4.553596E-2</v>
      </c>
      <c r="D29" s="208">
        <f t="shared" si="1"/>
        <v>0</v>
      </c>
      <c r="G29" s="208">
        <f t="shared" si="2"/>
        <v>0</v>
      </c>
      <c r="J29" s="208">
        <f t="shared" si="3"/>
        <v>0</v>
      </c>
      <c r="M29" s="208">
        <f t="shared" si="4"/>
        <v>0</v>
      </c>
      <c r="P29" s="208">
        <f t="shared" si="5"/>
        <v>0</v>
      </c>
      <c r="S29" s="208">
        <f t="shared" si="6"/>
        <v>0</v>
      </c>
      <c r="V29" s="208">
        <f t="shared" si="7"/>
        <v>0</v>
      </c>
      <c r="Y29" s="208">
        <f t="shared" si="8"/>
        <v>0</v>
      </c>
      <c r="AB29" s="208">
        <f t="shared" si="9"/>
        <v>0</v>
      </c>
      <c r="AE29" s="208">
        <v>0</v>
      </c>
      <c r="AH29" s="208">
        <v>0</v>
      </c>
      <c r="AI29" s="223">
        <f>45100000+45000000</f>
        <v>90100000</v>
      </c>
      <c r="AJ29" s="224">
        <v>4.4999999999999998E-2</v>
      </c>
      <c r="AK29" s="208">
        <f t="shared" si="10"/>
        <v>11262.5</v>
      </c>
      <c r="AL29" s="223">
        <f t="shared" si="55"/>
        <v>170000000</v>
      </c>
      <c r="AM29" s="224">
        <v>4.5999999999999999E-2</v>
      </c>
      <c r="AN29" s="208">
        <f t="shared" si="11"/>
        <v>21722.222222222223</v>
      </c>
      <c r="AO29" s="223">
        <f t="shared" si="54"/>
        <v>30000000</v>
      </c>
      <c r="AP29" s="224">
        <v>4.5499999999999999E-2</v>
      </c>
      <c r="AQ29" s="208">
        <f t="shared" si="12"/>
        <v>3791.6666666666665</v>
      </c>
      <c r="AR29" s="223"/>
      <c r="AS29" s="224"/>
      <c r="AT29" s="208">
        <f t="shared" si="13"/>
        <v>0</v>
      </c>
      <c r="AW29" s="208">
        <f t="shared" si="14"/>
        <v>0</v>
      </c>
      <c r="AZ29" s="208">
        <f t="shared" si="15"/>
        <v>0</v>
      </c>
      <c r="BC29" s="208">
        <f t="shared" si="16"/>
        <v>0</v>
      </c>
      <c r="BF29" s="208">
        <f t="shared" si="17"/>
        <v>0</v>
      </c>
      <c r="BI29" s="208">
        <f t="shared" si="18"/>
        <v>0</v>
      </c>
      <c r="BL29" s="208">
        <f t="shared" si="19"/>
        <v>0</v>
      </c>
      <c r="BO29" s="208">
        <f t="shared" si="20"/>
        <v>0</v>
      </c>
      <c r="BR29" s="208">
        <f t="shared" si="21"/>
        <v>0</v>
      </c>
      <c r="BU29" s="208">
        <f t="shared" si="22"/>
        <v>0</v>
      </c>
      <c r="BX29" s="208">
        <f t="shared" si="23"/>
        <v>0</v>
      </c>
      <c r="CA29" s="208">
        <f t="shared" si="24"/>
        <v>0</v>
      </c>
      <c r="CD29" s="208">
        <f t="shared" si="25"/>
        <v>0</v>
      </c>
      <c r="CG29" s="208">
        <f t="shared" si="26"/>
        <v>0</v>
      </c>
      <c r="CJ29" s="208">
        <f t="shared" si="27"/>
        <v>0</v>
      </c>
      <c r="CM29" s="208">
        <f t="shared" si="28"/>
        <v>0</v>
      </c>
      <c r="CP29" s="208">
        <f t="shared" si="29"/>
        <v>0</v>
      </c>
      <c r="CS29" s="208">
        <f t="shared" si="30"/>
        <v>0</v>
      </c>
      <c r="CV29" s="208">
        <f t="shared" si="31"/>
        <v>0</v>
      </c>
      <c r="CY29" s="208">
        <f t="shared" si="32"/>
        <v>0</v>
      </c>
      <c r="DB29" s="208">
        <f t="shared" si="33"/>
        <v>0</v>
      </c>
      <c r="DE29" s="208">
        <f t="shared" si="34"/>
        <v>0</v>
      </c>
      <c r="DH29" s="208">
        <f t="shared" si="35"/>
        <v>0</v>
      </c>
      <c r="DK29" s="208">
        <f t="shared" si="36"/>
        <v>0</v>
      </c>
      <c r="DN29" s="208">
        <f t="shared" si="37"/>
        <v>0</v>
      </c>
      <c r="DQ29" s="208">
        <f t="shared" si="38"/>
        <v>0</v>
      </c>
      <c r="DT29" s="208">
        <f t="shared" si="39"/>
        <v>0</v>
      </c>
      <c r="DW29" s="208">
        <f t="shared" si="40"/>
        <v>0</v>
      </c>
      <c r="DZ29" s="208"/>
      <c r="EA29" s="208"/>
      <c r="EB29" s="228">
        <f t="shared" si="41"/>
        <v>290100000</v>
      </c>
      <c r="EC29" s="228">
        <f t="shared" si="42"/>
        <v>0</v>
      </c>
      <c r="ED29" s="208">
        <f t="shared" si="43"/>
        <v>36776.388888888883</v>
      </c>
      <c r="EE29" s="209">
        <f t="shared" si="44"/>
        <v>4.5637711134091687E-2</v>
      </c>
      <c r="EG29" s="228">
        <f t="shared" si="45"/>
        <v>0</v>
      </c>
      <c r="EH29" s="208">
        <f t="shared" si="46"/>
        <v>0</v>
      </c>
      <c r="EI29" s="209">
        <f t="shared" si="47"/>
        <v>0</v>
      </c>
      <c r="EJ29" s="209"/>
      <c r="EK29" s="228">
        <f t="shared" si="48"/>
        <v>290100000</v>
      </c>
      <c r="EL29" s="228">
        <f t="shared" si="49"/>
        <v>0</v>
      </c>
      <c r="EM29" s="228">
        <f t="shared" si="50"/>
        <v>36776.388888888891</v>
      </c>
      <c r="EN29" s="209">
        <f t="shared" si="51"/>
        <v>4.5637711134091694E-2</v>
      </c>
      <c r="EP29" s="208"/>
    </row>
    <row r="30" spans="1:146" x14ac:dyDescent="0.25">
      <c r="A30" s="222">
        <f t="shared" si="52"/>
        <v>45889</v>
      </c>
      <c r="B30" s="208">
        <v>0</v>
      </c>
      <c r="C30" s="209">
        <v>4.5524440000000006E-2</v>
      </c>
      <c r="D30" s="208">
        <f t="shared" si="1"/>
        <v>0</v>
      </c>
      <c r="G30" s="208">
        <f t="shared" si="2"/>
        <v>0</v>
      </c>
      <c r="J30" s="208">
        <f t="shared" si="3"/>
        <v>0</v>
      </c>
      <c r="M30" s="208">
        <f t="shared" si="4"/>
        <v>0</v>
      </c>
      <c r="P30" s="208">
        <f t="shared" si="5"/>
        <v>0</v>
      </c>
      <c r="S30" s="208">
        <f t="shared" si="6"/>
        <v>0</v>
      </c>
      <c r="V30" s="208">
        <f t="shared" si="7"/>
        <v>0</v>
      </c>
      <c r="Y30" s="208">
        <f t="shared" si="8"/>
        <v>0</v>
      </c>
      <c r="AB30" s="208">
        <f t="shared" si="9"/>
        <v>0</v>
      </c>
      <c r="AE30" s="208">
        <v>0</v>
      </c>
      <c r="AH30" s="208">
        <v>0</v>
      </c>
      <c r="AI30" s="223">
        <f>1750000+45000000</f>
        <v>46750000</v>
      </c>
      <c r="AJ30" s="224">
        <v>4.4999999999999998E-2</v>
      </c>
      <c r="AK30" s="208">
        <f t="shared" si="10"/>
        <v>5843.75</v>
      </c>
      <c r="AL30" s="223">
        <f t="shared" si="55"/>
        <v>170000000</v>
      </c>
      <c r="AM30" s="224">
        <v>4.5999999999999999E-2</v>
      </c>
      <c r="AN30" s="208">
        <f t="shared" si="11"/>
        <v>21722.222222222223</v>
      </c>
      <c r="AO30" s="223">
        <f t="shared" si="54"/>
        <v>30000000</v>
      </c>
      <c r="AP30" s="224">
        <v>4.5499999999999999E-2</v>
      </c>
      <c r="AQ30" s="208">
        <f t="shared" si="12"/>
        <v>3791.6666666666665</v>
      </c>
      <c r="AR30" s="223"/>
      <c r="AS30" s="224"/>
      <c r="AT30" s="208">
        <f t="shared" si="13"/>
        <v>0</v>
      </c>
      <c r="AW30" s="208">
        <f t="shared" si="14"/>
        <v>0</v>
      </c>
      <c r="AZ30" s="208">
        <f t="shared" si="15"/>
        <v>0</v>
      </c>
      <c r="BC30" s="208">
        <f t="shared" si="16"/>
        <v>0</v>
      </c>
      <c r="BF30" s="208">
        <f t="shared" si="17"/>
        <v>0</v>
      </c>
      <c r="BI30" s="208">
        <f t="shared" si="18"/>
        <v>0</v>
      </c>
      <c r="BL30" s="208">
        <f t="shared" si="19"/>
        <v>0</v>
      </c>
      <c r="BO30" s="208">
        <f t="shared" si="20"/>
        <v>0</v>
      </c>
      <c r="BR30" s="208">
        <f t="shared" si="21"/>
        <v>0</v>
      </c>
      <c r="BU30" s="208">
        <f t="shared" si="22"/>
        <v>0</v>
      </c>
      <c r="BX30" s="208">
        <f t="shared" si="23"/>
        <v>0</v>
      </c>
      <c r="CA30" s="208">
        <f t="shared" si="24"/>
        <v>0</v>
      </c>
      <c r="CD30" s="208">
        <f t="shared" si="25"/>
        <v>0</v>
      </c>
      <c r="CG30" s="208">
        <f t="shared" si="26"/>
        <v>0</v>
      </c>
      <c r="CJ30" s="208">
        <f t="shared" si="27"/>
        <v>0</v>
      </c>
      <c r="CM30" s="208">
        <f t="shared" si="28"/>
        <v>0</v>
      </c>
      <c r="CP30" s="208">
        <f t="shared" si="29"/>
        <v>0</v>
      </c>
      <c r="CS30" s="208">
        <f t="shared" si="30"/>
        <v>0</v>
      </c>
      <c r="CV30" s="208">
        <f t="shared" si="31"/>
        <v>0</v>
      </c>
      <c r="CY30" s="208">
        <f t="shared" si="32"/>
        <v>0</v>
      </c>
      <c r="DB30" s="208">
        <f t="shared" si="33"/>
        <v>0</v>
      </c>
      <c r="DE30" s="208">
        <f t="shared" si="34"/>
        <v>0</v>
      </c>
      <c r="DH30" s="208">
        <f t="shared" si="35"/>
        <v>0</v>
      </c>
      <c r="DK30" s="208">
        <f t="shared" si="36"/>
        <v>0</v>
      </c>
      <c r="DN30" s="208">
        <f t="shared" si="37"/>
        <v>0</v>
      </c>
      <c r="DQ30" s="208">
        <f t="shared" si="38"/>
        <v>0</v>
      </c>
      <c r="DT30" s="208">
        <f t="shared" si="39"/>
        <v>0</v>
      </c>
      <c r="DW30" s="208">
        <f t="shared" si="40"/>
        <v>0</v>
      </c>
      <c r="DZ30" s="208"/>
      <c r="EA30" s="208"/>
      <c r="EB30" s="228">
        <f t="shared" si="41"/>
        <v>246750000</v>
      </c>
      <c r="EC30" s="228">
        <f t="shared" si="42"/>
        <v>0</v>
      </c>
      <c r="ED30" s="208">
        <f t="shared" si="43"/>
        <v>31357.638888888891</v>
      </c>
      <c r="EE30" s="209">
        <f t="shared" si="44"/>
        <v>4.574974670719352E-2</v>
      </c>
      <c r="EG30" s="228">
        <f t="shared" si="45"/>
        <v>0</v>
      </c>
      <c r="EH30" s="208">
        <f t="shared" si="46"/>
        <v>0</v>
      </c>
      <c r="EI30" s="209">
        <f t="shared" si="47"/>
        <v>0</v>
      </c>
      <c r="EJ30" s="209"/>
      <c r="EK30" s="228">
        <f t="shared" si="48"/>
        <v>246750000</v>
      </c>
      <c r="EL30" s="228">
        <f t="shared" si="49"/>
        <v>0</v>
      </c>
      <c r="EM30" s="228">
        <f t="shared" si="50"/>
        <v>31357.638888888891</v>
      </c>
      <c r="EN30" s="209">
        <f t="shared" si="51"/>
        <v>4.574974670719352E-2</v>
      </c>
      <c r="EP30" s="208"/>
    </row>
    <row r="31" spans="1:146" x14ac:dyDescent="0.25">
      <c r="A31" s="222">
        <f t="shared" si="52"/>
        <v>45890</v>
      </c>
      <c r="B31" s="208">
        <v>0</v>
      </c>
      <c r="C31" s="209">
        <v>4.5525120000000002E-2</v>
      </c>
      <c r="D31" s="208">
        <f t="shared" si="1"/>
        <v>0</v>
      </c>
      <c r="G31" s="208">
        <f t="shared" si="2"/>
        <v>0</v>
      </c>
      <c r="J31" s="208">
        <f t="shared" si="3"/>
        <v>0</v>
      </c>
      <c r="M31" s="208">
        <f t="shared" si="4"/>
        <v>0</v>
      </c>
      <c r="P31" s="208">
        <f t="shared" si="5"/>
        <v>0</v>
      </c>
      <c r="S31" s="208">
        <f t="shared" si="6"/>
        <v>0</v>
      </c>
      <c r="V31" s="208">
        <f t="shared" si="7"/>
        <v>0</v>
      </c>
      <c r="Y31" s="208">
        <f t="shared" si="8"/>
        <v>0</v>
      </c>
      <c r="AB31" s="208">
        <f t="shared" si="9"/>
        <v>0</v>
      </c>
      <c r="AE31" s="208">
        <v>0</v>
      </c>
      <c r="AH31" s="208">
        <v>0</v>
      </c>
      <c r="AI31" s="223">
        <f>38900000</f>
        <v>38900000</v>
      </c>
      <c r="AJ31" s="224">
        <v>4.4999999999999998E-2</v>
      </c>
      <c r="AK31" s="208">
        <f t="shared" si="10"/>
        <v>4862.5</v>
      </c>
      <c r="AL31" s="223">
        <f t="shared" si="55"/>
        <v>170000000</v>
      </c>
      <c r="AM31" s="224">
        <v>4.5999999999999999E-2</v>
      </c>
      <c r="AN31" s="208">
        <f t="shared" si="11"/>
        <v>21722.222222222223</v>
      </c>
      <c r="AO31" s="223">
        <f t="shared" si="54"/>
        <v>30000000</v>
      </c>
      <c r="AP31" s="224">
        <v>4.5499999999999999E-2</v>
      </c>
      <c r="AQ31" s="208">
        <f t="shared" si="12"/>
        <v>3791.6666666666665</v>
      </c>
      <c r="AR31" s="223"/>
      <c r="AS31" s="224"/>
      <c r="AT31" s="208">
        <f t="shared" si="13"/>
        <v>0</v>
      </c>
      <c r="AW31" s="208">
        <f t="shared" si="14"/>
        <v>0</v>
      </c>
      <c r="AZ31" s="208">
        <f t="shared" si="15"/>
        <v>0</v>
      </c>
      <c r="BC31" s="208">
        <f t="shared" si="16"/>
        <v>0</v>
      </c>
      <c r="BF31" s="208">
        <f t="shared" si="17"/>
        <v>0</v>
      </c>
      <c r="BI31" s="208">
        <f t="shared" si="18"/>
        <v>0</v>
      </c>
      <c r="BL31" s="208">
        <f t="shared" si="19"/>
        <v>0</v>
      </c>
      <c r="BO31" s="208">
        <f t="shared" si="20"/>
        <v>0</v>
      </c>
      <c r="BR31" s="208">
        <f t="shared" si="21"/>
        <v>0</v>
      </c>
      <c r="BU31" s="208">
        <f t="shared" si="22"/>
        <v>0</v>
      </c>
      <c r="BX31" s="208">
        <f t="shared" si="23"/>
        <v>0</v>
      </c>
      <c r="CA31" s="208">
        <f t="shared" si="24"/>
        <v>0</v>
      </c>
      <c r="CD31" s="208">
        <f t="shared" si="25"/>
        <v>0</v>
      </c>
      <c r="CG31" s="208">
        <f t="shared" si="26"/>
        <v>0</v>
      </c>
      <c r="CJ31" s="208">
        <f t="shared" si="27"/>
        <v>0</v>
      </c>
      <c r="CM31" s="208">
        <f t="shared" si="28"/>
        <v>0</v>
      </c>
      <c r="CP31" s="208">
        <f t="shared" si="29"/>
        <v>0</v>
      </c>
      <c r="CS31" s="208">
        <f t="shared" si="30"/>
        <v>0</v>
      </c>
      <c r="CV31" s="208">
        <f t="shared" si="31"/>
        <v>0</v>
      </c>
      <c r="CY31" s="208">
        <f t="shared" si="32"/>
        <v>0</v>
      </c>
      <c r="DB31" s="208">
        <f t="shared" si="33"/>
        <v>0</v>
      </c>
      <c r="DE31" s="208">
        <f t="shared" si="34"/>
        <v>0</v>
      </c>
      <c r="DH31" s="208">
        <f t="shared" si="35"/>
        <v>0</v>
      </c>
      <c r="DK31" s="208">
        <f t="shared" si="36"/>
        <v>0</v>
      </c>
      <c r="DN31" s="208">
        <f t="shared" si="37"/>
        <v>0</v>
      </c>
      <c r="DQ31" s="208">
        <f t="shared" si="38"/>
        <v>0</v>
      </c>
      <c r="DT31" s="208">
        <f t="shared" si="39"/>
        <v>0</v>
      </c>
      <c r="DW31" s="208">
        <f t="shared" si="40"/>
        <v>0</v>
      </c>
      <c r="DZ31" s="208"/>
      <c r="EA31" s="208"/>
      <c r="EB31" s="228">
        <f t="shared" si="41"/>
        <v>238900000</v>
      </c>
      <c r="EC31" s="228">
        <f t="shared" si="42"/>
        <v>0</v>
      </c>
      <c r="ED31" s="208">
        <f t="shared" si="43"/>
        <v>30376.388888888891</v>
      </c>
      <c r="EE31" s="209">
        <f t="shared" si="44"/>
        <v>4.5774382586856427E-2</v>
      </c>
      <c r="EG31" s="228">
        <f t="shared" si="45"/>
        <v>0</v>
      </c>
      <c r="EH31" s="208">
        <f t="shared" si="46"/>
        <v>0</v>
      </c>
      <c r="EI31" s="209">
        <f t="shared" si="47"/>
        <v>0</v>
      </c>
      <c r="EJ31" s="209"/>
      <c r="EK31" s="228">
        <f t="shared" si="48"/>
        <v>238900000</v>
      </c>
      <c r="EL31" s="228">
        <f t="shared" si="49"/>
        <v>0</v>
      </c>
      <c r="EM31" s="228">
        <f t="shared" si="50"/>
        <v>30376.388888888891</v>
      </c>
      <c r="EN31" s="209">
        <f t="shared" si="51"/>
        <v>4.5774382586856427E-2</v>
      </c>
      <c r="EP31" s="208"/>
    </row>
    <row r="32" spans="1:146" x14ac:dyDescent="0.25">
      <c r="A32" s="222">
        <f t="shared" si="52"/>
        <v>45891</v>
      </c>
      <c r="B32" s="208">
        <v>0</v>
      </c>
      <c r="C32" s="209">
        <v>4.5523830000000001E-2</v>
      </c>
      <c r="D32" s="208">
        <f t="shared" si="1"/>
        <v>0</v>
      </c>
      <c r="G32" s="208">
        <f t="shared" si="2"/>
        <v>0</v>
      </c>
      <c r="J32" s="208">
        <f t="shared" si="3"/>
        <v>0</v>
      </c>
      <c r="M32" s="208">
        <f t="shared" si="4"/>
        <v>0</v>
      </c>
      <c r="P32" s="208">
        <f t="shared" si="5"/>
        <v>0</v>
      </c>
      <c r="S32" s="208">
        <f t="shared" si="6"/>
        <v>0</v>
      </c>
      <c r="V32" s="208">
        <f t="shared" si="7"/>
        <v>0</v>
      </c>
      <c r="Y32" s="208">
        <f t="shared" si="8"/>
        <v>0</v>
      </c>
      <c r="AB32" s="208">
        <f t="shared" si="9"/>
        <v>0</v>
      </c>
      <c r="AE32" s="208">
        <v>0</v>
      </c>
      <c r="AH32" s="208">
        <v>0</v>
      </c>
      <c r="AI32" s="223">
        <v>26225000</v>
      </c>
      <c r="AJ32" s="224">
        <v>4.4999999999999998E-2</v>
      </c>
      <c r="AK32" s="208">
        <f t="shared" si="10"/>
        <v>3278.125</v>
      </c>
      <c r="AL32" s="223">
        <f t="shared" si="55"/>
        <v>170000000</v>
      </c>
      <c r="AM32" s="224">
        <v>4.5999999999999999E-2</v>
      </c>
      <c r="AN32" s="208">
        <f t="shared" si="11"/>
        <v>21722.222222222223</v>
      </c>
      <c r="AO32" s="223">
        <f t="shared" si="54"/>
        <v>30000000</v>
      </c>
      <c r="AP32" s="224">
        <v>4.5499999999999999E-2</v>
      </c>
      <c r="AQ32" s="208">
        <f t="shared" si="12"/>
        <v>3791.6666666666665</v>
      </c>
      <c r="AR32" s="223"/>
      <c r="AS32" s="224"/>
      <c r="AT32" s="208">
        <f t="shared" si="13"/>
        <v>0</v>
      </c>
      <c r="AW32" s="208">
        <f t="shared" si="14"/>
        <v>0</v>
      </c>
      <c r="AZ32" s="208">
        <f t="shared" si="15"/>
        <v>0</v>
      </c>
      <c r="BC32" s="208">
        <f t="shared" si="16"/>
        <v>0</v>
      </c>
      <c r="BF32" s="208">
        <f t="shared" si="17"/>
        <v>0</v>
      </c>
      <c r="BI32" s="208">
        <f t="shared" si="18"/>
        <v>0</v>
      </c>
      <c r="BL32" s="208">
        <f t="shared" si="19"/>
        <v>0</v>
      </c>
      <c r="BO32" s="208">
        <f t="shared" si="20"/>
        <v>0</v>
      </c>
      <c r="BR32" s="208">
        <f t="shared" si="21"/>
        <v>0</v>
      </c>
      <c r="BU32" s="208">
        <f t="shared" si="22"/>
        <v>0</v>
      </c>
      <c r="BX32" s="208">
        <f t="shared" si="23"/>
        <v>0</v>
      </c>
      <c r="CA32" s="208">
        <f t="shared" si="24"/>
        <v>0</v>
      </c>
      <c r="CD32" s="208">
        <f t="shared" si="25"/>
        <v>0</v>
      </c>
      <c r="CG32" s="208">
        <f t="shared" si="26"/>
        <v>0</v>
      </c>
      <c r="CJ32" s="208">
        <f t="shared" si="27"/>
        <v>0</v>
      </c>
      <c r="CM32" s="208">
        <f t="shared" si="28"/>
        <v>0</v>
      </c>
      <c r="CP32" s="208">
        <f t="shared" si="29"/>
        <v>0</v>
      </c>
      <c r="CS32" s="208">
        <f t="shared" si="30"/>
        <v>0</v>
      </c>
      <c r="CV32" s="208">
        <f t="shared" si="31"/>
        <v>0</v>
      </c>
      <c r="CY32" s="208">
        <f t="shared" si="32"/>
        <v>0</v>
      </c>
      <c r="DB32" s="208">
        <f t="shared" si="33"/>
        <v>0</v>
      </c>
      <c r="DE32" s="208">
        <f t="shared" si="34"/>
        <v>0</v>
      </c>
      <c r="DH32" s="208">
        <f t="shared" si="35"/>
        <v>0</v>
      </c>
      <c r="DK32" s="208">
        <f t="shared" si="36"/>
        <v>0</v>
      </c>
      <c r="DN32" s="208">
        <f t="shared" si="37"/>
        <v>0</v>
      </c>
      <c r="DQ32" s="208">
        <f t="shared" si="38"/>
        <v>0</v>
      </c>
      <c r="DT32" s="208">
        <f t="shared" si="39"/>
        <v>0</v>
      </c>
      <c r="DW32" s="208">
        <f t="shared" si="40"/>
        <v>0</v>
      </c>
      <c r="DZ32" s="208"/>
      <c r="EA32" s="208"/>
      <c r="EB32" s="228">
        <f t="shared" si="41"/>
        <v>226225000</v>
      </c>
      <c r="EC32" s="228">
        <f t="shared" si="42"/>
        <v>0</v>
      </c>
      <c r="ED32" s="208">
        <f t="shared" si="43"/>
        <v>28792.013888888891</v>
      </c>
      <c r="EE32" s="209">
        <f t="shared" si="44"/>
        <v>4.5817769919328108E-2</v>
      </c>
      <c r="EG32" s="228">
        <f t="shared" si="45"/>
        <v>0</v>
      </c>
      <c r="EH32" s="208">
        <f t="shared" si="46"/>
        <v>0</v>
      </c>
      <c r="EI32" s="209">
        <f t="shared" si="47"/>
        <v>0</v>
      </c>
      <c r="EJ32" s="209"/>
      <c r="EK32" s="228">
        <f t="shared" si="48"/>
        <v>226225000</v>
      </c>
      <c r="EL32" s="228">
        <f t="shared" si="49"/>
        <v>0</v>
      </c>
      <c r="EM32" s="228">
        <f t="shared" si="50"/>
        <v>28792.013888888891</v>
      </c>
      <c r="EN32" s="209">
        <f t="shared" si="51"/>
        <v>4.5817769919328108E-2</v>
      </c>
      <c r="EP32" s="208"/>
    </row>
    <row r="33" spans="1:146" x14ac:dyDescent="0.25">
      <c r="A33" s="222">
        <f t="shared" si="52"/>
        <v>45892</v>
      </c>
      <c r="B33" s="208">
        <v>0</v>
      </c>
      <c r="C33" s="209">
        <v>4.5523830000000001E-2</v>
      </c>
      <c r="D33" s="208">
        <f t="shared" si="1"/>
        <v>0</v>
      </c>
      <c r="G33" s="208">
        <f t="shared" si="2"/>
        <v>0</v>
      </c>
      <c r="J33" s="208">
        <f t="shared" si="3"/>
        <v>0</v>
      </c>
      <c r="M33" s="208">
        <f t="shared" si="4"/>
        <v>0</v>
      </c>
      <c r="P33" s="208">
        <f t="shared" si="5"/>
        <v>0</v>
      </c>
      <c r="S33" s="208">
        <f t="shared" si="6"/>
        <v>0</v>
      </c>
      <c r="V33" s="208">
        <f t="shared" si="7"/>
        <v>0</v>
      </c>
      <c r="Y33" s="208">
        <f t="shared" si="8"/>
        <v>0</v>
      </c>
      <c r="AB33" s="208">
        <f t="shared" si="9"/>
        <v>0</v>
      </c>
      <c r="AE33" s="208">
        <v>0</v>
      </c>
      <c r="AH33" s="208">
        <v>0</v>
      </c>
      <c r="AI33" s="223">
        <v>26225000</v>
      </c>
      <c r="AJ33" s="224">
        <v>4.4999999999999998E-2</v>
      </c>
      <c r="AK33" s="208">
        <f t="shared" si="10"/>
        <v>3278.125</v>
      </c>
      <c r="AL33" s="223">
        <f t="shared" si="55"/>
        <v>170000000</v>
      </c>
      <c r="AM33" s="224">
        <v>4.5999999999999999E-2</v>
      </c>
      <c r="AN33" s="208">
        <f t="shared" si="11"/>
        <v>21722.222222222223</v>
      </c>
      <c r="AO33" s="223">
        <f t="shared" si="54"/>
        <v>30000000</v>
      </c>
      <c r="AP33" s="224">
        <v>4.5499999999999999E-2</v>
      </c>
      <c r="AQ33" s="208">
        <f t="shared" si="12"/>
        <v>3791.6666666666665</v>
      </c>
      <c r="AR33" s="223"/>
      <c r="AS33" s="224"/>
      <c r="AT33" s="208">
        <f t="shared" si="13"/>
        <v>0</v>
      </c>
      <c r="AW33" s="208">
        <f t="shared" si="14"/>
        <v>0</v>
      </c>
      <c r="AZ33" s="208">
        <f t="shared" si="15"/>
        <v>0</v>
      </c>
      <c r="BC33" s="208">
        <f t="shared" si="16"/>
        <v>0</v>
      </c>
      <c r="BF33" s="208">
        <f t="shared" si="17"/>
        <v>0</v>
      </c>
      <c r="BI33" s="208">
        <f t="shared" si="18"/>
        <v>0</v>
      </c>
      <c r="BL33" s="208">
        <f t="shared" si="19"/>
        <v>0</v>
      </c>
      <c r="BO33" s="208">
        <f t="shared" si="20"/>
        <v>0</v>
      </c>
      <c r="BR33" s="208">
        <f t="shared" si="21"/>
        <v>0</v>
      </c>
      <c r="BU33" s="208">
        <f t="shared" si="22"/>
        <v>0</v>
      </c>
      <c r="BX33" s="208">
        <f t="shared" si="23"/>
        <v>0</v>
      </c>
      <c r="CA33" s="208">
        <f t="shared" si="24"/>
        <v>0</v>
      </c>
      <c r="CD33" s="208">
        <f t="shared" si="25"/>
        <v>0</v>
      </c>
      <c r="CG33" s="208">
        <f t="shared" si="26"/>
        <v>0</v>
      </c>
      <c r="CJ33" s="208">
        <f t="shared" si="27"/>
        <v>0</v>
      </c>
      <c r="CM33" s="208">
        <f t="shared" si="28"/>
        <v>0</v>
      </c>
      <c r="CP33" s="208">
        <f t="shared" si="29"/>
        <v>0</v>
      </c>
      <c r="CS33" s="208">
        <f t="shared" si="30"/>
        <v>0</v>
      </c>
      <c r="CV33" s="208">
        <f t="shared" si="31"/>
        <v>0</v>
      </c>
      <c r="CY33" s="208">
        <f t="shared" si="32"/>
        <v>0</v>
      </c>
      <c r="DB33" s="208">
        <f t="shared" si="33"/>
        <v>0</v>
      </c>
      <c r="DE33" s="208">
        <f t="shared" si="34"/>
        <v>0</v>
      </c>
      <c r="DH33" s="208">
        <f t="shared" si="35"/>
        <v>0</v>
      </c>
      <c r="DK33" s="208">
        <f t="shared" si="36"/>
        <v>0</v>
      </c>
      <c r="DN33" s="208">
        <f t="shared" si="37"/>
        <v>0</v>
      </c>
      <c r="DQ33" s="208">
        <f t="shared" si="38"/>
        <v>0</v>
      </c>
      <c r="DT33" s="208">
        <f t="shared" si="39"/>
        <v>0</v>
      </c>
      <c r="DW33" s="208">
        <f t="shared" si="40"/>
        <v>0</v>
      </c>
      <c r="DZ33" s="208"/>
      <c r="EA33" s="208"/>
      <c r="EB33" s="228">
        <f t="shared" si="41"/>
        <v>226225000</v>
      </c>
      <c r="EC33" s="228">
        <f t="shared" si="42"/>
        <v>0</v>
      </c>
      <c r="ED33" s="208">
        <f t="shared" si="43"/>
        <v>28792.013888888891</v>
      </c>
      <c r="EE33" s="209">
        <f t="shared" si="44"/>
        <v>4.5817769919328108E-2</v>
      </c>
      <c r="EG33" s="228">
        <f t="shared" si="45"/>
        <v>0</v>
      </c>
      <c r="EH33" s="208">
        <f t="shared" si="46"/>
        <v>0</v>
      </c>
      <c r="EI33" s="209">
        <f t="shared" si="47"/>
        <v>0</v>
      </c>
      <c r="EJ33" s="209"/>
      <c r="EK33" s="228">
        <f t="shared" si="48"/>
        <v>226225000</v>
      </c>
      <c r="EL33" s="228">
        <f t="shared" si="49"/>
        <v>0</v>
      </c>
      <c r="EM33" s="228">
        <f t="shared" si="50"/>
        <v>28792.013888888891</v>
      </c>
      <c r="EN33" s="209">
        <f t="shared" si="51"/>
        <v>4.5817769919328108E-2</v>
      </c>
      <c r="EP33" s="208"/>
    </row>
    <row r="34" spans="1:146" x14ac:dyDescent="0.25">
      <c r="A34" s="222">
        <f t="shared" si="52"/>
        <v>45893</v>
      </c>
      <c r="B34" s="208">
        <v>0</v>
      </c>
      <c r="C34" s="209">
        <v>4.5523830000000001E-2</v>
      </c>
      <c r="D34" s="208">
        <f t="shared" si="1"/>
        <v>0</v>
      </c>
      <c r="G34" s="208">
        <f t="shared" si="2"/>
        <v>0</v>
      </c>
      <c r="J34" s="208">
        <f t="shared" si="3"/>
        <v>0</v>
      </c>
      <c r="M34" s="208">
        <f t="shared" si="4"/>
        <v>0</v>
      </c>
      <c r="P34" s="208">
        <f t="shared" si="5"/>
        <v>0</v>
      </c>
      <c r="S34" s="208">
        <f t="shared" si="6"/>
        <v>0</v>
      </c>
      <c r="V34" s="208">
        <f t="shared" si="7"/>
        <v>0</v>
      </c>
      <c r="Y34" s="208">
        <f t="shared" si="8"/>
        <v>0</v>
      </c>
      <c r="AB34" s="208">
        <f t="shared" si="9"/>
        <v>0</v>
      </c>
      <c r="AE34" s="208">
        <v>0</v>
      </c>
      <c r="AH34" s="208">
        <v>0</v>
      </c>
      <c r="AI34" s="223">
        <v>26225000</v>
      </c>
      <c r="AJ34" s="224">
        <v>4.4999999999999998E-2</v>
      </c>
      <c r="AK34" s="208">
        <f t="shared" si="10"/>
        <v>3278.125</v>
      </c>
      <c r="AL34" s="223">
        <f t="shared" si="55"/>
        <v>170000000</v>
      </c>
      <c r="AM34" s="224">
        <v>4.5999999999999999E-2</v>
      </c>
      <c r="AN34" s="208">
        <f t="shared" si="11"/>
        <v>21722.222222222223</v>
      </c>
      <c r="AO34" s="223">
        <f t="shared" si="54"/>
        <v>30000000</v>
      </c>
      <c r="AP34" s="224">
        <v>4.5499999999999999E-2</v>
      </c>
      <c r="AQ34" s="208">
        <f t="shared" si="12"/>
        <v>3791.6666666666665</v>
      </c>
      <c r="AR34" s="223"/>
      <c r="AS34" s="224"/>
      <c r="AT34" s="208">
        <f t="shared" si="13"/>
        <v>0</v>
      </c>
      <c r="AW34" s="208">
        <f t="shared" si="14"/>
        <v>0</v>
      </c>
      <c r="AZ34" s="208">
        <f t="shared" si="15"/>
        <v>0</v>
      </c>
      <c r="BC34" s="208">
        <f t="shared" si="16"/>
        <v>0</v>
      </c>
      <c r="BF34" s="208">
        <f t="shared" si="17"/>
        <v>0</v>
      </c>
      <c r="BI34" s="208">
        <f t="shared" si="18"/>
        <v>0</v>
      </c>
      <c r="BL34" s="208">
        <f t="shared" si="19"/>
        <v>0</v>
      </c>
      <c r="BO34" s="208">
        <f t="shared" si="20"/>
        <v>0</v>
      </c>
      <c r="BR34" s="208">
        <f t="shared" si="21"/>
        <v>0</v>
      </c>
      <c r="BU34" s="208">
        <f t="shared" si="22"/>
        <v>0</v>
      </c>
      <c r="BX34" s="208">
        <f t="shared" si="23"/>
        <v>0</v>
      </c>
      <c r="CA34" s="208">
        <f t="shared" si="24"/>
        <v>0</v>
      </c>
      <c r="CD34" s="208">
        <f t="shared" si="25"/>
        <v>0</v>
      </c>
      <c r="CG34" s="208">
        <f t="shared" si="26"/>
        <v>0</v>
      </c>
      <c r="CJ34" s="208">
        <f t="shared" si="27"/>
        <v>0</v>
      </c>
      <c r="CM34" s="208">
        <f t="shared" si="28"/>
        <v>0</v>
      </c>
      <c r="CP34" s="208">
        <f t="shared" si="29"/>
        <v>0</v>
      </c>
      <c r="CS34" s="208">
        <f t="shared" si="30"/>
        <v>0</v>
      </c>
      <c r="CV34" s="208">
        <f t="shared" si="31"/>
        <v>0</v>
      </c>
      <c r="CY34" s="208">
        <f t="shared" si="32"/>
        <v>0</v>
      </c>
      <c r="DB34" s="208">
        <f t="shared" si="33"/>
        <v>0</v>
      </c>
      <c r="DE34" s="208">
        <f t="shared" si="34"/>
        <v>0</v>
      </c>
      <c r="DH34" s="208">
        <f t="shared" si="35"/>
        <v>0</v>
      </c>
      <c r="DK34" s="208">
        <f t="shared" si="36"/>
        <v>0</v>
      </c>
      <c r="DN34" s="208">
        <f t="shared" si="37"/>
        <v>0</v>
      </c>
      <c r="DQ34" s="208">
        <f t="shared" si="38"/>
        <v>0</v>
      </c>
      <c r="DT34" s="208">
        <f t="shared" si="39"/>
        <v>0</v>
      </c>
      <c r="DW34" s="208">
        <f t="shared" si="40"/>
        <v>0</v>
      </c>
      <c r="DZ34" s="208"/>
      <c r="EA34" s="208"/>
      <c r="EB34" s="228">
        <f t="shared" si="41"/>
        <v>226225000</v>
      </c>
      <c r="EC34" s="228">
        <f t="shared" si="42"/>
        <v>0</v>
      </c>
      <c r="ED34" s="208">
        <f t="shared" si="43"/>
        <v>28792.013888888891</v>
      </c>
      <c r="EE34" s="209">
        <f t="shared" si="44"/>
        <v>4.5817769919328108E-2</v>
      </c>
      <c r="EG34" s="228">
        <f t="shared" si="45"/>
        <v>0</v>
      </c>
      <c r="EH34" s="208">
        <f t="shared" si="46"/>
        <v>0</v>
      </c>
      <c r="EI34" s="209">
        <f t="shared" si="47"/>
        <v>0</v>
      </c>
      <c r="EJ34" s="209"/>
      <c r="EK34" s="228">
        <f t="shared" si="48"/>
        <v>226225000</v>
      </c>
      <c r="EL34" s="228">
        <f t="shared" si="49"/>
        <v>0</v>
      </c>
      <c r="EM34" s="228">
        <f t="shared" si="50"/>
        <v>28792.013888888891</v>
      </c>
      <c r="EN34" s="209">
        <f t="shared" si="51"/>
        <v>4.5817769919328108E-2</v>
      </c>
      <c r="EP34" s="208"/>
    </row>
    <row r="35" spans="1:146" x14ac:dyDescent="0.25">
      <c r="A35" s="222">
        <f t="shared" si="52"/>
        <v>45894</v>
      </c>
      <c r="B35" s="208">
        <v>0</v>
      </c>
      <c r="C35" s="209">
        <v>4.55162E-2</v>
      </c>
      <c r="D35" s="208">
        <f t="shared" si="1"/>
        <v>0</v>
      </c>
      <c r="G35" s="208">
        <f t="shared" si="2"/>
        <v>0</v>
      </c>
      <c r="J35" s="208">
        <f t="shared" si="3"/>
        <v>0</v>
      </c>
      <c r="M35" s="208">
        <f t="shared" si="4"/>
        <v>0</v>
      </c>
      <c r="P35" s="208">
        <f t="shared" si="5"/>
        <v>0</v>
      </c>
      <c r="S35" s="208">
        <f t="shared" si="6"/>
        <v>0</v>
      </c>
      <c r="V35" s="208">
        <f t="shared" si="7"/>
        <v>0</v>
      </c>
      <c r="Y35" s="208">
        <f t="shared" si="8"/>
        <v>0</v>
      </c>
      <c r="AB35" s="208">
        <f t="shared" si="9"/>
        <v>0</v>
      </c>
      <c r="AE35" s="208">
        <v>0</v>
      </c>
      <c r="AH35" s="208">
        <v>0</v>
      </c>
      <c r="AI35" s="223">
        <f>25075000</f>
        <v>25075000</v>
      </c>
      <c r="AJ35" s="224">
        <v>4.4999999999999998E-2</v>
      </c>
      <c r="AK35" s="208">
        <f t="shared" si="10"/>
        <v>3134.375</v>
      </c>
      <c r="AL35" s="223">
        <f t="shared" si="55"/>
        <v>170000000</v>
      </c>
      <c r="AM35" s="224">
        <v>4.5999999999999999E-2</v>
      </c>
      <c r="AN35" s="208">
        <f t="shared" si="11"/>
        <v>21722.222222222223</v>
      </c>
      <c r="AO35" s="223">
        <f t="shared" si="54"/>
        <v>30000000</v>
      </c>
      <c r="AP35" s="224">
        <v>4.5499999999999999E-2</v>
      </c>
      <c r="AQ35" s="208">
        <f t="shared" si="12"/>
        <v>3791.6666666666665</v>
      </c>
      <c r="AR35" s="223"/>
      <c r="AS35" s="224"/>
      <c r="AT35" s="208">
        <f t="shared" si="13"/>
        <v>0</v>
      </c>
      <c r="AW35" s="208">
        <f t="shared" si="14"/>
        <v>0</v>
      </c>
      <c r="AZ35" s="208">
        <f t="shared" si="15"/>
        <v>0</v>
      </c>
      <c r="BC35" s="208">
        <f t="shared" si="16"/>
        <v>0</v>
      </c>
      <c r="BF35" s="208">
        <f t="shared" si="17"/>
        <v>0</v>
      </c>
      <c r="BI35" s="208">
        <f t="shared" si="18"/>
        <v>0</v>
      </c>
      <c r="BL35" s="208">
        <f t="shared" si="19"/>
        <v>0</v>
      </c>
      <c r="BO35" s="208">
        <f t="shared" si="20"/>
        <v>0</v>
      </c>
      <c r="BR35" s="208">
        <f t="shared" si="21"/>
        <v>0</v>
      </c>
      <c r="BU35" s="208">
        <f t="shared" si="22"/>
        <v>0</v>
      </c>
      <c r="BX35" s="208">
        <f t="shared" si="23"/>
        <v>0</v>
      </c>
      <c r="CA35" s="208">
        <f t="shared" si="24"/>
        <v>0</v>
      </c>
      <c r="CD35" s="208">
        <f t="shared" si="25"/>
        <v>0</v>
      </c>
      <c r="CG35" s="208">
        <f t="shared" si="26"/>
        <v>0</v>
      </c>
      <c r="CJ35" s="208">
        <f t="shared" si="27"/>
        <v>0</v>
      </c>
      <c r="CM35" s="208">
        <f t="shared" si="28"/>
        <v>0</v>
      </c>
      <c r="CP35" s="208">
        <f t="shared" si="29"/>
        <v>0</v>
      </c>
      <c r="CS35" s="208">
        <f t="shared" si="30"/>
        <v>0</v>
      </c>
      <c r="CV35" s="208">
        <f t="shared" si="31"/>
        <v>0</v>
      </c>
      <c r="CY35" s="208">
        <f t="shared" si="32"/>
        <v>0</v>
      </c>
      <c r="DB35" s="208">
        <f t="shared" si="33"/>
        <v>0</v>
      </c>
      <c r="DE35" s="208">
        <f t="shared" si="34"/>
        <v>0</v>
      </c>
      <c r="DH35" s="208">
        <f t="shared" si="35"/>
        <v>0</v>
      </c>
      <c r="DK35" s="208">
        <f t="shared" si="36"/>
        <v>0</v>
      </c>
      <c r="DN35" s="208">
        <f t="shared" si="37"/>
        <v>0</v>
      </c>
      <c r="DQ35" s="208">
        <f t="shared" si="38"/>
        <v>0</v>
      </c>
      <c r="DT35" s="208">
        <f t="shared" si="39"/>
        <v>0</v>
      </c>
      <c r="DW35" s="208">
        <f t="shared" si="40"/>
        <v>0</v>
      </c>
      <c r="DZ35" s="208"/>
      <c r="EA35" s="208"/>
      <c r="EB35" s="228">
        <f t="shared" si="41"/>
        <v>225075000</v>
      </c>
      <c r="EC35" s="228">
        <f t="shared" si="42"/>
        <v>0</v>
      </c>
      <c r="ED35" s="208">
        <f t="shared" si="43"/>
        <v>28648.263888888891</v>
      </c>
      <c r="EE35" s="209">
        <f t="shared" si="44"/>
        <v>4.5821948239475732E-2</v>
      </c>
      <c r="EG35" s="228">
        <f t="shared" si="45"/>
        <v>0</v>
      </c>
      <c r="EH35" s="208">
        <f t="shared" si="46"/>
        <v>0</v>
      </c>
      <c r="EI35" s="209">
        <f t="shared" si="47"/>
        <v>0</v>
      </c>
      <c r="EJ35" s="209"/>
      <c r="EK35" s="228">
        <f t="shared" si="48"/>
        <v>225075000</v>
      </c>
      <c r="EL35" s="228">
        <f t="shared" si="49"/>
        <v>0</v>
      </c>
      <c r="EM35" s="228">
        <f t="shared" si="50"/>
        <v>28648.263888888891</v>
      </c>
      <c r="EN35" s="209">
        <f t="shared" si="51"/>
        <v>4.5821948239475732E-2</v>
      </c>
      <c r="EP35" s="208"/>
    </row>
    <row r="36" spans="1:146" x14ac:dyDescent="0.25">
      <c r="A36" s="222">
        <f t="shared" si="52"/>
        <v>45895</v>
      </c>
      <c r="B36" s="208">
        <v>0</v>
      </c>
      <c r="C36" s="209">
        <v>4.5725019999999998E-2</v>
      </c>
      <c r="D36" s="208">
        <f t="shared" si="1"/>
        <v>0</v>
      </c>
      <c r="G36" s="208">
        <f t="shared" si="2"/>
        <v>0</v>
      </c>
      <c r="J36" s="208">
        <f t="shared" si="3"/>
        <v>0</v>
      </c>
      <c r="M36" s="208">
        <f t="shared" si="4"/>
        <v>0</v>
      </c>
      <c r="P36" s="208">
        <f t="shared" si="5"/>
        <v>0</v>
      </c>
      <c r="S36" s="208">
        <f t="shared" si="6"/>
        <v>0</v>
      </c>
      <c r="V36" s="208">
        <f t="shared" si="7"/>
        <v>0</v>
      </c>
      <c r="Y36" s="208">
        <f t="shared" si="8"/>
        <v>0</v>
      </c>
      <c r="AB36" s="208">
        <f t="shared" si="9"/>
        <v>0</v>
      </c>
      <c r="AE36" s="208">
        <v>0</v>
      </c>
      <c r="AH36" s="208">
        <v>0</v>
      </c>
      <c r="AI36" s="223"/>
      <c r="AJ36" s="224"/>
      <c r="AK36" s="208">
        <f t="shared" si="10"/>
        <v>0</v>
      </c>
      <c r="AL36" s="223">
        <f>33905000+66095000+42375000+27625000</f>
        <v>170000000</v>
      </c>
      <c r="AM36" s="224">
        <v>4.5999999999999999E-2</v>
      </c>
      <c r="AN36" s="208">
        <f t="shared" si="11"/>
        <v>21722.222222222223</v>
      </c>
      <c r="AO36" s="223">
        <f t="shared" si="54"/>
        <v>30000000</v>
      </c>
      <c r="AP36" s="224">
        <v>4.5499999999999999E-2</v>
      </c>
      <c r="AQ36" s="208">
        <f t="shared" si="12"/>
        <v>3791.6666666666665</v>
      </c>
      <c r="AR36" s="223"/>
      <c r="AS36" s="224"/>
      <c r="AT36" s="208">
        <f t="shared" si="13"/>
        <v>0</v>
      </c>
      <c r="AW36" s="208">
        <f t="shared" si="14"/>
        <v>0</v>
      </c>
      <c r="AZ36" s="208">
        <f t="shared" si="15"/>
        <v>0</v>
      </c>
      <c r="BC36" s="208">
        <f t="shared" si="16"/>
        <v>0</v>
      </c>
      <c r="BF36" s="208">
        <f t="shared" si="17"/>
        <v>0</v>
      </c>
      <c r="BI36" s="208">
        <f t="shared" si="18"/>
        <v>0</v>
      </c>
      <c r="BL36" s="208">
        <f t="shared" si="19"/>
        <v>0</v>
      </c>
      <c r="BO36" s="208">
        <f t="shared" si="20"/>
        <v>0</v>
      </c>
      <c r="BR36" s="208">
        <f t="shared" si="21"/>
        <v>0</v>
      </c>
      <c r="BU36" s="208">
        <f t="shared" si="22"/>
        <v>0</v>
      </c>
      <c r="BX36" s="208">
        <f t="shared" si="23"/>
        <v>0</v>
      </c>
      <c r="CA36" s="208">
        <f t="shared" si="24"/>
        <v>0</v>
      </c>
      <c r="CD36" s="208">
        <f t="shared" si="25"/>
        <v>0</v>
      </c>
      <c r="CG36" s="208">
        <f t="shared" si="26"/>
        <v>0</v>
      </c>
      <c r="CJ36" s="208">
        <f t="shared" si="27"/>
        <v>0</v>
      </c>
      <c r="CM36" s="208">
        <f t="shared" si="28"/>
        <v>0</v>
      </c>
      <c r="CP36" s="208">
        <f t="shared" si="29"/>
        <v>0</v>
      </c>
      <c r="CS36" s="208">
        <f t="shared" si="30"/>
        <v>0</v>
      </c>
      <c r="CV36" s="208">
        <f t="shared" si="31"/>
        <v>0</v>
      </c>
      <c r="CY36" s="208">
        <f t="shared" si="32"/>
        <v>0</v>
      </c>
      <c r="DB36" s="208">
        <f t="shared" si="33"/>
        <v>0</v>
      </c>
      <c r="DE36" s="208">
        <f t="shared" si="34"/>
        <v>0</v>
      </c>
      <c r="DH36" s="208">
        <f t="shared" si="35"/>
        <v>0</v>
      </c>
      <c r="DK36" s="208">
        <f t="shared" si="36"/>
        <v>0</v>
      </c>
      <c r="DN36" s="208">
        <f t="shared" si="37"/>
        <v>0</v>
      </c>
      <c r="DQ36" s="208">
        <f t="shared" si="38"/>
        <v>0</v>
      </c>
      <c r="DT36" s="208">
        <f t="shared" si="39"/>
        <v>0</v>
      </c>
      <c r="DW36" s="208">
        <f t="shared" si="40"/>
        <v>0</v>
      </c>
      <c r="DZ36" s="208"/>
      <c r="EA36" s="208"/>
      <c r="EB36" s="228">
        <f t="shared" si="41"/>
        <v>200000000</v>
      </c>
      <c r="EC36" s="228">
        <f t="shared" si="42"/>
        <v>0</v>
      </c>
      <c r="ED36" s="208">
        <f t="shared" si="43"/>
        <v>25513.888888888891</v>
      </c>
      <c r="EE36" s="209">
        <f t="shared" si="44"/>
        <v>4.5925000000000001E-2</v>
      </c>
      <c r="EG36" s="228">
        <f t="shared" si="45"/>
        <v>0</v>
      </c>
      <c r="EH36" s="208">
        <f t="shared" si="46"/>
        <v>0</v>
      </c>
      <c r="EI36" s="209">
        <f t="shared" si="47"/>
        <v>0</v>
      </c>
      <c r="EJ36" s="209"/>
      <c r="EK36" s="228">
        <f t="shared" si="48"/>
        <v>200000000</v>
      </c>
      <c r="EL36" s="228">
        <f t="shared" si="49"/>
        <v>0</v>
      </c>
      <c r="EM36" s="228">
        <f t="shared" si="50"/>
        <v>25513.888888888891</v>
      </c>
      <c r="EN36" s="209">
        <f t="shared" si="51"/>
        <v>4.5925000000000001E-2</v>
      </c>
      <c r="EP36" s="208"/>
    </row>
    <row r="37" spans="1:146" x14ac:dyDescent="0.25">
      <c r="A37" s="222">
        <f t="shared" si="52"/>
        <v>45896</v>
      </c>
      <c r="B37" s="208">
        <v>0</v>
      </c>
      <c r="C37" s="209">
        <v>4.5832629999999999E-2</v>
      </c>
      <c r="D37" s="208">
        <f t="shared" si="1"/>
        <v>0</v>
      </c>
      <c r="G37" s="208">
        <f t="shared" si="2"/>
        <v>0</v>
      </c>
      <c r="J37" s="208">
        <f t="shared" si="3"/>
        <v>0</v>
      </c>
      <c r="M37" s="208">
        <f t="shared" si="4"/>
        <v>0</v>
      </c>
      <c r="P37" s="208">
        <f t="shared" si="5"/>
        <v>0</v>
      </c>
      <c r="S37" s="208">
        <f t="shared" si="6"/>
        <v>0</v>
      </c>
      <c r="V37" s="208">
        <f t="shared" si="7"/>
        <v>0</v>
      </c>
      <c r="Y37" s="208">
        <f t="shared" si="8"/>
        <v>0</v>
      </c>
      <c r="AB37" s="208">
        <f t="shared" si="9"/>
        <v>0</v>
      </c>
      <c r="AE37" s="208">
        <v>0</v>
      </c>
      <c r="AH37" s="208">
        <v>0</v>
      </c>
      <c r="AI37" s="223"/>
      <c r="AJ37" s="224"/>
      <c r="AK37" s="208">
        <f t="shared" si="10"/>
        <v>0</v>
      </c>
      <c r="AL37" s="223">
        <f>33905000+66095000+42375000+27625000</f>
        <v>170000000</v>
      </c>
      <c r="AM37" s="224">
        <v>4.5999999999999999E-2</v>
      </c>
      <c r="AN37" s="208">
        <f t="shared" si="11"/>
        <v>21722.222222222223</v>
      </c>
      <c r="AO37" s="223">
        <f t="shared" si="54"/>
        <v>30000000</v>
      </c>
      <c r="AP37" s="224">
        <v>4.5499999999999999E-2</v>
      </c>
      <c r="AQ37" s="208">
        <f t="shared" si="12"/>
        <v>3791.6666666666665</v>
      </c>
      <c r="AR37" s="223"/>
      <c r="AS37" s="224"/>
      <c r="AT37" s="208">
        <f t="shared" si="13"/>
        <v>0</v>
      </c>
      <c r="AW37" s="208">
        <f t="shared" si="14"/>
        <v>0</v>
      </c>
      <c r="AZ37" s="208">
        <f t="shared" si="15"/>
        <v>0</v>
      </c>
      <c r="BC37" s="208">
        <f t="shared" si="16"/>
        <v>0</v>
      </c>
      <c r="BF37" s="208">
        <f t="shared" si="17"/>
        <v>0</v>
      </c>
      <c r="BI37" s="208">
        <f t="shared" si="18"/>
        <v>0</v>
      </c>
      <c r="BL37" s="208">
        <f t="shared" si="19"/>
        <v>0</v>
      </c>
      <c r="BO37" s="208">
        <f t="shared" si="20"/>
        <v>0</v>
      </c>
      <c r="BR37" s="208">
        <f t="shared" si="21"/>
        <v>0</v>
      </c>
      <c r="BU37" s="208">
        <f t="shared" si="22"/>
        <v>0</v>
      </c>
      <c r="BX37" s="208">
        <f t="shared" si="23"/>
        <v>0</v>
      </c>
      <c r="CA37" s="208">
        <f t="shared" si="24"/>
        <v>0</v>
      </c>
      <c r="CD37" s="208">
        <f t="shared" si="25"/>
        <v>0</v>
      </c>
      <c r="CG37" s="208">
        <f t="shared" si="26"/>
        <v>0</v>
      </c>
      <c r="CJ37" s="208">
        <f t="shared" si="27"/>
        <v>0</v>
      </c>
      <c r="CM37" s="208">
        <f t="shared" si="28"/>
        <v>0</v>
      </c>
      <c r="CP37" s="208">
        <f t="shared" si="29"/>
        <v>0</v>
      </c>
      <c r="CS37" s="208">
        <f t="shared" si="30"/>
        <v>0</v>
      </c>
      <c r="CV37" s="208">
        <f t="shared" si="31"/>
        <v>0</v>
      </c>
      <c r="CY37" s="208">
        <f t="shared" si="32"/>
        <v>0</v>
      </c>
      <c r="DB37" s="208">
        <f t="shared" si="33"/>
        <v>0</v>
      </c>
      <c r="DE37" s="208">
        <f t="shared" si="34"/>
        <v>0</v>
      </c>
      <c r="DH37" s="208">
        <f t="shared" si="35"/>
        <v>0</v>
      </c>
      <c r="DK37" s="208">
        <f t="shared" si="36"/>
        <v>0</v>
      </c>
      <c r="DN37" s="208">
        <f t="shared" si="37"/>
        <v>0</v>
      </c>
      <c r="DQ37" s="208">
        <f t="shared" si="38"/>
        <v>0</v>
      </c>
      <c r="DT37" s="208">
        <f t="shared" si="39"/>
        <v>0</v>
      </c>
      <c r="DW37" s="208">
        <f t="shared" si="40"/>
        <v>0</v>
      </c>
      <c r="DZ37" s="208"/>
      <c r="EA37" s="208"/>
      <c r="EB37" s="228">
        <f t="shared" si="41"/>
        <v>200000000</v>
      </c>
      <c r="EC37" s="228">
        <f t="shared" si="42"/>
        <v>0</v>
      </c>
      <c r="ED37" s="208">
        <f t="shared" si="43"/>
        <v>25513.888888888891</v>
      </c>
      <c r="EE37" s="209">
        <f t="shared" si="44"/>
        <v>4.5925000000000001E-2</v>
      </c>
      <c r="EG37" s="228">
        <f t="shared" si="45"/>
        <v>0</v>
      </c>
      <c r="EH37" s="208">
        <f t="shared" si="46"/>
        <v>0</v>
      </c>
      <c r="EI37" s="209">
        <f t="shared" si="47"/>
        <v>0</v>
      </c>
      <c r="EJ37" s="209"/>
      <c r="EK37" s="228">
        <f t="shared" si="48"/>
        <v>200000000</v>
      </c>
      <c r="EL37" s="228">
        <f t="shared" si="49"/>
        <v>0</v>
      </c>
      <c r="EM37" s="228">
        <f t="shared" si="50"/>
        <v>25513.888888888891</v>
      </c>
      <c r="EN37" s="209">
        <f t="shared" si="51"/>
        <v>4.5925000000000001E-2</v>
      </c>
      <c r="EP37" s="208"/>
    </row>
    <row r="38" spans="1:146" x14ac:dyDescent="0.25">
      <c r="A38" s="222">
        <f t="shared" si="52"/>
        <v>45897</v>
      </c>
      <c r="B38" s="208">
        <v>0</v>
      </c>
      <c r="C38" s="209">
        <v>4.5688149999999997E-2</v>
      </c>
      <c r="D38" s="208">
        <f t="shared" si="1"/>
        <v>0</v>
      </c>
      <c r="G38" s="208">
        <f t="shared" si="2"/>
        <v>0</v>
      </c>
      <c r="J38" s="208">
        <f t="shared" si="3"/>
        <v>0</v>
      </c>
      <c r="M38" s="208">
        <f t="shared" si="4"/>
        <v>0</v>
      </c>
      <c r="P38" s="208">
        <f t="shared" si="5"/>
        <v>0</v>
      </c>
      <c r="S38" s="208">
        <f t="shared" si="6"/>
        <v>0</v>
      </c>
      <c r="V38" s="208">
        <f t="shared" si="7"/>
        <v>0</v>
      </c>
      <c r="Y38" s="208">
        <f t="shared" si="8"/>
        <v>0</v>
      </c>
      <c r="AB38" s="208">
        <f t="shared" si="9"/>
        <v>0</v>
      </c>
      <c r="AE38" s="208">
        <v>0</v>
      </c>
      <c r="AH38" s="208">
        <v>0</v>
      </c>
      <c r="AI38" s="223"/>
      <c r="AJ38" s="224"/>
      <c r="AK38" s="208">
        <f t="shared" si="10"/>
        <v>0</v>
      </c>
      <c r="AL38" s="223">
        <f>33905000+66095000+42375000+27625000</f>
        <v>170000000</v>
      </c>
      <c r="AM38" s="224">
        <v>4.5999999999999999E-2</v>
      </c>
      <c r="AN38" s="208">
        <f t="shared" si="11"/>
        <v>21722.222222222223</v>
      </c>
      <c r="AO38" s="223">
        <f t="shared" si="54"/>
        <v>30000000</v>
      </c>
      <c r="AP38" s="224">
        <v>4.5499999999999999E-2</v>
      </c>
      <c r="AQ38" s="208">
        <f t="shared" si="12"/>
        <v>3791.6666666666665</v>
      </c>
      <c r="AR38" s="223"/>
      <c r="AS38" s="224"/>
      <c r="AT38" s="208">
        <f t="shared" si="13"/>
        <v>0</v>
      </c>
      <c r="AW38" s="208">
        <f t="shared" si="14"/>
        <v>0</v>
      </c>
      <c r="AZ38" s="208">
        <f t="shared" si="15"/>
        <v>0</v>
      </c>
      <c r="BC38" s="208">
        <f t="shared" si="16"/>
        <v>0</v>
      </c>
      <c r="BF38" s="208">
        <f t="shared" si="17"/>
        <v>0</v>
      </c>
      <c r="BI38" s="208">
        <f t="shared" si="18"/>
        <v>0</v>
      </c>
      <c r="BL38" s="208">
        <f t="shared" si="19"/>
        <v>0</v>
      </c>
      <c r="BO38" s="208">
        <f t="shared" si="20"/>
        <v>0</v>
      </c>
      <c r="BR38" s="208">
        <f t="shared" si="21"/>
        <v>0</v>
      </c>
      <c r="BU38" s="208">
        <f t="shared" si="22"/>
        <v>0</v>
      </c>
      <c r="BX38" s="208">
        <f t="shared" si="23"/>
        <v>0</v>
      </c>
      <c r="CA38" s="208">
        <f t="shared" si="24"/>
        <v>0</v>
      </c>
      <c r="CD38" s="208">
        <f t="shared" si="25"/>
        <v>0</v>
      </c>
      <c r="CG38" s="208">
        <f t="shared" si="26"/>
        <v>0</v>
      </c>
      <c r="CJ38" s="208">
        <f t="shared" si="27"/>
        <v>0</v>
      </c>
      <c r="CM38" s="208">
        <f t="shared" si="28"/>
        <v>0</v>
      </c>
      <c r="CP38" s="208">
        <f t="shared" si="29"/>
        <v>0</v>
      </c>
      <c r="CS38" s="208">
        <f t="shared" si="30"/>
        <v>0</v>
      </c>
      <c r="CV38" s="208">
        <f t="shared" si="31"/>
        <v>0</v>
      </c>
      <c r="CY38" s="208">
        <f t="shared" si="32"/>
        <v>0</v>
      </c>
      <c r="DB38" s="208">
        <f t="shared" si="33"/>
        <v>0</v>
      </c>
      <c r="DE38" s="208">
        <f t="shared" si="34"/>
        <v>0</v>
      </c>
      <c r="DH38" s="208">
        <f t="shared" si="35"/>
        <v>0</v>
      </c>
      <c r="DK38" s="208">
        <f t="shared" si="36"/>
        <v>0</v>
      </c>
      <c r="DN38" s="208">
        <f t="shared" si="37"/>
        <v>0</v>
      </c>
      <c r="DQ38" s="208">
        <f t="shared" si="38"/>
        <v>0</v>
      </c>
      <c r="DT38" s="208">
        <f t="shared" si="39"/>
        <v>0</v>
      </c>
      <c r="DW38" s="208">
        <f t="shared" si="40"/>
        <v>0</v>
      </c>
      <c r="DZ38" s="208"/>
      <c r="EA38" s="208"/>
      <c r="EB38" s="228">
        <f t="shared" si="41"/>
        <v>200000000</v>
      </c>
      <c r="EC38" s="228">
        <f t="shared" si="42"/>
        <v>0</v>
      </c>
      <c r="ED38" s="208">
        <f t="shared" si="43"/>
        <v>25513.888888888891</v>
      </c>
      <c r="EE38" s="209">
        <f t="shared" si="44"/>
        <v>4.5925000000000001E-2</v>
      </c>
      <c r="EG38" s="228">
        <f t="shared" si="45"/>
        <v>0</v>
      </c>
      <c r="EH38" s="208">
        <f t="shared" si="46"/>
        <v>0</v>
      </c>
      <c r="EI38" s="209">
        <f t="shared" si="47"/>
        <v>0</v>
      </c>
      <c r="EJ38" s="209"/>
      <c r="EK38" s="228">
        <f t="shared" si="48"/>
        <v>200000000</v>
      </c>
      <c r="EL38" s="228">
        <f t="shared" si="49"/>
        <v>0</v>
      </c>
      <c r="EM38" s="228">
        <f t="shared" si="50"/>
        <v>25513.888888888891</v>
      </c>
      <c r="EN38" s="209">
        <f t="shared" si="51"/>
        <v>4.5925000000000001E-2</v>
      </c>
      <c r="EP38" s="208"/>
    </row>
    <row r="39" spans="1:146" x14ac:dyDescent="0.25">
      <c r="A39" s="222">
        <f t="shared" si="52"/>
        <v>45898</v>
      </c>
      <c r="B39" s="208">
        <v>0</v>
      </c>
      <c r="C39" s="209">
        <v>4.5576290000000005E-2</v>
      </c>
      <c r="D39" s="208">
        <f t="shared" si="1"/>
        <v>0</v>
      </c>
      <c r="G39" s="208">
        <f t="shared" si="2"/>
        <v>0</v>
      </c>
      <c r="J39" s="208">
        <f t="shared" si="3"/>
        <v>0</v>
      </c>
      <c r="M39" s="208">
        <f t="shared" si="4"/>
        <v>0</v>
      </c>
      <c r="P39" s="208">
        <f t="shared" si="5"/>
        <v>0</v>
      </c>
      <c r="S39" s="208">
        <f t="shared" si="6"/>
        <v>0</v>
      </c>
      <c r="V39" s="208">
        <f t="shared" si="7"/>
        <v>0</v>
      </c>
      <c r="Y39" s="208">
        <f t="shared" si="8"/>
        <v>0</v>
      </c>
      <c r="AB39" s="208">
        <f t="shared" si="9"/>
        <v>0</v>
      </c>
      <c r="AE39" s="208">
        <v>0</v>
      </c>
      <c r="AH39" s="208">
        <v>0</v>
      </c>
      <c r="AI39" s="223">
        <f>107275000+80000000</f>
        <v>187275000</v>
      </c>
      <c r="AJ39" s="224">
        <v>4.4999999999999998E-2</v>
      </c>
      <c r="AK39" s="208">
        <f t="shared" si="10"/>
        <v>23409.375</v>
      </c>
      <c r="AL39" s="223">
        <f>42375000+27625000</f>
        <v>70000000</v>
      </c>
      <c r="AM39" s="224">
        <v>4.5999999999999999E-2</v>
      </c>
      <c r="AN39" s="208">
        <f t="shared" si="11"/>
        <v>8944.4444444444453</v>
      </c>
      <c r="AO39" s="223">
        <f t="shared" si="54"/>
        <v>30000000</v>
      </c>
      <c r="AP39" s="224">
        <v>4.5499999999999999E-2</v>
      </c>
      <c r="AQ39" s="208">
        <f t="shared" si="12"/>
        <v>3791.6666666666665</v>
      </c>
      <c r="AR39" s="223"/>
      <c r="AS39" s="224"/>
      <c r="AT39" s="208">
        <f t="shared" si="13"/>
        <v>0</v>
      </c>
      <c r="AW39" s="208">
        <f t="shared" si="14"/>
        <v>0</v>
      </c>
      <c r="AZ39" s="208">
        <f t="shared" si="15"/>
        <v>0</v>
      </c>
      <c r="BC39" s="208">
        <f t="shared" si="16"/>
        <v>0</v>
      </c>
      <c r="BF39" s="208">
        <f t="shared" si="17"/>
        <v>0</v>
      </c>
      <c r="BI39" s="208">
        <f t="shared" si="18"/>
        <v>0</v>
      </c>
      <c r="BL39" s="208">
        <f t="shared" si="19"/>
        <v>0</v>
      </c>
      <c r="BO39" s="208">
        <f t="shared" si="20"/>
        <v>0</v>
      </c>
      <c r="BR39" s="208">
        <f t="shared" si="21"/>
        <v>0</v>
      </c>
      <c r="BU39" s="208">
        <f t="shared" si="22"/>
        <v>0</v>
      </c>
      <c r="BX39" s="208">
        <f t="shared" si="23"/>
        <v>0</v>
      </c>
      <c r="CA39" s="208">
        <f t="shared" si="24"/>
        <v>0</v>
      </c>
      <c r="CD39" s="208">
        <f t="shared" si="25"/>
        <v>0</v>
      </c>
      <c r="CG39" s="208">
        <f t="shared" si="26"/>
        <v>0</v>
      </c>
      <c r="CJ39" s="208">
        <f t="shared" si="27"/>
        <v>0</v>
      </c>
      <c r="CM39" s="208">
        <f t="shared" si="28"/>
        <v>0</v>
      </c>
      <c r="CP39" s="208">
        <f t="shared" si="29"/>
        <v>0</v>
      </c>
      <c r="CS39" s="208">
        <f t="shared" si="30"/>
        <v>0</v>
      </c>
      <c r="CV39" s="208">
        <f t="shared" si="31"/>
        <v>0</v>
      </c>
      <c r="CY39" s="208">
        <f t="shared" si="32"/>
        <v>0</v>
      </c>
      <c r="DB39" s="208">
        <f t="shared" si="33"/>
        <v>0</v>
      </c>
      <c r="DE39" s="208">
        <f t="shared" si="34"/>
        <v>0</v>
      </c>
      <c r="DH39" s="208">
        <f t="shared" si="35"/>
        <v>0</v>
      </c>
      <c r="DK39" s="208">
        <f t="shared" si="36"/>
        <v>0</v>
      </c>
      <c r="DN39" s="208">
        <f t="shared" si="37"/>
        <v>0</v>
      </c>
      <c r="DQ39" s="208">
        <f t="shared" si="38"/>
        <v>0</v>
      </c>
      <c r="DT39" s="208">
        <f t="shared" si="39"/>
        <v>0</v>
      </c>
      <c r="DW39" s="208">
        <f t="shared" si="40"/>
        <v>0</v>
      </c>
      <c r="DZ39" s="208"/>
      <c r="EA39" s="208"/>
      <c r="EB39" s="228">
        <f t="shared" si="41"/>
        <v>287275000</v>
      </c>
      <c r="EC39" s="228">
        <f t="shared" si="42"/>
        <v>0</v>
      </c>
      <c r="ED39" s="208">
        <f t="shared" si="43"/>
        <v>36145.486111111109</v>
      </c>
      <c r="EE39" s="209">
        <f t="shared" si="44"/>
        <v>4.5295883735097034E-2</v>
      </c>
      <c r="EG39" s="228">
        <f t="shared" si="45"/>
        <v>0</v>
      </c>
      <c r="EH39" s="208">
        <f t="shared" si="46"/>
        <v>0</v>
      </c>
      <c r="EI39" s="209">
        <f t="shared" si="47"/>
        <v>0</v>
      </c>
      <c r="EJ39" s="209"/>
      <c r="EK39" s="228">
        <f t="shared" si="48"/>
        <v>287275000</v>
      </c>
      <c r="EL39" s="228">
        <f t="shared" si="49"/>
        <v>0</v>
      </c>
      <c r="EM39" s="228">
        <f t="shared" si="50"/>
        <v>36145.486111111109</v>
      </c>
      <c r="EN39" s="209">
        <f t="shared" si="51"/>
        <v>4.5295883735097034E-2</v>
      </c>
      <c r="EP39" s="208"/>
    </row>
    <row r="40" spans="1:146" x14ac:dyDescent="0.25">
      <c r="A40" s="222">
        <f t="shared" si="52"/>
        <v>45899</v>
      </c>
      <c r="B40" s="208">
        <v>0</v>
      </c>
      <c r="C40" s="209">
        <v>4.5576290000000005E-2</v>
      </c>
      <c r="D40" s="208">
        <f t="shared" si="1"/>
        <v>0</v>
      </c>
      <c r="G40" s="208">
        <f t="shared" si="2"/>
        <v>0</v>
      </c>
      <c r="J40" s="208">
        <f t="shared" si="3"/>
        <v>0</v>
      </c>
      <c r="M40" s="208">
        <f t="shared" si="4"/>
        <v>0</v>
      </c>
      <c r="P40" s="208">
        <f t="shared" si="5"/>
        <v>0</v>
      </c>
      <c r="S40" s="208">
        <f t="shared" si="6"/>
        <v>0</v>
      </c>
      <c r="V40" s="208">
        <f t="shared" si="7"/>
        <v>0</v>
      </c>
      <c r="Y40" s="208">
        <f t="shared" si="8"/>
        <v>0</v>
      </c>
      <c r="AB40" s="208">
        <f t="shared" si="9"/>
        <v>0</v>
      </c>
      <c r="AE40" s="208">
        <v>0</v>
      </c>
      <c r="AH40" s="208">
        <v>0</v>
      </c>
      <c r="AI40" s="223">
        <f>107275000+80000000</f>
        <v>187275000</v>
      </c>
      <c r="AJ40" s="224">
        <v>4.4999999999999998E-2</v>
      </c>
      <c r="AK40" s="208">
        <f t="shared" si="10"/>
        <v>23409.375</v>
      </c>
      <c r="AL40" s="223">
        <f>42375000+27625000</f>
        <v>70000000</v>
      </c>
      <c r="AM40" s="224">
        <v>4.5999999999999999E-2</v>
      </c>
      <c r="AN40" s="208">
        <f t="shared" si="11"/>
        <v>8944.4444444444453</v>
      </c>
      <c r="AO40" s="223">
        <f t="shared" si="54"/>
        <v>30000000</v>
      </c>
      <c r="AP40" s="224">
        <v>4.5499999999999999E-2</v>
      </c>
      <c r="AQ40" s="208">
        <f t="shared" si="12"/>
        <v>3791.6666666666665</v>
      </c>
      <c r="AR40" s="223"/>
      <c r="AS40" s="224"/>
      <c r="AT40" s="208">
        <f t="shared" si="13"/>
        <v>0</v>
      </c>
      <c r="AW40" s="208">
        <f t="shared" si="14"/>
        <v>0</v>
      </c>
      <c r="AZ40" s="208">
        <f t="shared" si="15"/>
        <v>0</v>
      </c>
      <c r="BC40" s="208">
        <f t="shared" si="16"/>
        <v>0</v>
      </c>
      <c r="BF40" s="208">
        <f t="shared" si="17"/>
        <v>0</v>
      </c>
      <c r="BI40" s="208">
        <f t="shared" si="18"/>
        <v>0</v>
      </c>
      <c r="BL40" s="208">
        <f t="shared" si="19"/>
        <v>0</v>
      </c>
      <c r="BO40" s="208">
        <f t="shared" si="20"/>
        <v>0</v>
      </c>
      <c r="BR40" s="208">
        <f t="shared" si="21"/>
        <v>0</v>
      </c>
      <c r="BU40" s="208">
        <f t="shared" si="22"/>
        <v>0</v>
      </c>
      <c r="BX40" s="208">
        <f t="shared" si="23"/>
        <v>0</v>
      </c>
      <c r="CA40" s="208">
        <f t="shared" si="24"/>
        <v>0</v>
      </c>
      <c r="CD40" s="208">
        <f t="shared" si="25"/>
        <v>0</v>
      </c>
      <c r="CG40" s="208">
        <f t="shared" si="26"/>
        <v>0</v>
      </c>
      <c r="CJ40" s="208">
        <f t="shared" si="27"/>
        <v>0</v>
      </c>
      <c r="CM40" s="208">
        <f t="shared" si="28"/>
        <v>0</v>
      </c>
      <c r="CP40" s="208">
        <f t="shared" si="29"/>
        <v>0</v>
      </c>
      <c r="CS40" s="208">
        <f t="shared" si="30"/>
        <v>0</v>
      </c>
      <c r="CV40" s="208">
        <f t="shared" si="31"/>
        <v>0</v>
      </c>
      <c r="CY40" s="208">
        <f t="shared" si="32"/>
        <v>0</v>
      </c>
      <c r="DB40" s="208">
        <f t="shared" si="33"/>
        <v>0</v>
      </c>
      <c r="DE40" s="208">
        <f t="shared" si="34"/>
        <v>0</v>
      </c>
      <c r="DH40" s="208">
        <f t="shared" si="35"/>
        <v>0</v>
      </c>
      <c r="DK40" s="208">
        <f t="shared" si="36"/>
        <v>0</v>
      </c>
      <c r="DN40" s="208">
        <f t="shared" si="37"/>
        <v>0</v>
      </c>
      <c r="DQ40" s="208">
        <f t="shared" si="38"/>
        <v>0</v>
      </c>
      <c r="DT40" s="208">
        <f t="shared" si="39"/>
        <v>0</v>
      </c>
      <c r="DW40" s="208">
        <f t="shared" si="40"/>
        <v>0</v>
      </c>
      <c r="DZ40" s="208"/>
      <c r="EA40" s="208"/>
      <c r="EB40" s="228">
        <f t="shared" si="41"/>
        <v>287275000</v>
      </c>
      <c r="EC40" s="228">
        <f t="shared" si="42"/>
        <v>0</v>
      </c>
      <c r="ED40" s="208">
        <f t="shared" si="43"/>
        <v>36145.486111111109</v>
      </c>
      <c r="EE40" s="209">
        <f t="shared" si="44"/>
        <v>4.5295883735097034E-2</v>
      </c>
      <c r="EG40" s="228">
        <f t="shared" si="45"/>
        <v>0</v>
      </c>
      <c r="EH40" s="208">
        <f t="shared" si="46"/>
        <v>0</v>
      </c>
      <c r="EI40" s="209">
        <f t="shared" si="47"/>
        <v>0</v>
      </c>
      <c r="EJ40" s="209"/>
      <c r="EK40" s="228">
        <f t="shared" si="48"/>
        <v>287275000</v>
      </c>
      <c r="EL40" s="228">
        <f t="shared" si="49"/>
        <v>0</v>
      </c>
      <c r="EM40" s="228">
        <f t="shared" si="50"/>
        <v>36145.486111111109</v>
      </c>
      <c r="EN40" s="209">
        <f t="shared" si="51"/>
        <v>4.5295883735097034E-2</v>
      </c>
      <c r="EP40" s="208"/>
    </row>
    <row r="41" spans="1:146" x14ac:dyDescent="0.25">
      <c r="A41" s="222">
        <f t="shared" si="52"/>
        <v>45900</v>
      </c>
      <c r="B41" s="208">
        <v>0</v>
      </c>
      <c r="C41" s="209">
        <v>4.5576290000000005E-2</v>
      </c>
      <c r="D41" s="249">
        <f t="shared" si="1"/>
        <v>0</v>
      </c>
      <c r="G41" s="249">
        <f t="shared" si="2"/>
        <v>0</v>
      </c>
      <c r="J41" s="225">
        <f t="shared" si="3"/>
        <v>0</v>
      </c>
      <c r="M41" s="225">
        <f t="shared" si="4"/>
        <v>0</v>
      </c>
      <c r="P41" s="225">
        <f t="shared" si="5"/>
        <v>0</v>
      </c>
      <c r="S41" s="225">
        <f t="shared" si="6"/>
        <v>0</v>
      </c>
      <c r="V41" s="225">
        <f t="shared" si="7"/>
        <v>0</v>
      </c>
      <c r="Y41" s="225">
        <f t="shared" si="8"/>
        <v>0</v>
      </c>
      <c r="AB41" s="225">
        <f t="shared" si="9"/>
        <v>0</v>
      </c>
      <c r="AE41" s="225">
        <v>0</v>
      </c>
      <c r="AH41" s="225">
        <v>0</v>
      </c>
      <c r="AI41" s="208">
        <f>107275000+80000000</f>
        <v>187275000</v>
      </c>
      <c r="AJ41" s="209">
        <v>4.4999999999999998E-2</v>
      </c>
      <c r="AK41" s="249">
        <f t="shared" si="10"/>
        <v>23409.375</v>
      </c>
      <c r="AL41" s="208">
        <f>42375000+27625000</f>
        <v>70000000</v>
      </c>
      <c r="AM41" s="209">
        <v>4.5999999999999999E-2</v>
      </c>
      <c r="AN41" s="249">
        <f t="shared" si="11"/>
        <v>8944.4444444444453</v>
      </c>
      <c r="AO41" s="208">
        <f t="shared" si="54"/>
        <v>30000000</v>
      </c>
      <c r="AP41" s="209">
        <v>4.5499999999999999E-2</v>
      </c>
      <c r="AQ41" s="249">
        <f t="shared" si="12"/>
        <v>3791.6666666666665</v>
      </c>
      <c r="AT41" s="249">
        <f t="shared" si="13"/>
        <v>0</v>
      </c>
      <c r="AW41" s="249">
        <f t="shared" si="14"/>
        <v>0</v>
      </c>
      <c r="AZ41" s="249">
        <f t="shared" si="15"/>
        <v>0</v>
      </c>
      <c r="BC41" s="249">
        <f t="shared" si="16"/>
        <v>0</v>
      </c>
      <c r="BF41" s="249">
        <f t="shared" si="17"/>
        <v>0</v>
      </c>
      <c r="BI41" s="249">
        <f t="shared" si="18"/>
        <v>0</v>
      </c>
      <c r="BL41" s="249">
        <f t="shared" si="19"/>
        <v>0</v>
      </c>
      <c r="BO41" s="225">
        <f t="shared" si="20"/>
        <v>0</v>
      </c>
      <c r="BR41" s="225">
        <f t="shared" si="21"/>
        <v>0</v>
      </c>
      <c r="BU41" s="225">
        <f t="shared" si="22"/>
        <v>0</v>
      </c>
      <c r="BX41" s="225">
        <f t="shared" si="23"/>
        <v>0</v>
      </c>
      <c r="CA41" s="225">
        <f t="shared" si="24"/>
        <v>0</v>
      </c>
      <c r="CD41" s="225">
        <f t="shared" si="25"/>
        <v>0</v>
      </c>
      <c r="CG41" s="225">
        <f t="shared" si="26"/>
        <v>0</v>
      </c>
      <c r="CJ41" s="225">
        <f t="shared" si="27"/>
        <v>0</v>
      </c>
      <c r="CM41" s="225">
        <f t="shared" si="28"/>
        <v>0</v>
      </c>
      <c r="CP41" s="225">
        <f t="shared" si="29"/>
        <v>0</v>
      </c>
      <c r="CS41" s="225">
        <f t="shared" si="30"/>
        <v>0</v>
      </c>
      <c r="CV41" s="225">
        <f t="shared" si="31"/>
        <v>0</v>
      </c>
      <c r="CY41" s="225">
        <f t="shared" si="32"/>
        <v>0</v>
      </c>
      <c r="DB41" s="225">
        <f t="shared" si="33"/>
        <v>0</v>
      </c>
      <c r="DE41" s="225">
        <f t="shared" si="34"/>
        <v>0</v>
      </c>
      <c r="DH41" s="225">
        <f t="shared" si="35"/>
        <v>0</v>
      </c>
      <c r="DK41" s="225">
        <f t="shared" si="36"/>
        <v>0</v>
      </c>
      <c r="DN41" s="225">
        <f t="shared" si="37"/>
        <v>0</v>
      </c>
      <c r="DQ41" s="225">
        <f t="shared" si="38"/>
        <v>0</v>
      </c>
      <c r="DT41" s="225">
        <f t="shared" si="39"/>
        <v>0</v>
      </c>
      <c r="DW41" s="225">
        <f t="shared" si="40"/>
        <v>0</v>
      </c>
      <c r="DZ41" s="208"/>
      <c r="EA41" s="208"/>
      <c r="EB41" s="208">
        <f t="shared" si="41"/>
        <v>287275000</v>
      </c>
      <c r="EC41" s="208">
        <f t="shared" si="42"/>
        <v>0</v>
      </c>
      <c r="ED41" s="249">
        <f t="shared" si="43"/>
        <v>36145.486111111109</v>
      </c>
      <c r="EE41" s="209">
        <f t="shared" si="44"/>
        <v>4.5295883735097034E-2</v>
      </c>
      <c r="EG41" s="208">
        <f t="shared" si="45"/>
        <v>0</v>
      </c>
      <c r="EH41" s="225">
        <f t="shared" si="46"/>
        <v>0</v>
      </c>
      <c r="EI41" s="209">
        <f t="shared" si="47"/>
        <v>0</v>
      </c>
      <c r="EJ41" s="209"/>
      <c r="EK41" s="208">
        <f t="shared" si="48"/>
        <v>287275000</v>
      </c>
      <c r="EL41" s="208">
        <f t="shared" si="49"/>
        <v>0</v>
      </c>
      <c r="EM41" s="249">
        <f t="shared" si="50"/>
        <v>36145.486111111109</v>
      </c>
      <c r="EN41" s="209">
        <f t="shared" si="51"/>
        <v>4.5295883735097034E-2</v>
      </c>
    </row>
    <row r="42" spans="1:146" x14ac:dyDescent="0.25">
      <c r="A42" s="166" t="s">
        <v>35</v>
      </c>
      <c r="D42" s="208">
        <f>SUM(D11:D41)</f>
        <v>0</v>
      </c>
      <c r="F42" s="208"/>
      <c r="G42" s="208">
        <f>SUM(G11:G41)</f>
        <v>0</v>
      </c>
      <c r="I42" s="208"/>
      <c r="J42" s="208">
        <f>SUM(J11:J41)</f>
        <v>0</v>
      </c>
      <c r="L42" s="208"/>
      <c r="M42" s="208">
        <f>SUM(M11:M41)</f>
        <v>0</v>
      </c>
      <c r="O42" s="208"/>
      <c r="P42" s="208">
        <f>SUM(P11:P41)</f>
        <v>0</v>
      </c>
      <c r="R42" s="208"/>
      <c r="S42" s="208">
        <f>SUM(S11:S41)</f>
        <v>0</v>
      </c>
      <c r="U42" s="208"/>
      <c r="V42" s="208">
        <f>SUM(V11:V41)</f>
        <v>0</v>
      </c>
      <c r="X42" s="208"/>
      <c r="Y42" s="208">
        <f>SUM(Y11:Y41)</f>
        <v>0</v>
      </c>
      <c r="AA42" s="208"/>
      <c r="AB42" s="208">
        <f>SUM(AB11:AB41)</f>
        <v>0</v>
      </c>
      <c r="AD42" s="208"/>
      <c r="AE42" s="208">
        <f>SUM(AE11:AE41)</f>
        <v>0</v>
      </c>
      <c r="AG42" s="208"/>
      <c r="AH42" s="208">
        <f>SUM(AH11:AH41)</f>
        <v>0</v>
      </c>
      <c r="AJ42" s="208"/>
      <c r="AK42" s="208">
        <f>SUM(AK11:AK41)</f>
        <v>364311.08333333331</v>
      </c>
      <c r="AM42" s="208"/>
      <c r="AN42" s="208">
        <f>SUM(AN11:AN41)</f>
        <v>679777.77777777822</v>
      </c>
      <c r="AP42" s="208"/>
      <c r="AQ42" s="208">
        <f>SUM(AQ11:AQ41)</f>
        <v>147922.22222222225</v>
      </c>
      <c r="AS42" s="208"/>
      <c r="AT42" s="208">
        <f>SUM(AT11:AT41)</f>
        <v>0</v>
      </c>
      <c r="AV42" s="208"/>
      <c r="AW42" s="208">
        <f>SUM(AW11:AW41)</f>
        <v>0</v>
      </c>
      <c r="AY42" s="208"/>
      <c r="AZ42" s="208">
        <f>SUM(AZ11:AZ41)</f>
        <v>0</v>
      </c>
      <c r="BB42" s="208"/>
      <c r="BC42" s="208">
        <f>SUM(BC11:BC41)</f>
        <v>0</v>
      </c>
      <c r="BE42" s="208"/>
      <c r="BF42" s="208">
        <f>SUM(BF11:BF41)</f>
        <v>0</v>
      </c>
      <c r="BH42" s="208"/>
      <c r="BI42" s="208">
        <f>SUM(BI11:BI41)</f>
        <v>0</v>
      </c>
      <c r="BK42" s="208"/>
      <c r="BL42" s="208">
        <f>SUM(BL11:BL41)</f>
        <v>0</v>
      </c>
      <c r="BN42" s="208"/>
      <c r="BO42" s="208">
        <f>SUM(BO11:BO41)</f>
        <v>0</v>
      </c>
      <c r="BQ42" s="208"/>
      <c r="BR42" s="208">
        <f>SUM(BR11:BR41)</f>
        <v>0</v>
      </c>
      <c r="BT42" s="208"/>
      <c r="BU42" s="208">
        <f>SUM(BU11:BU41)</f>
        <v>0</v>
      </c>
      <c r="BW42" s="208"/>
      <c r="BX42" s="208">
        <f>SUM(BX11:BX41)</f>
        <v>0</v>
      </c>
      <c r="BZ42" s="208"/>
      <c r="CA42" s="208">
        <f>SUM(CA11:CA41)</f>
        <v>0</v>
      </c>
      <c r="CC42" s="208"/>
      <c r="CD42" s="208">
        <f>SUM(CD11:CD41)</f>
        <v>0</v>
      </c>
      <c r="CF42" s="208"/>
      <c r="CG42" s="208">
        <f>SUM(CG11:CG41)</f>
        <v>0</v>
      </c>
      <c r="CI42" s="208"/>
      <c r="CJ42" s="208">
        <f>SUM(CJ11:CJ41)</f>
        <v>0</v>
      </c>
      <c r="CL42" s="208"/>
      <c r="CM42" s="208">
        <f>SUM(CM11:CM41)</f>
        <v>0</v>
      </c>
      <c r="CO42" s="208"/>
      <c r="CP42" s="208">
        <f>SUM(CP11:CP41)</f>
        <v>0</v>
      </c>
      <c r="CR42" s="208"/>
      <c r="CS42" s="208">
        <f>SUM(CS11:CS41)</f>
        <v>0</v>
      </c>
      <c r="CU42" s="208"/>
      <c r="CV42" s="208">
        <f>SUM(CV11:CV41)</f>
        <v>0</v>
      </c>
      <c r="CX42" s="208"/>
      <c r="CY42" s="208">
        <f>SUM(CY11:CY41)</f>
        <v>0</v>
      </c>
      <c r="DA42" s="208"/>
      <c r="DB42" s="208">
        <f>SUM(DB11:DB41)</f>
        <v>0</v>
      </c>
      <c r="DD42" s="208"/>
      <c r="DE42" s="208">
        <f>SUM(DE11:DE41)</f>
        <v>0</v>
      </c>
      <c r="DG42" s="208"/>
      <c r="DH42" s="208">
        <f>SUM(DH11:DH41)</f>
        <v>0</v>
      </c>
      <c r="DJ42" s="208"/>
      <c r="DK42" s="208">
        <f>SUM(DK11:DK41)</f>
        <v>0</v>
      </c>
      <c r="DM42" s="208"/>
      <c r="DN42" s="208">
        <f>SUM(DN11:DN41)</f>
        <v>0</v>
      </c>
      <c r="DP42" s="208"/>
      <c r="DQ42" s="208">
        <f>SUM(DQ11:DQ41)</f>
        <v>0</v>
      </c>
      <c r="DS42" s="208"/>
      <c r="DT42" s="208">
        <f>SUM(DT11:DT41)</f>
        <v>0</v>
      </c>
      <c r="DV42" s="208"/>
      <c r="DW42" s="208">
        <f>SUM(DW11:DW41)</f>
        <v>0</v>
      </c>
      <c r="DY42" s="208"/>
      <c r="DZ42" s="208"/>
      <c r="EA42" s="208"/>
      <c r="EB42" s="208"/>
      <c r="EC42" s="208"/>
      <c r="ED42" s="208">
        <f>SUM(ED11:ED41)</f>
        <v>1192011.0833333328</v>
      </c>
      <c r="EE42" s="208"/>
      <c r="EF42" s="208"/>
      <c r="EG42" s="208"/>
      <c r="EH42" s="208">
        <f>SUM(EH11:EH41)</f>
        <v>0</v>
      </c>
      <c r="EI42" s="208"/>
      <c r="EJ42" s="208"/>
      <c r="EK42" s="208"/>
      <c r="EL42" s="208"/>
      <c r="EM42" s="208">
        <f>SUM(EM11:EM41)</f>
        <v>1192011.0833333328</v>
      </c>
      <c r="EN42" s="208"/>
    </row>
    <row r="43" spans="1:146" x14ac:dyDescent="0.25">
      <c r="EM43" s="226"/>
    </row>
    <row r="44" spans="1:146" x14ac:dyDescent="0.25">
      <c r="EM44" s="208"/>
    </row>
    <row r="45" spans="1:146" x14ac:dyDescent="0.25">
      <c r="EM45" s="208"/>
    </row>
    <row r="47" spans="1:146" x14ac:dyDescent="0.25">
      <c r="EM47" s="208"/>
    </row>
  </sheetData>
  <pageMargins left="0.7" right="0.7" top="0.75" bottom="0.75" header="0.3" footer="0.3"/>
  <pageSetup scale="63" orientation="portrait" r:id="rId1"/>
  <headerFooter>
    <oddFooter>&amp;CSchedule RL-1</oddFooter>
  </headerFooter>
  <colBreaks count="4" manualBreakCount="4">
    <brk id="7" max="1048575" man="1"/>
    <brk id="43" max="1048575" man="1"/>
    <brk id="52" max="41" man="1"/>
    <brk id="13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0"/>
  <dimension ref="A1:EQ47"/>
  <sheetViews>
    <sheetView zoomScaleNormal="100" workbookViewId="0">
      <selection activeCell="E22" sqref="E22"/>
    </sheetView>
  </sheetViews>
  <sheetFormatPr defaultRowHeight="15" x14ac:dyDescent="0.25"/>
  <cols>
    <col min="1" max="1" width="14.5703125" style="166" bestFit="1" customWidth="1"/>
    <col min="2" max="2" width="19.140625" style="208" customWidth="1"/>
    <col min="3" max="3" width="15.42578125" style="209" bestFit="1" customWidth="1"/>
    <col min="4" max="4" width="15.42578125" style="166" bestFit="1" customWidth="1"/>
    <col min="5" max="5" width="15.5703125" style="208" bestFit="1" customWidth="1"/>
    <col min="6" max="6" width="12.28515625" style="209" bestFit="1" customWidth="1"/>
    <col min="7" max="7" width="18.42578125" style="166" bestFit="1" customWidth="1"/>
    <col min="8" max="8" width="15.42578125" style="208" hidden="1" customWidth="1"/>
    <col min="9" max="9" width="10.28515625" style="209" hidden="1" customWidth="1"/>
    <col min="10" max="10" width="13.42578125" style="166" hidden="1" customWidth="1"/>
    <col min="11" max="11" width="14.42578125" style="208" hidden="1" customWidth="1"/>
    <col min="12" max="12" width="10.28515625" style="209" hidden="1" customWidth="1"/>
    <col min="13" max="13" width="11.7109375" style="166" hidden="1" customWidth="1"/>
    <col min="14" max="14" width="14.42578125" style="208" hidden="1" customWidth="1"/>
    <col min="15" max="15" width="10.28515625" style="209" hidden="1" customWidth="1"/>
    <col min="16" max="16" width="11.7109375" style="166" hidden="1" customWidth="1"/>
    <col min="17" max="17" width="15.42578125" style="208" hidden="1" customWidth="1"/>
    <col min="18" max="18" width="10.28515625" style="209" hidden="1" customWidth="1"/>
    <col min="19" max="19" width="11.7109375" style="166" hidden="1" customWidth="1"/>
    <col min="20" max="20" width="15.42578125" style="208" hidden="1" customWidth="1"/>
    <col min="21" max="21" width="10.28515625" style="209" hidden="1" customWidth="1"/>
    <col min="22" max="22" width="11.7109375" style="166" hidden="1" customWidth="1"/>
    <col min="23" max="23" width="15.42578125" style="208" hidden="1" customWidth="1"/>
    <col min="24" max="24" width="10.28515625" style="209" hidden="1" customWidth="1"/>
    <col min="25" max="25" width="11.7109375" style="166" hidden="1" customWidth="1"/>
    <col min="26" max="26" width="15.42578125" style="208" hidden="1" customWidth="1"/>
    <col min="27" max="27" width="10.28515625" style="209" hidden="1" customWidth="1"/>
    <col min="28" max="28" width="11.7109375" style="166" hidden="1" customWidth="1"/>
    <col min="29" max="29" width="15.42578125" style="208" hidden="1" customWidth="1"/>
    <col min="30" max="30" width="10.28515625" style="209" hidden="1" customWidth="1"/>
    <col min="31" max="31" width="11.7109375" style="166" hidden="1" customWidth="1"/>
    <col min="32" max="32" width="14.42578125" style="208" hidden="1" customWidth="1"/>
    <col min="33" max="33" width="10.28515625" style="209" hidden="1" customWidth="1"/>
    <col min="34" max="34" width="10.7109375" style="166" hidden="1" customWidth="1"/>
    <col min="35" max="35" width="14.42578125" style="208" customWidth="1"/>
    <col min="36" max="36" width="11.7109375" style="209" customWidth="1"/>
    <col min="37" max="37" width="13.7109375" style="166" bestFit="1" customWidth="1"/>
    <col min="38" max="38" width="14.42578125" style="208" customWidth="1"/>
    <col min="39" max="39" width="13.140625" style="209" customWidth="1"/>
    <col min="40" max="40" width="13.7109375" style="166" bestFit="1" customWidth="1"/>
    <col min="41" max="41" width="15.42578125" style="208" bestFit="1" customWidth="1"/>
    <col min="42" max="42" width="12.28515625" style="209" bestFit="1" customWidth="1"/>
    <col min="43" max="43" width="12.5703125" style="166" bestFit="1" customWidth="1"/>
    <col min="44" max="44" width="15.42578125" style="208" bestFit="1" customWidth="1"/>
    <col min="45" max="45" width="12" style="209" customWidth="1"/>
    <col min="46" max="46" width="14.140625" style="166" customWidth="1"/>
    <col min="47" max="47" width="14.42578125" style="208" customWidth="1"/>
    <col min="48" max="48" width="10.28515625" style="209" customWidth="1"/>
    <col min="49" max="49" width="10.7109375" style="166" customWidth="1"/>
    <col min="50" max="50" width="14.42578125" style="208" customWidth="1"/>
    <col min="51" max="51" width="10.28515625" style="209" customWidth="1"/>
    <col min="52" max="52" width="10.7109375" style="166" customWidth="1"/>
    <col min="53" max="53" width="14.42578125" style="208" customWidth="1"/>
    <col min="54" max="54" width="10.28515625" style="209" customWidth="1"/>
    <col min="55" max="55" width="10.7109375" style="166" customWidth="1"/>
    <col min="56" max="56" width="14.42578125" style="208" customWidth="1"/>
    <col min="57" max="57" width="10.28515625" style="209" customWidth="1"/>
    <col min="58" max="58" width="10.7109375" style="166" customWidth="1"/>
    <col min="59" max="59" width="14.42578125" style="208" customWidth="1"/>
    <col min="60" max="60" width="10.28515625" style="209" customWidth="1"/>
    <col min="61" max="61" width="10.7109375" style="166" customWidth="1"/>
    <col min="62" max="62" width="14.42578125" style="208" customWidth="1"/>
    <col min="63" max="63" width="10.28515625" style="209" customWidth="1"/>
    <col min="64" max="64" width="10.7109375" style="166" customWidth="1"/>
    <col min="65" max="65" width="14.42578125" style="208" hidden="1" customWidth="1"/>
    <col min="66" max="66" width="10.28515625" style="209" hidden="1" customWidth="1"/>
    <col min="67" max="67" width="10.7109375" style="166" hidden="1" customWidth="1"/>
    <col min="68" max="68" width="14.42578125" style="208" hidden="1" customWidth="1"/>
    <col min="69" max="69" width="10.28515625" style="209" hidden="1" customWidth="1"/>
    <col min="70" max="70" width="10.7109375" style="166" hidden="1" customWidth="1"/>
    <col min="71" max="71" width="14.42578125" style="208" hidden="1" customWidth="1"/>
    <col min="72" max="72" width="10.28515625" style="209" hidden="1" customWidth="1"/>
    <col min="73" max="73" width="10.7109375" style="166" hidden="1" customWidth="1"/>
    <col min="74" max="74" width="14.42578125" style="208" hidden="1" customWidth="1"/>
    <col min="75" max="75" width="10.28515625" style="209" hidden="1" customWidth="1"/>
    <col min="76" max="76" width="10.7109375" style="166" hidden="1" customWidth="1"/>
    <col min="77" max="77" width="14.42578125" style="208" hidden="1" customWidth="1"/>
    <col min="78" max="78" width="10.28515625" style="209" hidden="1" customWidth="1"/>
    <col min="79" max="79" width="10.7109375" style="166" hidden="1" customWidth="1"/>
    <col min="80" max="80" width="14.42578125" style="208" hidden="1" customWidth="1"/>
    <col min="81" max="81" width="10.28515625" style="209" hidden="1" customWidth="1"/>
    <col min="82" max="82" width="10.7109375" style="166" hidden="1" customWidth="1"/>
    <col min="83" max="83" width="14.42578125" style="208" hidden="1" customWidth="1"/>
    <col min="84" max="84" width="10.28515625" style="209" hidden="1" customWidth="1"/>
    <col min="85" max="85" width="10.7109375" style="166" hidden="1" customWidth="1"/>
    <col min="86" max="86" width="14.42578125" style="208" hidden="1" customWidth="1"/>
    <col min="87" max="87" width="10.28515625" style="209" hidden="1" customWidth="1"/>
    <col min="88" max="88" width="10.7109375" style="166" hidden="1" customWidth="1"/>
    <col min="89" max="89" width="14.42578125" style="208" hidden="1" customWidth="1"/>
    <col min="90" max="90" width="10.28515625" style="209" hidden="1" customWidth="1"/>
    <col min="91" max="91" width="10.7109375" style="166" hidden="1" customWidth="1"/>
    <col min="92" max="92" width="14.42578125" style="208" hidden="1" customWidth="1"/>
    <col min="93" max="93" width="10.28515625" style="209" hidden="1" customWidth="1"/>
    <col min="94" max="94" width="10.7109375" style="166" hidden="1" customWidth="1"/>
    <col min="95" max="95" width="14.42578125" style="208" hidden="1" customWidth="1"/>
    <col min="96" max="96" width="10.28515625" style="209" hidden="1" customWidth="1"/>
    <col min="97" max="97" width="10.7109375" style="166" hidden="1" customWidth="1"/>
    <col min="98" max="98" width="14.42578125" style="208" hidden="1" customWidth="1"/>
    <col min="99" max="99" width="10.28515625" style="209" hidden="1" customWidth="1"/>
    <col min="100" max="100" width="10.7109375" style="166" hidden="1" customWidth="1"/>
    <col min="101" max="101" width="14.42578125" style="208" hidden="1" customWidth="1"/>
    <col min="102" max="102" width="10.28515625" style="209" hidden="1" customWidth="1"/>
    <col min="103" max="103" width="10.7109375" style="166" hidden="1" customWidth="1"/>
    <col min="104" max="104" width="14.42578125" style="208" hidden="1" customWidth="1"/>
    <col min="105" max="105" width="10.28515625" style="209" hidden="1" customWidth="1"/>
    <col min="106" max="106" width="10.7109375" style="166" hidden="1" customWidth="1"/>
    <col min="107" max="107" width="14.42578125" style="208" hidden="1" customWidth="1"/>
    <col min="108" max="108" width="10.28515625" style="209" hidden="1" customWidth="1"/>
    <col min="109" max="109" width="10.7109375" style="166" hidden="1" customWidth="1"/>
    <col min="110" max="110" width="14.42578125" style="208" hidden="1" customWidth="1"/>
    <col min="111" max="111" width="10.28515625" style="209" hidden="1" customWidth="1"/>
    <col min="112" max="112" width="10.7109375" style="166" hidden="1" customWidth="1"/>
    <col min="113" max="113" width="14.42578125" style="208" hidden="1" customWidth="1"/>
    <col min="114" max="114" width="10.28515625" style="209" hidden="1" customWidth="1"/>
    <col min="115" max="115" width="10.7109375" style="166" hidden="1" customWidth="1"/>
    <col min="116" max="116" width="14.42578125" style="208" hidden="1" customWidth="1"/>
    <col min="117" max="117" width="10.28515625" style="209" hidden="1" customWidth="1"/>
    <col min="118" max="118" width="10.7109375" style="166" hidden="1" customWidth="1"/>
    <col min="119" max="119" width="14.42578125" style="208" hidden="1" customWidth="1"/>
    <col min="120" max="120" width="10.28515625" style="209" hidden="1" customWidth="1"/>
    <col min="121" max="121" width="10.7109375" style="166" hidden="1" customWidth="1"/>
    <col min="122" max="122" width="14.42578125" style="208" hidden="1" customWidth="1"/>
    <col min="123" max="123" width="10.28515625" style="209" hidden="1" customWidth="1"/>
    <col min="124" max="124" width="10.7109375" style="166" hidden="1" customWidth="1"/>
    <col min="125" max="125" width="14.42578125" style="208" hidden="1" customWidth="1"/>
    <col min="126" max="126" width="10.28515625" style="209" hidden="1" customWidth="1"/>
    <col min="127" max="127" width="10.7109375" style="166" hidden="1" customWidth="1"/>
    <col min="128" max="128" width="14.42578125" style="208" hidden="1" customWidth="1"/>
    <col min="129" max="129" width="10.28515625" style="209" hidden="1" customWidth="1"/>
    <col min="130" max="130" width="10.7109375" style="166" hidden="1" customWidth="1"/>
    <col min="131" max="131" width="2.7109375" style="166" customWidth="1"/>
    <col min="132" max="132" width="18.7109375" style="166" customWidth="1"/>
    <col min="133" max="133" width="15.42578125" style="166" hidden="1" customWidth="1"/>
    <col min="134" max="134" width="14.42578125" style="166" bestFit="1" customWidth="1"/>
    <col min="135" max="135" width="20.140625" style="166" customWidth="1"/>
    <col min="136" max="136" width="2.7109375" style="166" customWidth="1"/>
    <col min="137" max="137" width="15.42578125" style="166" hidden="1" customWidth="1"/>
    <col min="138" max="138" width="14.42578125" style="166" hidden="1" customWidth="1"/>
    <col min="139" max="139" width="12.42578125" style="166" hidden="1" customWidth="1"/>
    <col min="140" max="140" width="2.7109375" style="166" hidden="1" customWidth="1"/>
    <col min="141" max="141" width="18.5703125" style="166" customWidth="1"/>
    <col min="142" max="142" width="15.42578125" style="166" hidden="1" customWidth="1"/>
    <col min="143" max="143" width="14.42578125" style="166" bestFit="1" customWidth="1"/>
    <col min="144" max="144" width="18.42578125" style="166" bestFit="1" customWidth="1"/>
    <col min="145" max="145" width="42.85546875" style="166" bestFit="1" customWidth="1"/>
    <col min="146" max="146" width="19.42578125" style="166" bestFit="1" customWidth="1"/>
    <col min="147" max="147" width="23.140625" style="166" bestFit="1" customWidth="1"/>
    <col min="148" max="16384" width="9.140625" style="166"/>
  </cols>
  <sheetData>
    <row r="1" spans="1:147" s="175" customFormat="1" x14ac:dyDescent="0.25">
      <c r="A1" s="227" t="s">
        <v>0</v>
      </c>
      <c r="B1" s="228"/>
      <c r="C1" s="229"/>
      <c r="E1" s="228"/>
      <c r="F1" s="229"/>
      <c r="H1" s="228"/>
      <c r="I1" s="229"/>
      <c r="K1" s="228"/>
      <c r="L1" s="229"/>
      <c r="N1" s="228"/>
      <c r="O1" s="229"/>
      <c r="Q1" s="228"/>
      <c r="R1" s="229"/>
      <c r="T1" s="228"/>
      <c r="U1" s="229"/>
      <c r="W1" s="228"/>
      <c r="X1" s="229"/>
      <c r="Z1" s="228"/>
      <c r="AA1" s="229"/>
      <c r="AC1" s="228"/>
      <c r="AD1" s="229"/>
      <c r="AF1" s="228"/>
      <c r="AG1" s="229"/>
      <c r="AI1" s="228"/>
      <c r="AJ1" s="229"/>
      <c r="AL1" s="228"/>
      <c r="AM1" s="229"/>
      <c r="AO1" s="228"/>
      <c r="AP1" s="229"/>
      <c r="AR1" s="228"/>
      <c r="AS1" s="229"/>
      <c r="AU1" s="228"/>
      <c r="AV1" s="229"/>
      <c r="AX1" s="228"/>
      <c r="AY1" s="229"/>
      <c r="BA1" s="228"/>
      <c r="BB1" s="229"/>
      <c r="BD1" s="228"/>
      <c r="BE1" s="229"/>
      <c r="BG1" s="228"/>
      <c r="BH1" s="229"/>
      <c r="BJ1" s="228"/>
      <c r="BK1" s="229"/>
      <c r="BM1" s="228"/>
      <c r="BN1" s="229"/>
      <c r="BP1" s="228"/>
      <c r="BQ1" s="229"/>
      <c r="BS1" s="228"/>
      <c r="BT1" s="229"/>
      <c r="BV1" s="228"/>
      <c r="BW1" s="229"/>
      <c r="BY1" s="228"/>
      <c r="BZ1" s="229"/>
      <c r="CB1" s="228"/>
      <c r="CC1" s="229"/>
      <c r="CE1" s="228"/>
      <c r="CF1" s="229"/>
      <c r="CH1" s="228"/>
      <c r="CI1" s="229"/>
      <c r="CK1" s="228"/>
      <c r="CL1" s="229"/>
      <c r="CN1" s="228"/>
      <c r="CO1" s="229"/>
      <c r="CQ1" s="228"/>
      <c r="CR1" s="229"/>
      <c r="CT1" s="228"/>
      <c r="CU1" s="229"/>
      <c r="CW1" s="228"/>
      <c r="CX1" s="229"/>
      <c r="CZ1" s="228"/>
      <c r="DA1" s="229"/>
      <c r="DC1" s="228"/>
      <c r="DD1" s="229"/>
      <c r="DF1" s="228"/>
      <c r="DG1" s="229"/>
      <c r="DI1" s="228"/>
      <c r="DJ1" s="229"/>
      <c r="DL1" s="228"/>
      <c r="DM1" s="229"/>
      <c r="DO1" s="228"/>
      <c r="DP1" s="229"/>
      <c r="DR1" s="228"/>
      <c r="DS1" s="229"/>
      <c r="DU1" s="228"/>
      <c r="DV1" s="229"/>
      <c r="DX1" s="228"/>
      <c r="DY1" s="229"/>
      <c r="DZ1" s="230"/>
      <c r="ED1" s="169"/>
      <c r="EE1" s="231" t="s">
        <v>37</v>
      </c>
      <c r="EI1" s="169" t="s">
        <v>38</v>
      </c>
      <c r="EM1" s="169"/>
      <c r="EN1" s="169" t="s">
        <v>39</v>
      </c>
      <c r="EO1" s="227" t="s">
        <v>40</v>
      </c>
      <c r="EP1" s="227" t="s">
        <v>41</v>
      </c>
      <c r="EQ1" s="227" t="s">
        <v>42</v>
      </c>
    </row>
    <row r="2" spans="1:147" s="175" customFormat="1" ht="15.75" thickBot="1" x14ac:dyDescent="0.3">
      <c r="A2" s="227" t="s">
        <v>43</v>
      </c>
      <c r="B2" s="228"/>
      <c r="C2" s="229"/>
      <c r="E2" s="230"/>
      <c r="F2" s="229"/>
      <c r="G2" s="169"/>
      <c r="H2" s="228"/>
      <c r="I2" s="229"/>
      <c r="K2" s="228"/>
      <c r="L2" s="229"/>
      <c r="N2" s="228"/>
      <c r="O2" s="229"/>
      <c r="Q2" s="228"/>
      <c r="R2" s="229"/>
      <c r="T2" s="228"/>
      <c r="U2" s="229"/>
      <c r="W2" s="228"/>
      <c r="X2" s="229"/>
      <c r="Z2" s="228"/>
      <c r="AA2" s="229"/>
      <c r="AC2" s="228"/>
      <c r="AD2" s="229"/>
      <c r="AF2" s="228"/>
      <c r="AG2" s="229"/>
      <c r="AI2" s="228"/>
      <c r="AJ2" s="229"/>
      <c r="AL2" s="228"/>
      <c r="AM2" s="229"/>
      <c r="AO2" s="228"/>
      <c r="AP2" s="229"/>
      <c r="AR2" s="228"/>
      <c r="AS2" s="229"/>
      <c r="AU2" s="228"/>
      <c r="AV2" s="229"/>
      <c r="AX2" s="228"/>
      <c r="AY2" s="229"/>
      <c r="BA2" s="228"/>
      <c r="BB2" s="229"/>
      <c r="BD2" s="228"/>
      <c r="BE2" s="229"/>
      <c r="BG2" s="228"/>
      <c r="BH2" s="229"/>
      <c r="BJ2" s="228"/>
      <c r="BK2" s="229"/>
      <c r="BM2" s="228"/>
      <c r="BN2" s="229"/>
      <c r="BP2" s="228"/>
      <c r="BQ2" s="229"/>
      <c r="BS2" s="228"/>
      <c r="BT2" s="229"/>
      <c r="BV2" s="228"/>
      <c r="BW2" s="229"/>
      <c r="BY2" s="228"/>
      <c r="BZ2" s="229"/>
      <c r="CB2" s="228"/>
      <c r="CC2" s="229"/>
      <c r="CE2" s="228"/>
      <c r="CF2" s="229"/>
      <c r="CH2" s="228"/>
      <c r="CI2" s="229"/>
      <c r="CK2" s="228"/>
      <c r="CL2" s="229"/>
      <c r="CN2" s="228"/>
      <c r="CO2" s="229"/>
      <c r="CQ2" s="228"/>
      <c r="CR2" s="229"/>
      <c r="CT2" s="228"/>
      <c r="CU2" s="229"/>
      <c r="CW2" s="228"/>
      <c r="CX2" s="229"/>
      <c r="CZ2" s="228"/>
      <c r="DA2" s="229"/>
      <c r="DC2" s="228"/>
      <c r="DD2" s="229"/>
      <c r="DF2" s="228"/>
      <c r="DG2" s="229"/>
      <c r="DI2" s="228"/>
      <c r="DJ2" s="229"/>
      <c r="DL2" s="228"/>
      <c r="DM2" s="229"/>
      <c r="DO2" s="228"/>
      <c r="DP2" s="229"/>
      <c r="DR2" s="228"/>
      <c r="DS2" s="229"/>
      <c r="DU2" s="228"/>
      <c r="DV2" s="229"/>
      <c r="DX2" s="228"/>
      <c r="DY2" s="229"/>
      <c r="EB2" s="166" t="s">
        <v>44</v>
      </c>
      <c r="EC2" s="166"/>
      <c r="ED2" s="208"/>
      <c r="EE2" s="208">
        <f>EB40</f>
        <v>310075000</v>
      </c>
      <c r="EI2" s="208">
        <f>EG40</f>
        <v>0</v>
      </c>
      <c r="EM2" s="208"/>
      <c r="EN2" s="208">
        <f>EK40</f>
        <v>259025000</v>
      </c>
      <c r="EO2" s="232">
        <v>0</v>
      </c>
      <c r="EP2" s="228">
        <f>EN2+EO2</f>
        <v>259025000</v>
      </c>
      <c r="EQ2" s="228">
        <f>EE2+EO2</f>
        <v>310075000</v>
      </c>
    </row>
    <row r="3" spans="1:147" ht="15.75" thickTop="1" x14ac:dyDescent="0.25">
      <c r="A3" s="233" t="s">
        <v>268</v>
      </c>
      <c r="E3" s="234" t="s">
        <v>45</v>
      </c>
      <c r="F3" s="210"/>
      <c r="G3" s="211"/>
      <c r="EB3" s="166" t="s">
        <v>46</v>
      </c>
      <c r="ED3" s="208"/>
      <c r="EE3" s="208">
        <f>AVERAGE(EB11:EB40)</f>
        <v>213316500</v>
      </c>
      <c r="EI3" s="208">
        <f>AVERAGE(EG11:EG40)</f>
        <v>0</v>
      </c>
      <c r="EM3" s="208"/>
      <c r="EN3" s="208">
        <f>AVERAGE(EK11:EK40)</f>
        <v>209437333.33333334</v>
      </c>
    </row>
    <row r="4" spans="1:147" x14ac:dyDescent="0.25">
      <c r="E4" s="212" t="s">
        <v>44</v>
      </c>
      <c r="F4" s="208"/>
      <c r="G4" s="213">
        <f>EQ2</f>
        <v>310075000</v>
      </c>
      <c r="AI4" s="227" t="s">
        <v>47</v>
      </c>
      <c r="EB4" s="166" t="s">
        <v>48</v>
      </c>
      <c r="ED4" s="209"/>
      <c r="EE4" s="209">
        <f>IF(EE3=0,0,360*(AVERAGE(ED11:ED40)/EE3))</f>
        <v>4.4067750985077737E-2</v>
      </c>
      <c r="EI4" s="209">
        <f>IF(EI3=0,0,360*(AVERAGE(EH11:EH40)/EI3))</f>
        <v>0</v>
      </c>
      <c r="EM4" s="209"/>
      <c r="EN4" s="209">
        <f>IF(EN3=0,0,360*(AVERAGE(EM11:EM40)/EN3))</f>
        <v>4.412853606170182E-2</v>
      </c>
      <c r="EO4" s="175" t="s">
        <v>239</v>
      </c>
      <c r="EQ4" s="169" t="s">
        <v>47</v>
      </c>
    </row>
    <row r="5" spans="1:147" x14ac:dyDescent="0.25">
      <c r="E5" s="212" t="s">
        <v>46</v>
      </c>
      <c r="F5" s="208"/>
      <c r="G5" s="213">
        <f>EE3</f>
        <v>213316500</v>
      </c>
      <c r="AI5" s="235" t="s">
        <v>39</v>
      </c>
      <c r="EB5" s="166" t="s">
        <v>49</v>
      </c>
      <c r="ED5" s="208"/>
      <c r="EE5" s="208">
        <f>MAX(EB11:EB40)</f>
        <v>310075000</v>
      </c>
      <c r="EI5" s="208">
        <f>MAX(EG11:EG40)</f>
        <v>0</v>
      </c>
      <c r="EM5" s="208"/>
      <c r="EN5" s="208">
        <f>MAX(EK11:EK40)</f>
        <v>289525000</v>
      </c>
      <c r="EO5" s="166" t="s">
        <v>240</v>
      </c>
    </row>
    <row r="6" spans="1:147" x14ac:dyDescent="0.25">
      <c r="E6" s="212" t="s">
        <v>48</v>
      </c>
      <c r="F6" s="208"/>
      <c r="G6" s="214">
        <f>EE4</f>
        <v>4.4067750985077737E-2</v>
      </c>
    </row>
    <row r="7" spans="1:147" ht="15.75" thickBot="1" x14ac:dyDescent="0.3">
      <c r="E7" s="215" t="s">
        <v>49</v>
      </c>
      <c r="F7" s="216"/>
      <c r="G7" s="217">
        <f>EE5</f>
        <v>310075000</v>
      </c>
      <c r="AI7" s="235" t="s">
        <v>39</v>
      </c>
      <c r="EB7" s="236" t="s">
        <v>50</v>
      </c>
      <c r="EC7" s="236"/>
      <c r="ED7" s="218"/>
      <c r="EE7" s="218"/>
      <c r="EG7" s="236" t="s">
        <v>51</v>
      </c>
      <c r="EH7" s="218"/>
      <c r="EI7" s="218"/>
      <c r="EJ7" s="165"/>
      <c r="EK7" s="236" t="s">
        <v>52</v>
      </c>
      <c r="EL7" s="236"/>
      <c r="EM7" s="218"/>
      <c r="EN7" s="218"/>
    </row>
    <row r="8" spans="1:147" ht="15.75" thickTop="1" x14ac:dyDescent="0.25">
      <c r="AI8" s="230" t="s">
        <v>53</v>
      </c>
      <c r="AL8" s="230" t="s">
        <v>53</v>
      </c>
      <c r="AO8" s="230" t="s">
        <v>53</v>
      </c>
      <c r="AR8" s="230" t="s">
        <v>53</v>
      </c>
      <c r="AU8" s="230" t="s">
        <v>53</v>
      </c>
      <c r="AX8" s="230" t="s">
        <v>53</v>
      </c>
      <c r="BA8" s="230" t="s">
        <v>53</v>
      </c>
      <c r="BD8" s="230" t="s">
        <v>53</v>
      </c>
      <c r="BG8" s="230" t="s">
        <v>53</v>
      </c>
      <c r="BJ8" s="230" t="s">
        <v>53</v>
      </c>
      <c r="BM8" s="230" t="s">
        <v>53</v>
      </c>
      <c r="BP8" s="230" t="s">
        <v>53</v>
      </c>
      <c r="BS8" s="230" t="s">
        <v>53</v>
      </c>
      <c r="BV8" s="230" t="s">
        <v>53</v>
      </c>
      <c r="BY8" s="230" t="s">
        <v>53</v>
      </c>
      <c r="CB8" s="230" t="s">
        <v>53</v>
      </c>
      <c r="CE8" s="230" t="s">
        <v>53</v>
      </c>
      <c r="CH8" s="230" t="s">
        <v>53</v>
      </c>
      <c r="CK8" s="230" t="s">
        <v>53</v>
      </c>
      <c r="CN8" s="230" t="s">
        <v>53</v>
      </c>
      <c r="CQ8" s="230" t="s">
        <v>53</v>
      </c>
      <c r="CT8" s="230" t="s">
        <v>53</v>
      </c>
      <c r="CW8" s="230" t="s">
        <v>53</v>
      </c>
      <c r="CZ8" s="230" t="s">
        <v>53</v>
      </c>
      <c r="DC8" s="230" t="s">
        <v>53</v>
      </c>
      <c r="DF8" s="230" t="s">
        <v>53</v>
      </c>
      <c r="DI8" s="230" t="s">
        <v>53</v>
      </c>
      <c r="DL8" s="230" t="s">
        <v>53</v>
      </c>
      <c r="DO8" s="230" t="s">
        <v>53</v>
      </c>
      <c r="DR8" s="230" t="s">
        <v>53</v>
      </c>
      <c r="EB8" s="219"/>
      <c r="EC8" s="219"/>
      <c r="ED8" s="219"/>
      <c r="EE8" s="219" t="s">
        <v>54</v>
      </c>
      <c r="EG8" s="219"/>
      <c r="EH8" s="237" t="s">
        <v>38</v>
      </c>
      <c r="EI8" s="219" t="s">
        <v>54</v>
      </c>
      <c r="EJ8" s="219"/>
      <c r="EK8" s="169" t="s">
        <v>55</v>
      </c>
      <c r="EL8" s="169" t="s">
        <v>56</v>
      </c>
      <c r="EM8" s="237" t="s">
        <v>57</v>
      </c>
      <c r="EN8" s="219" t="s">
        <v>54</v>
      </c>
    </row>
    <row r="9" spans="1:147" x14ac:dyDescent="0.25">
      <c r="B9" s="220" t="s">
        <v>58</v>
      </c>
      <c r="C9" s="221"/>
      <c r="D9" s="218"/>
      <c r="E9" s="220" t="s">
        <v>59</v>
      </c>
      <c r="F9" s="221"/>
      <c r="G9" s="218"/>
      <c r="H9" s="220" t="s">
        <v>60</v>
      </c>
      <c r="I9" s="221"/>
      <c r="J9" s="218"/>
      <c r="K9" s="220" t="s">
        <v>61</v>
      </c>
      <c r="L9" s="221"/>
      <c r="M9" s="218"/>
      <c r="N9" s="220" t="s">
        <v>62</v>
      </c>
      <c r="O9" s="221"/>
      <c r="P9" s="218"/>
      <c r="Q9" s="220" t="s">
        <v>63</v>
      </c>
      <c r="R9" s="221"/>
      <c r="S9" s="218"/>
      <c r="T9" s="220" t="s">
        <v>64</v>
      </c>
      <c r="U9" s="221"/>
      <c r="V9" s="218"/>
      <c r="W9" s="220" t="s">
        <v>65</v>
      </c>
      <c r="X9" s="221"/>
      <c r="Y9" s="218"/>
      <c r="Z9" s="220" t="s">
        <v>66</v>
      </c>
      <c r="AA9" s="221"/>
      <c r="AB9" s="218"/>
      <c r="AC9" s="238" t="s">
        <v>67</v>
      </c>
      <c r="AD9" s="221"/>
      <c r="AE9" s="218"/>
      <c r="AF9" s="238" t="s">
        <v>68</v>
      </c>
      <c r="AG9" s="221"/>
      <c r="AH9" s="218"/>
      <c r="AI9" s="220" t="s">
        <v>69</v>
      </c>
      <c r="AJ9" s="221"/>
      <c r="AK9" s="218"/>
      <c r="AL9" s="220" t="s">
        <v>70</v>
      </c>
      <c r="AM9" s="221"/>
      <c r="AN9" s="218"/>
      <c r="AO9" s="220" t="s">
        <v>71</v>
      </c>
      <c r="AP9" s="221"/>
      <c r="AQ9" s="218"/>
      <c r="AR9" s="220" t="s">
        <v>72</v>
      </c>
      <c r="AS9" s="221"/>
      <c r="AT9" s="218"/>
      <c r="AU9" s="220" t="s">
        <v>73</v>
      </c>
      <c r="AV9" s="221"/>
      <c r="AW9" s="218"/>
      <c r="AX9" s="220" t="s">
        <v>74</v>
      </c>
      <c r="AY9" s="221"/>
      <c r="AZ9" s="218"/>
      <c r="BA9" s="220" t="s">
        <v>75</v>
      </c>
      <c r="BB9" s="221"/>
      <c r="BC9" s="218"/>
      <c r="BD9" s="220" t="s">
        <v>76</v>
      </c>
      <c r="BE9" s="221"/>
      <c r="BF9" s="218"/>
      <c r="BG9" s="220" t="s">
        <v>77</v>
      </c>
      <c r="BH9" s="221"/>
      <c r="BI9" s="218"/>
      <c r="BJ9" s="220" t="s">
        <v>78</v>
      </c>
      <c r="BK9" s="221"/>
      <c r="BL9" s="218"/>
      <c r="BM9" s="220" t="s">
        <v>79</v>
      </c>
      <c r="BN9" s="221"/>
      <c r="BO9" s="218"/>
      <c r="BP9" s="220" t="s">
        <v>80</v>
      </c>
      <c r="BQ9" s="221"/>
      <c r="BR9" s="218"/>
      <c r="BS9" s="220" t="s">
        <v>81</v>
      </c>
      <c r="BT9" s="221"/>
      <c r="BU9" s="218"/>
      <c r="BV9" s="220" t="s">
        <v>82</v>
      </c>
      <c r="BW9" s="221"/>
      <c r="BX9" s="218"/>
      <c r="BY9" s="220" t="s">
        <v>83</v>
      </c>
      <c r="BZ9" s="221"/>
      <c r="CA9" s="218"/>
      <c r="CB9" s="220" t="s">
        <v>84</v>
      </c>
      <c r="CC9" s="221"/>
      <c r="CD9" s="218"/>
      <c r="CE9" s="220" t="s">
        <v>85</v>
      </c>
      <c r="CF9" s="221"/>
      <c r="CG9" s="218"/>
      <c r="CH9" s="220" t="s">
        <v>86</v>
      </c>
      <c r="CI9" s="221"/>
      <c r="CJ9" s="218"/>
      <c r="CK9" s="220" t="s">
        <v>87</v>
      </c>
      <c r="CL9" s="221"/>
      <c r="CM9" s="218"/>
      <c r="CN9" s="220" t="s">
        <v>88</v>
      </c>
      <c r="CO9" s="221"/>
      <c r="CP9" s="218"/>
      <c r="CQ9" s="220" t="s">
        <v>89</v>
      </c>
      <c r="CR9" s="221"/>
      <c r="CS9" s="218"/>
      <c r="CT9" s="220" t="s">
        <v>90</v>
      </c>
      <c r="CU9" s="221"/>
      <c r="CV9" s="218"/>
      <c r="CW9" s="220" t="s">
        <v>91</v>
      </c>
      <c r="CX9" s="221"/>
      <c r="CY9" s="218"/>
      <c r="CZ9" s="220" t="s">
        <v>92</v>
      </c>
      <c r="DA9" s="221"/>
      <c r="DB9" s="218"/>
      <c r="DC9" s="220" t="s">
        <v>93</v>
      </c>
      <c r="DD9" s="221"/>
      <c r="DE9" s="218"/>
      <c r="DF9" s="220" t="s">
        <v>94</v>
      </c>
      <c r="DG9" s="221"/>
      <c r="DH9" s="218"/>
      <c r="DI9" s="220" t="s">
        <v>95</v>
      </c>
      <c r="DJ9" s="221"/>
      <c r="DK9" s="218"/>
      <c r="DL9" s="220" t="s">
        <v>96</v>
      </c>
      <c r="DM9" s="221"/>
      <c r="DN9" s="218"/>
      <c r="DO9" s="220" t="s">
        <v>97</v>
      </c>
      <c r="DP9" s="221"/>
      <c r="DQ9" s="218"/>
      <c r="DR9" s="220" t="s">
        <v>98</v>
      </c>
      <c r="DS9" s="221"/>
      <c r="DT9" s="218"/>
      <c r="DU9" s="220" t="s">
        <v>99</v>
      </c>
      <c r="DV9" s="221"/>
      <c r="DW9" s="218"/>
      <c r="DX9" s="239" t="s">
        <v>100</v>
      </c>
      <c r="DY9" s="221"/>
      <c r="DZ9" s="218"/>
      <c r="EA9" s="165"/>
      <c r="EB9" s="169" t="s">
        <v>101</v>
      </c>
      <c r="EC9" s="169" t="s">
        <v>102</v>
      </c>
      <c r="ED9" s="219" t="s">
        <v>103</v>
      </c>
      <c r="EE9" s="219" t="s">
        <v>104</v>
      </c>
      <c r="EG9" s="237" t="s">
        <v>105</v>
      </c>
      <c r="EH9" s="219" t="s">
        <v>103</v>
      </c>
      <c r="EI9" s="219" t="s">
        <v>104</v>
      </c>
      <c r="EJ9" s="219"/>
      <c r="EK9" s="237" t="s">
        <v>57</v>
      </c>
      <c r="EL9" s="237" t="s">
        <v>57</v>
      </c>
      <c r="EM9" s="219" t="s">
        <v>103</v>
      </c>
      <c r="EN9" s="219" t="s">
        <v>104</v>
      </c>
    </row>
    <row r="10" spans="1:147" x14ac:dyDescent="0.25">
      <c r="A10" s="219" t="s">
        <v>106</v>
      </c>
      <c r="B10" s="240" t="s">
        <v>107</v>
      </c>
      <c r="C10" s="241" t="s">
        <v>108</v>
      </c>
      <c r="D10" s="242" t="s">
        <v>12</v>
      </c>
      <c r="E10" s="240" t="s">
        <v>107</v>
      </c>
      <c r="F10" s="241" t="s">
        <v>108</v>
      </c>
      <c r="G10" s="242" t="s">
        <v>12</v>
      </c>
      <c r="H10" s="240" t="s">
        <v>107</v>
      </c>
      <c r="I10" s="241" t="s">
        <v>108</v>
      </c>
      <c r="J10" s="242" t="s">
        <v>12</v>
      </c>
      <c r="K10" s="240" t="s">
        <v>107</v>
      </c>
      <c r="L10" s="241" t="s">
        <v>108</v>
      </c>
      <c r="M10" s="242" t="s">
        <v>12</v>
      </c>
      <c r="N10" s="240" t="s">
        <v>107</v>
      </c>
      <c r="O10" s="241" t="s">
        <v>108</v>
      </c>
      <c r="P10" s="242" t="s">
        <v>12</v>
      </c>
      <c r="Q10" s="240" t="s">
        <v>107</v>
      </c>
      <c r="R10" s="241" t="s">
        <v>108</v>
      </c>
      <c r="S10" s="242" t="s">
        <v>12</v>
      </c>
      <c r="T10" s="240" t="s">
        <v>107</v>
      </c>
      <c r="U10" s="241" t="s">
        <v>108</v>
      </c>
      <c r="V10" s="242" t="s">
        <v>12</v>
      </c>
      <c r="W10" s="240" t="s">
        <v>107</v>
      </c>
      <c r="X10" s="241" t="s">
        <v>108</v>
      </c>
      <c r="Y10" s="242" t="s">
        <v>12</v>
      </c>
      <c r="Z10" s="240" t="s">
        <v>107</v>
      </c>
      <c r="AA10" s="241" t="s">
        <v>108</v>
      </c>
      <c r="AB10" s="242" t="s">
        <v>12</v>
      </c>
      <c r="AC10" s="240" t="s">
        <v>107</v>
      </c>
      <c r="AD10" s="241" t="s">
        <v>108</v>
      </c>
      <c r="AE10" s="242" t="s">
        <v>12</v>
      </c>
      <c r="AF10" s="240" t="s">
        <v>107</v>
      </c>
      <c r="AG10" s="241" t="s">
        <v>108</v>
      </c>
      <c r="AH10" s="242" t="s">
        <v>12</v>
      </c>
      <c r="AI10" s="240" t="s">
        <v>107</v>
      </c>
      <c r="AJ10" s="241" t="s">
        <v>108</v>
      </c>
      <c r="AK10" s="242" t="s">
        <v>12</v>
      </c>
      <c r="AL10" s="240" t="s">
        <v>107</v>
      </c>
      <c r="AM10" s="241" t="s">
        <v>108</v>
      </c>
      <c r="AN10" s="242" t="s">
        <v>12</v>
      </c>
      <c r="AO10" s="240" t="s">
        <v>107</v>
      </c>
      <c r="AP10" s="241" t="s">
        <v>108</v>
      </c>
      <c r="AQ10" s="242" t="s">
        <v>12</v>
      </c>
      <c r="AR10" s="240" t="s">
        <v>107</v>
      </c>
      <c r="AS10" s="241" t="s">
        <v>108</v>
      </c>
      <c r="AT10" s="242" t="s">
        <v>12</v>
      </c>
      <c r="AU10" s="240" t="s">
        <v>107</v>
      </c>
      <c r="AV10" s="241" t="s">
        <v>108</v>
      </c>
      <c r="AW10" s="242" t="s">
        <v>12</v>
      </c>
      <c r="AX10" s="240" t="s">
        <v>107</v>
      </c>
      <c r="AY10" s="241" t="s">
        <v>108</v>
      </c>
      <c r="AZ10" s="242" t="s">
        <v>12</v>
      </c>
      <c r="BA10" s="240" t="s">
        <v>107</v>
      </c>
      <c r="BB10" s="241" t="s">
        <v>108</v>
      </c>
      <c r="BC10" s="242" t="s">
        <v>12</v>
      </c>
      <c r="BD10" s="240" t="s">
        <v>107</v>
      </c>
      <c r="BE10" s="241" t="s">
        <v>108</v>
      </c>
      <c r="BF10" s="242" t="s">
        <v>12</v>
      </c>
      <c r="BG10" s="240" t="s">
        <v>107</v>
      </c>
      <c r="BH10" s="241" t="s">
        <v>108</v>
      </c>
      <c r="BI10" s="242" t="s">
        <v>12</v>
      </c>
      <c r="BJ10" s="240" t="s">
        <v>107</v>
      </c>
      <c r="BK10" s="241" t="s">
        <v>108</v>
      </c>
      <c r="BL10" s="242" t="s">
        <v>12</v>
      </c>
      <c r="BM10" s="240" t="s">
        <v>107</v>
      </c>
      <c r="BN10" s="241" t="s">
        <v>108</v>
      </c>
      <c r="BO10" s="242" t="s">
        <v>12</v>
      </c>
      <c r="BP10" s="240" t="s">
        <v>107</v>
      </c>
      <c r="BQ10" s="241" t="s">
        <v>108</v>
      </c>
      <c r="BR10" s="242" t="s">
        <v>12</v>
      </c>
      <c r="BS10" s="240" t="s">
        <v>107</v>
      </c>
      <c r="BT10" s="241" t="s">
        <v>108</v>
      </c>
      <c r="BU10" s="242" t="s">
        <v>12</v>
      </c>
      <c r="BV10" s="240" t="s">
        <v>107</v>
      </c>
      <c r="BW10" s="241" t="s">
        <v>108</v>
      </c>
      <c r="BX10" s="242" t="s">
        <v>12</v>
      </c>
      <c r="BY10" s="240" t="s">
        <v>107</v>
      </c>
      <c r="BZ10" s="241" t="s">
        <v>108</v>
      </c>
      <c r="CA10" s="242" t="s">
        <v>12</v>
      </c>
      <c r="CB10" s="240" t="s">
        <v>107</v>
      </c>
      <c r="CC10" s="241" t="s">
        <v>108</v>
      </c>
      <c r="CD10" s="242" t="s">
        <v>12</v>
      </c>
      <c r="CE10" s="240" t="s">
        <v>107</v>
      </c>
      <c r="CF10" s="241" t="s">
        <v>108</v>
      </c>
      <c r="CG10" s="242" t="s">
        <v>12</v>
      </c>
      <c r="CH10" s="240" t="s">
        <v>107</v>
      </c>
      <c r="CI10" s="241" t="s">
        <v>108</v>
      </c>
      <c r="CJ10" s="242" t="s">
        <v>12</v>
      </c>
      <c r="CK10" s="240" t="s">
        <v>107</v>
      </c>
      <c r="CL10" s="241" t="s">
        <v>108</v>
      </c>
      <c r="CM10" s="242" t="s">
        <v>12</v>
      </c>
      <c r="CN10" s="240" t="s">
        <v>107</v>
      </c>
      <c r="CO10" s="241" t="s">
        <v>108</v>
      </c>
      <c r="CP10" s="242" t="s">
        <v>12</v>
      </c>
      <c r="CQ10" s="240" t="s">
        <v>107</v>
      </c>
      <c r="CR10" s="241" t="s">
        <v>108</v>
      </c>
      <c r="CS10" s="242" t="s">
        <v>12</v>
      </c>
      <c r="CT10" s="240" t="s">
        <v>107</v>
      </c>
      <c r="CU10" s="241" t="s">
        <v>108</v>
      </c>
      <c r="CV10" s="242" t="s">
        <v>12</v>
      </c>
      <c r="CW10" s="240" t="s">
        <v>107</v>
      </c>
      <c r="CX10" s="241" t="s">
        <v>108</v>
      </c>
      <c r="CY10" s="242" t="s">
        <v>12</v>
      </c>
      <c r="CZ10" s="240" t="s">
        <v>107</v>
      </c>
      <c r="DA10" s="241" t="s">
        <v>108</v>
      </c>
      <c r="DB10" s="242" t="s">
        <v>12</v>
      </c>
      <c r="DC10" s="240" t="s">
        <v>107</v>
      </c>
      <c r="DD10" s="241" t="s">
        <v>108</v>
      </c>
      <c r="DE10" s="242" t="s">
        <v>12</v>
      </c>
      <c r="DF10" s="240" t="s">
        <v>107</v>
      </c>
      <c r="DG10" s="241" t="s">
        <v>108</v>
      </c>
      <c r="DH10" s="242" t="s">
        <v>12</v>
      </c>
      <c r="DI10" s="240" t="s">
        <v>107</v>
      </c>
      <c r="DJ10" s="241" t="s">
        <v>108</v>
      </c>
      <c r="DK10" s="242" t="s">
        <v>12</v>
      </c>
      <c r="DL10" s="240" t="s">
        <v>107</v>
      </c>
      <c r="DM10" s="241" t="s">
        <v>108</v>
      </c>
      <c r="DN10" s="242" t="s">
        <v>12</v>
      </c>
      <c r="DO10" s="240" t="s">
        <v>107</v>
      </c>
      <c r="DP10" s="241" t="s">
        <v>108</v>
      </c>
      <c r="DQ10" s="242" t="s">
        <v>12</v>
      </c>
      <c r="DR10" s="240" t="s">
        <v>107</v>
      </c>
      <c r="DS10" s="241" t="s">
        <v>108</v>
      </c>
      <c r="DT10" s="242" t="s">
        <v>12</v>
      </c>
      <c r="DU10" s="240" t="s">
        <v>107</v>
      </c>
      <c r="DV10" s="241" t="s">
        <v>108</v>
      </c>
      <c r="DW10" s="242" t="s">
        <v>12</v>
      </c>
      <c r="DX10" s="240" t="s">
        <v>107</v>
      </c>
      <c r="DY10" s="241"/>
      <c r="DZ10" s="242"/>
      <c r="EA10" s="242"/>
      <c r="EB10" s="242" t="s">
        <v>109</v>
      </c>
      <c r="EC10" s="242" t="s">
        <v>109</v>
      </c>
      <c r="ED10" s="242" t="s">
        <v>12</v>
      </c>
      <c r="EE10" s="242" t="s">
        <v>108</v>
      </c>
      <c r="EG10" s="242" t="s">
        <v>109</v>
      </c>
      <c r="EH10" s="242" t="s">
        <v>12</v>
      </c>
      <c r="EI10" s="242" t="s">
        <v>108</v>
      </c>
      <c r="EJ10" s="242"/>
      <c r="EK10" s="242" t="s">
        <v>109</v>
      </c>
      <c r="EL10" s="242" t="s">
        <v>109</v>
      </c>
      <c r="EM10" s="242" t="s">
        <v>12</v>
      </c>
      <c r="EN10" s="242" t="s">
        <v>108</v>
      </c>
    </row>
    <row r="11" spans="1:147" x14ac:dyDescent="0.25">
      <c r="A11" s="222">
        <v>45901</v>
      </c>
      <c r="B11" s="208">
        <v>0</v>
      </c>
      <c r="C11" s="209">
        <v>4.5576290000000005E-2</v>
      </c>
      <c r="D11" s="208">
        <f>(B11*C11)/360</f>
        <v>0</v>
      </c>
      <c r="G11" s="208">
        <f>(E11*F11)/360</f>
        <v>0</v>
      </c>
      <c r="J11" s="208">
        <f>(H11*I11)/360</f>
        <v>0</v>
      </c>
      <c r="M11" s="208">
        <f>(K11*L11)/360</f>
        <v>0</v>
      </c>
      <c r="P11" s="208">
        <f>(N11*O11)/360</f>
        <v>0</v>
      </c>
      <c r="S11" s="208">
        <f>(Q11*R11)/360</f>
        <v>0</v>
      </c>
      <c r="V11" s="208">
        <f>(T11*U11)/360</f>
        <v>0</v>
      </c>
      <c r="Y11" s="208">
        <f>(W11*X11)/360</f>
        <v>0</v>
      </c>
      <c r="AB11" s="208">
        <f>(Z11*AA11)/360</f>
        <v>0</v>
      </c>
      <c r="AE11" s="208">
        <v>0</v>
      </c>
      <c r="AH11" s="208">
        <v>0</v>
      </c>
      <c r="AI11" s="223">
        <f>80000000+107275000</f>
        <v>187275000</v>
      </c>
      <c r="AJ11" s="224">
        <v>4.4999999999999998E-2</v>
      </c>
      <c r="AK11" s="208">
        <f>(AI11*AJ11)/360</f>
        <v>23409.375</v>
      </c>
      <c r="AL11" s="223">
        <f t="shared" ref="AL11:AL24" si="0">30000000</f>
        <v>30000000</v>
      </c>
      <c r="AM11" s="224">
        <v>4.5499999999999999E-2</v>
      </c>
      <c r="AN11" s="208">
        <f>(AL11*AM11)/360</f>
        <v>3791.6666666666665</v>
      </c>
      <c r="AO11" s="223">
        <f>27625000+42375000</f>
        <v>70000000</v>
      </c>
      <c r="AP11" s="224">
        <v>4.5999999999999999E-2</v>
      </c>
      <c r="AQ11" s="208">
        <f>(AO11*AP11)/360</f>
        <v>8944.4444444444453</v>
      </c>
      <c r="AR11" s="223"/>
      <c r="AS11" s="224"/>
      <c r="AT11" s="208">
        <f>(AR11*AS11)/360</f>
        <v>0</v>
      </c>
      <c r="AW11" s="208">
        <f>(AU11*AV11)/360</f>
        <v>0</v>
      </c>
      <c r="AZ11" s="208">
        <f>(AX11*AY11)/360</f>
        <v>0</v>
      </c>
      <c r="BC11" s="208">
        <f>(BA11*BB11)/360</f>
        <v>0</v>
      </c>
      <c r="BF11" s="208">
        <f>(BD11*BE11)/360</f>
        <v>0</v>
      </c>
      <c r="BI11" s="208">
        <f>(BG11*BH11)/360</f>
        <v>0</v>
      </c>
      <c r="BL11" s="208">
        <f>(BJ11*BK11)/360</f>
        <v>0</v>
      </c>
      <c r="BO11" s="208">
        <f>(BM11*BN11)/360</f>
        <v>0</v>
      </c>
      <c r="BR11" s="208">
        <f>(BP11*BQ11)/360</f>
        <v>0</v>
      </c>
      <c r="BU11" s="208">
        <f>(BS11*BT11)/360</f>
        <v>0</v>
      </c>
      <c r="BX11" s="208">
        <f>(BV11*BW11)/360</f>
        <v>0</v>
      </c>
      <c r="CA11" s="208">
        <f>(BY11*BZ11)/360</f>
        <v>0</v>
      </c>
      <c r="CD11" s="208">
        <f>(CB11*CC11)/360</f>
        <v>0</v>
      </c>
      <c r="CG11" s="208">
        <f>(CE11*CF11)/360</f>
        <v>0</v>
      </c>
      <c r="CJ11" s="208">
        <f>(CH11*CI11)/360</f>
        <v>0</v>
      </c>
      <c r="CM11" s="208">
        <f>(CK11*CL11)/360</f>
        <v>0</v>
      </c>
      <c r="CP11" s="208">
        <f>(CN11*CO11)/360</f>
        <v>0</v>
      </c>
      <c r="CS11" s="208">
        <f>(CQ11*CR11)/360</f>
        <v>0</v>
      </c>
      <c r="CV11" s="208">
        <f>(CT11*CU11)/360</f>
        <v>0</v>
      </c>
      <c r="CY11" s="208">
        <f>(CW11*CX11)/360</f>
        <v>0</v>
      </c>
      <c r="DB11" s="208">
        <f>(CZ11*DA11)/360</f>
        <v>0</v>
      </c>
      <c r="DE11" s="208">
        <f>(DC11*DD11)/360</f>
        <v>0</v>
      </c>
      <c r="DH11" s="208">
        <f>(DF11*DG11)/360</f>
        <v>0</v>
      </c>
      <c r="DK11" s="208">
        <f>(DI11*DJ11)/360</f>
        <v>0</v>
      </c>
      <c r="DN11" s="208">
        <f>(DL11*DM11)/360</f>
        <v>0</v>
      </c>
      <c r="DQ11" s="208">
        <f>(DO11*DP11)/360</f>
        <v>0</v>
      </c>
      <c r="DT11" s="208">
        <f>(DR11*DS11)/360</f>
        <v>0</v>
      </c>
      <c r="DW11" s="208">
        <f>(DU11*DV11)/360</f>
        <v>0</v>
      </c>
      <c r="DZ11" s="208"/>
      <c r="EA11" s="208"/>
      <c r="EB11" s="228">
        <f>B11+E11+H11+K11+N11+Q11+T11+W11+Z11+AC11+AF11+AL11+AO11+AR11+AU11+AX11+BA11+BD11+BG11+DU11+AI11+DR11+DO11+DL11+DI11+DF11+DC11+CZ11+CW11+CT11+CQ11+CN11+CK11+CH11+CE11+CB11+BY11+BV11+BS11+BP11+BM11+BJ11</f>
        <v>287275000</v>
      </c>
      <c r="EC11" s="228">
        <f>EB11-EK11+EL11</f>
        <v>0</v>
      </c>
      <c r="ED11" s="208">
        <f>D11+G11+J11+M11+P11+S11+V11+Y11+AB11+AE11+AH11+AK11+AN11+AQ11+AT11+AW11+AZ11+BC11+BF11+BI11+DW11+DT11+DQ11+DN11+DK11+DH11+DE11+DB11+CY11+CV11+CS11+CP11+CM11+CJ11+CG11+CD11+CA11+BX11+BU11+BR11+BO11+BL11</f>
        <v>36145.486111111109</v>
      </c>
      <c r="EE11" s="209">
        <f>IF(EB11&lt;&gt;0,((ED11/EB11)*360),0)</f>
        <v>4.5295883735097034E-2</v>
      </c>
      <c r="EG11" s="228">
        <f>Q11+T11+W11+Z11+AC11+AF11</f>
        <v>0</v>
      </c>
      <c r="EH11" s="208">
        <f>S11+V11+Y11+AB11+AE11+AH11</f>
        <v>0</v>
      </c>
      <c r="EI11" s="209">
        <f>IF(EG11&lt;&gt;0,((EH11/EG11)*360),0)</f>
        <v>0</v>
      </c>
      <c r="EJ11" s="209"/>
      <c r="EK11" s="228">
        <f>DR11+DL11+DI11+DF11+DC11+CZ11+CW11+CT11+CQ11+CN11+CK11+CH11+CE11+CB11+BY11+BV11+BS11+BP11+BM11+BJ11+BG11+BD11+BA11+AX11+AU11+AR11+AO11+AL11+AI11+DO11</f>
        <v>287275000</v>
      </c>
      <c r="EL11" s="228">
        <f>DX11</f>
        <v>0</v>
      </c>
      <c r="EM11" s="228">
        <f>DT11+DQ11+DN11+DK11+DH11+DE11+DB11+CY11+CV11+CS11+CP11+CM11+CJ11+CG11+CD11+CA11+BX11+BU11+BR11+BO11+BL11+BI11+BF11+BC11+AZ11+AW11+AT11+AQ11+AN11+AK11</f>
        <v>36145.486111111109</v>
      </c>
      <c r="EN11" s="209">
        <f>IF(EK11&lt;&gt;0,((EM11/EK11)*360),0)</f>
        <v>4.5295883735097034E-2</v>
      </c>
      <c r="EP11" s="208"/>
    </row>
    <row r="12" spans="1:147" x14ac:dyDescent="0.25">
      <c r="A12" s="222">
        <f>1+A11</f>
        <v>45902</v>
      </c>
      <c r="B12" s="208">
        <v>0</v>
      </c>
      <c r="C12" s="209">
        <v>4.5434799999999997E-2</v>
      </c>
      <c r="D12" s="208">
        <f t="shared" ref="D12:D40" si="1">(B12*C12)/360</f>
        <v>0</v>
      </c>
      <c r="G12" s="208">
        <f t="shared" ref="G12:G40" si="2">(E12*F12)/360</f>
        <v>0</v>
      </c>
      <c r="J12" s="208">
        <f t="shared" ref="J12:J40" si="3">(H12*I12)/360</f>
        <v>0</v>
      </c>
      <c r="M12" s="208">
        <f t="shared" ref="M12:M40" si="4">(K12*L12)/360</f>
        <v>0</v>
      </c>
      <c r="P12" s="208">
        <f t="shared" ref="P12:P40" si="5">(N12*O12)/360</f>
        <v>0</v>
      </c>
      <c r="S12" s="208">
        <f t="shared" ref="S12:S40" si="6">(Q12*R12)/360</f>
        <v>0</v>
      </c>
      <c r="V12" s="208">
        <f t="shared" ref="V12:V40" si="7">(T12*U12)/360</f>
        <v>0</v>
      </c>
      <c r="Y12" s="208">
        <f t="shared" ref="Y12:Y40" si="8">(W12*X12)/360</f>
        <v>0</v>
      </c>
      <c r="AB12" s="208">
        <f t="shared" ref="AB12:AB40" si="9">(Z12*AA12)/360</f>
        <v>0</v>
      </c>
      <c r="AE12" s="208">
        <v>0</v>
      </c>
      <c r="AH12" s="208">
        <v>0</v>
      </c>
      <c r="AI12" s="223">
        <f>89525000</f>
        <v>89525000</v>
      </c>
      <c r="AJ12" s="224">
        <v>4.4999999999999998E-2</v>
      </c>
      <c r="AK12" s="208">
        <f t="shared" ref="AK12:AK40" si="10">(AI12*AJ12)/360</f>
        <v>11190.625</v>
      </c>
      <c r="AL12" s="223">
        <f t="shared" si="0"/>
        <v>30000000</v>
      </c>
      <c r="AM12" s="224">
        <v>4.5499999999999999E-2</v>
      </c>
      <c r="AN12" s="208">
        <f t="shared" ref="AN12:AN40" si="11">(AL12*AM12)/360</f>
        <v>3791.6666666666665</v>
      </c>
      <c r="AO12" s="223">
        <f>27625000+42375000</f>
        <v>70000000</v>
      </c>
      <c r="AP12" s="224">
        <v>4.5999999999999999E-2</v>
      </c>
      <c r="AQ12" s="208">
        <f t="shared" ref="AQ12:AQ40" si="12">(AO12*AP12)/360</f>
        <v>8944.4444444444453</v>
      </c>
      <c r="AR12" s="223">
        <f t="shared" ref="AR12:AR18" si="13">80000000+20000000</f>
        <v>100000000</v>
      </c>
      <c r="AS12" s="224">
        <v>4.5199999999999997E-2</v>
      </c>
      <c r="AT12" s="208">
        <f t="shared" ref="AT12:AT40" si="14">(AR12*AS12)/360</f>
        <v>12555.555555555555</v>
      </c>
      <c r="AW12" s="208">
        <f t="shared" ref="AW12:AW40" si="15">(AU12*AV12)/360</f>
        <v>0</v>
      </c>
      <c r="AZ12" s="208">
        <f t="shared" ref="AZ12:AZ40" si="16">(AX12*AY12)/360</f>
        <v>0</v>
      </c>
      <c r="BC12" s="208">
        <f t="shared" ref="BC12:BC40" si="17">(BA12*BB12)/360</f>
        <v>0</v>
      </c>
      <c r="BF12" s="208">
        <f t="shared" ref="BF12:BF40" si="18">(BD12*BE12)/360</f>
        <v>0</v>
      </c>
      <c r="BI12" s="208">
        <f t="shared" ref="BI12:BI40" si="19">(BG12*BH12)/360</f>
        <v>0</v>
      </c>
      <c r="BL12" s="208">
        <f t="shared" ref="BL12:BL40" si="20">(BJ12*BK12)/360</f>
        <v>0</v>
      </c>
      <c r="BO12" s="208">
        <f t="shared" ref="BO12:BO40" si="21">(BM12*BN12)/360</f>
        <v>0</v>
      </c>
      <c r="BR12" s="208">
        <f t="shared" ref="BR12:BR40" si="22">(BP12*BQ12)/360</f>
        <v>0</v>
      </c>
      <c r="BU12" s="208">
        <f t="shared" ref="BU12:BU40" si="23">(BS12*BT12)/360</f>
        <v>0</v>
      </c>
      <c r="BX12" s="208">
        <f t="shared" ref="BX12:BX40" si="24">(BV12*BW12)/360</f>
        <v>0</v>
      </c>
      <c r="CA12" s="208">
        <f t="shared" ref="CA12:CA40" si="25">(BY12*BZ12)/360</f>
        <v>0</v>
      </c>
      <c r="CD12" s="208">
        <f t="shared" ref="CD12:CD40" si="26">(CB12*CC12)/360</f>
        <v>0</v>
      </c>
      <c r="CG12" s="208">
        <f t="shared" ref="CG12:CG40" si="27">(CE12*CF12)/360</f>
        <v>0</v>
      </c>
      <c r="CJ12" s="208">
        <f t="shared" ref="CJ12:CJ40" si="28">(CH12*CI12)/360</f>
        <v>0</v>
      </c>
      <c r="CM12" s="208">
        <f t="shared" ref="CM12:CM40" si="29">(CK12*CL12)/360</f>
        <v>0</v>
      </c>
      <c r="CP12" s="208">
        <f t="shared" ref="CP12:CP40" si="30">(CN12*CO12)/360</f>
        <v>0</v>
      </c>
      <c r="CS12" s="208">
        <f t="shared" ref="CS12:CS40" si="31">(CQ12*CR12)/360</f>
        <v>0</v>
      </c>
      <c r="CV12" s="208">
        <f t="shared" ref="CV12:CV40" si="32">(CT12*CU12)/360</f>
        <v>0</v>
      </c>
      <c r="CY12" s="208">
        <f t="shared" ref="CY12:CY40" si="33">(CW12*CX12)/360</f>
        <v>0</v>
      </c>
      <c r="DB12" s="208">
        <f t="shared" ref="DB12:DB40" si="34">(CZ12*DA12)/360</f>
        <v>0</v>
      </c>
      <c r="DE12" s="208">
        <f t="shared" ref="DE12:DE40" si="35">(DC12*DD12)/360</f>
        <v>0</v>
      </c>
      <c r="DH12" s="208">
        <f t="shared" ref="DH12:DH40" si="36">(DF12*DG12)/360</f>
        <v>0</v>
      </c>
      <c r="DK12" s="208">
        <f t="shared" ref="DK12:DK40" si="37">(DI12*DJ12)/360</f>
        <v>0</v>
      </c>
      <c r="DN12" s="208">
        <f t="shared" ref="DN12:DN40" si="38">(DL12*DM12)/360</f>
        <v>0</v>
      </c>
      <c r="DQ12" s="208">
        <f t="shared" ref="DQ12:DQ40" si="39">(DO12*DP12)/360</f>
        <v>0</v>
      </c>
      <c r="DT12" s="208">
        <f t="shared" ref="DT12:DT40" si="40">(DR12*DS12)/360</f>
        <v>0</v>
      </c>
      <c r="DW12" s="208">
        <f t="shared" ref="DW12:DW40" si="41">(DU12*DV12)/360</f>
        <v>0</v>
      </c>
      <c r="DZ12" s="208"/>
      <c r="EA12" s="208"/>
      <c r="EB12" s="228">
        <f t="shared" ref="EB12:EB40" si="42">B12+E12+H12+K12+N12+Q12+T12+W12+Z12+AC12+AF12+AL12+AO12+AR12+AU12+AX12+BA12+BD12+BG12+DU12+AI12+DR12+DO12+DL12+DI12+DF12+DC12+CZ12+CW12+CT12+CQ12+CN12+CK12+CH12+CE12+CB12+BY12+BV12+BS12+BP12+BM12+BJ12</f>
        <v>289525000</v>
      </c>
      <c r="EC12" s="228">
        <f t="shared" ref="EC12:EC40" si="43">EB12-EK12+EL12</f>
        <v>0</v>
      </c>
      <c r="ED12" s="208">
        <f t="shared" ref="ED12:ED40" si="44">D12+G12+J12+M12+P12+S12+V12+Y12+AB12+AE12+AH12+AK12+AN12+AQ12+AT12+AW12+AZ12+BC12+BF12+BI12+DW12+DT12+DQ12+DN12+DK12+DH12+DE12+DB12+CY12+CV12+CS12+CP12+CM12+CJ12+CG12+CD12+CA12+BX12+BU12+BR12+BO12+BL12</f>
        <v>36482.291666666664</v>
      </c>
      <c r="EE12" s="209">
        <f t="shared" ref="EE12:EE40" si="45">IF(EB12&lt;&gt;0,((ED12/EB12)*360),0)</f>
        <v>4.5362662982471283E-2</v>
      </c>
      <c r="EG12" s="228">
        <f t="shared" ref="EG12:EG40" si="46">Q12+T12+W12+Z12+AC12+AF12</f>
        <v>0</v>
      </c>
      <c r="EH12" s="208">
        <f t="shared" ref="EH12:EH40" si="47">S12+V12+Y12+AB12+AE12+AH12</f>
        <v>0</v>
      </c>
      <c r="EI12" s="209">
        <f t="shared" ref="EI12:EI40" si="48">IF(EG12&lt;&gt;0,((EH12/EG12)*360),0)</f>
        <v>0</v>
      </c>
      <c r="EJ12" s="209"/>
      <c r="EK12" s="228">
        <f t="shared" ref="EK12:EK40" si="49">DR12+DL12+DI12+DF12+DC12+CZ12+CW12+CT12+CQ12+CN12+CK12+CH12+CE12+CB12+BY12+BV12+BS12+BP12+BM12+BJ12+BG12+BD12+BA12+AX12+AU12+AR12+AO12+AL12+AI12+DO12</f>
        <v>289525000</v>
      </c>
      <c r="EL12" s="228">
        <f t="shared" ref="EL12:EL40" si="50">DX12</f>
        <v>0</v>
      </c>
      <c r="EM12" s="228">
        <f t="shared" ref="EM12:EM40" si="51">DT12+DQ12+DN12+DK12+DH12+DE12+DB12+CY12+CV12+CS12+CP12+CM12+CJ12+CG12+CD12+CA12+BX12+BU12+BR12+BO12+BL12+BI12+BF12+BC12+AZ12+AW12+AT12+AQ12+AN12+AK12</f>
        <v>36482.291666666672</v>
      </c>
      <c r="EN12" s="209">
        <f t="shared" ref="EN12:EN40" si="52">IF(EK12&lt;&gt;0,((EM12/EK12)*360),0)</f>
        <v>4.536266298247129E-2</v>
      </c>
      <c r="EP12" s="208"/>
    </row>
    <row r="13" spans="1:147" x14ac:dyDescent="0.25">
      <c r="A13" s="222">
        <f t="shared" ref="A13:A40" si="53">1+A12</f>
        <v>45903</v>
      </c>
      <c r="B13" s="208">
        <v>125000</v>
      </c>
      <c r="C13" s="209">
        <v>4.5444690000000003E-2</v>
      </c>
      <c r="D13" s="208">
        <f t="shared" si="1"/>
        <v>15.779406250000001</v>
      </c>
      <c r="G13" s="208">
        <f t="shared" si="2"/>
        <v>0</v>
      </c>
      <c r="J13" s="208">
        <f t="shared" si="3"/>
        <v>0</v>
      </c>
      <c r="M13" s="208">
        <f t="shared" si="4"/>
        <v>0</v>
      </c>
      <c r="P13" s="208">
        <f t="shared" si="5"/>
        <v>0</v>
      </c>
      <c r="S13" s="208">
        <f t="shared" si="6"/>
        <v>0</v>
      </c>
      <c r="V13" s="208">
        <f t="shared" si="7"/>
        <v>0</v>
      </c>
      <c r="Y13" s="208">
        <f t="shared" si="8"/>
        <v>0</v>
      </c>
      <c r="AB13" s="208">
        <f t="shared" si="9"/>
        <v>0</v>
      </c>
      <c r="AE13" s="208">
        <v>0</v>
      </c>
      <c r="AH13" s="208">
        <v>0</v>
      </c>
      <c r="AI13" s="223">
        <f>74725000+125000</f>
        <v>74850000</v>
      </c>
      <c r="AJ13" s="224">
        <v>4.4999999999999998E-2</v>
      </c>
      <c r="AK13" s="208">
        <f t="shared" si="10"/>
        <v>9356.25</v>
      </c>
      <c r="AL13" s="223">
        <f t="shared" si="0"/>
        <v>30000000</v>
      </c>
      <c r="AM13" s="224">
        <v>4.5499999999999999E-2</v>
      </c>
      <c r="AN13" s="208">
        <f t="shared" si="11"/>
        <v>3791.6666666666665</v>
      </c>
      <c r="AO13" s="223">
        <f>27625000+42375000</f>
        <v>70000000</v>
      </c>
      <c r="AP13" s="224">
        <v>4.5999999999999999E-2</v>
      </c>
      <c r="AQ13" s="208">
        <f t="shared" si="12"/>
        <v>8944.4444444444453</v>
      </c>
      <c r="AR13" s="223">
        <f t="shared" si="13"/>
        <v>100000000</v>
      </c>
      <c r="AS13" s="224">
        <v>4.5199999999999997E-2</v>
      </c>
      <c r="AT13" s="208">
        <f t="shared" si="14"/>
        <v>12555.555555555555</v>
      </c>
      <c r="AW13" s="208">
        <f t="shared" si="15"/>
        <v>0</v>
      </c>
      <c r="AZ13" s="208">
        <f t="shared" si="16"/>
        <v>0</v>
      </c>
      <c r="BC13" s="208">
        <f t="shared" si="17"/>
        <v>0</v>
      </c>
      <c r="BF13" s="208">
        <f t="shared" si="18"/>
        <v>0</v>
      </c>
      <c r="BI13" s="208">
        <f t="shared" si="19"/>
        <v>0</v>
      </c>
      <c r="BL13" s="208">
        <f t="shared" si="20"/>
        <v>0</v>
      </c>
      <c r="BO13" s="208">
        <f t="shared" si="21"/>
        <v>0</v>
      </c>
      <c r="BR13" s="208">
        <f t="shared" si="22"/>
        <v>0</v>
      </c>
      <c r="BU13" s="208">
        <f t="shared" si="23"/>
        <v>0</v>
      </c>
      <c r="BX13" s="208">
        <f t="shared" si="24"/>
        <v>0</v>
      </c>
      <c r="CA13" s="208">
        <f t="shared" si="25"/>
        <v>0</v>
      </c>
      <c r="CD13" s="208">
        <f t="shared" si="26"/>
        <v>0</v>
      </c>
      <c r="CG13" s="208">
        <f t="shared" si="27"/>
        <v>0</v>
      </c>
      <c r="CJ13" s="208">
        <f t="shared" si="28"/>
        <v>0</v>
      </c>
      <c r="CM13" s="208">
        <f t="shared" si="29"/>
        <v>0</v>
      </c>
      <c r="CP13" s="208">
        <f t="shared" si="30"/>
        <v>0</v>
      </c>
      <c r="CS13" s="208">
        <f t="shared" si="31"/>
        <v>0</v>
      </c>
      <c r="CV13" s="208">
        <f t="shared" si="32"/>
        <v>0</v>
      </c>
      <c r="CY13" s="208">
        <f t="shared" si="33"/>
        <v>0</v>
      </c>
      <c r="DB13" s="208">
        <f t="shared" si="34"/>
        <v>0</v>
      </c>
      <c r="DE13" s="208">
        <f t="shared" si="35"/>
        <v>0</v>
      </c>
      <c r="DH13" s="208">
        <f t="shared" si="36"/>
        <v>0</v>
      </c>
      <c r="DK13" s="208">
        <f t="shared" si="37"/>
        <v>0</v>
      </c>
      <c r="DN13" s="208">
        <f t="shared" si="38"/>
        <v>0</v>
      </c>
      <c r="DQ13" s="208">
        <f t="shared" si="39"/>
        <v>0</v>
      </c>
      <c r="DT13" s="208">
        <f t="shared" si="40"/>
        <v>0</v>
      </c>
      <c r="DW13" s="208">
        <f t="shared" si="41"/>
        <v>0</v>
      </c>
      <c r="DZ13" s="208"/>
      <c r="EA13" s="208"/>
      <c r="EB13" s="228">
        <f t="shared" si="42"/>
        <v>274975000</v>
      </c>
      <c r="EC13" s="228">
        <f t="shared" si="43"/>
        <v>125000</v>
      </c>
      <c r="ED13" s="208">
        <f t="shared" si="44"/>
        <v>34663.696072916668</v>
      </c>
      <c r="EE13" s="209">
        <f t="shared" si="45"/>
        <v>4.5382055045913264E-2</v>
      </c>
      <c r="EG13" s="228">
        <f t="shared" si="46"/>
        <v>0</v>
      </c>
      <c r="EH13" s="208">
        <f t="shared" si="47"/>
        <v>0</v>
      </c>
      <c r="EI13" s="209">
        <f t="shared" si="48"/>
        <v>0</v>
      </c>
      <c r="EJ13" s="209"/>
      <c r="EK13" s="228">
        <f t="shared" si="49"/>
        <v>274850000</v>
      </c>
      <c r="EL13" s="228">
        <f t="shared" si="50"/>
        <v>0</v>
      </c>
      <c r="EM13" s="228">
        <f t="shared" si="51"/>
        <v>34647.916666666672</v>
      </c>
      <c r="EN13" s="209">
        <f t="shared" si="52"/>
        <v>4.5382026559941793E-2</v>
      </c>
      <c r="EP13" s="208"/>
    </row>
    <row r="14" spans="1:147" x14ac:dyDescent="0.25">
      <c r="A14" s="222">
        <f t="shared" si="53"/>
        <v>45904</v>
      </c>
      <c r="B14" s="208">
        <v>0</v>
      </c>
      <c r="C14" s="209">
        <v>4.5431549999999994E-2</v>
      </c>
      <c r="D14" s="208">
        <f t="shared" si="1"/>
        <v>0</v>
      </c>
      <c r="G14" s="208">
        <f t="shared" si="2"/>
        <v>0</v>
      </c>
      <c r="J14" s="208">
        <f t="shared" si="3"/>
        <v>0</v>
      </c>
      <c r="M14" s="208">
        <f t="shared" si="4"/>
        <v>0</v>
      </c>
      <c r="P14" s="208">
        <f t="shared" si="5"/>
        <v>0</v>
      </c>
      <c r="S14" s="208">
        <f t="shared" si="6"/>
        <v>0</v>
      </c>
      <c r="V14" s="208">
        <f t="shared" si="7"/>
        <v>0</v>
      </c>
      <c r="Y14" s="208">
        <f t="shared" si="8"/>
        <v>0</v>
      </c>
      <c r="AB14" s="208">
        <f t="shared" si="9"/>
        <v>0</v>
      </c>
      <c r="AE14" s="208">
        <v>0</v>
      </c>
      <c r="AH14" s="208">
        <v>0</v>
      </c>
      <c r="AI14" s="223">
        <f>65000000+56200000</f>
        <v>121200000</v>
      </c>
      <c r="AJ14" s="224">
        <v>4.4999999999999998E-2</v>
      </c>
      <c r="AK14" s="208">
        <f t="shared" si="10"/>
        <v>15150</v>
      </c>
      <c r="AL14" s="223">
        <f t="shared" si="0"/>
        <v>30000000</v>
      </c>
      <c r="AM14" s="224">
        <v>4.5499999999999999E-2</v>
      </c>
      <c r="AN14" s="208">
        <f t="shared" si="11"/>
        <v>3791.6666666666665</v>
      </c>
      <c r="AO14" s="223"/>
      <c r="AP14" s="224"/>
      <c r="AQ14" s="208">
        <f t="shared" si="12"/>
        <v>0</v>
      </c>
      <c r="AR14" s="223">
        <f t="shared" si="13"/>
        <v>100000000</v>
      </c>
      <c r="AS14" s="224">
        <v>4.5199999999999997E-2</v>
      </c>
      <c r="AT14" s="208">
        <f t="shared" si="14"/>
        <v>12555.555555555555</v>
      </c>
      <c r="AW14" s="208">
        <f t="shared" si="15"/>
        <v>0</v>
      </c>
      <c r="AZ14" s="208">
        <f t="shared" si="16"/>
        <v>0</v>
      </c>
      <c r="BC14" s="208">
        <f t="shared" si="17"/>
        <v>0</v>
      </c>
      <c r="BF14" s="208">
        <f t="shared" si="18"/>
        <v>0</v>
      </c>
      <c r="BI14" s="208">
        <f t="shared" si="19"/>
        <v>0</v>
      </c>
      <c r="BL14" s="208">
        <f t="shared" si="20"/>
        <v>0</v>
      </c>
      <c r="BO14" s="208">
        <f t="shared" si="21"/>
        <v>0</v>
      </c>
      <c r="BR14" s="208">
        <f t="shared" si="22"/>
        <v>0</v>
      </c>
      <c r="BU14" s="208">
        <f t="shared" si="23"/>
        <v>0</v>
      </c>
      <c r="BX14" s="208">
        <f t="shared" si="24"/>
        <v>0</v>
      </c>
      <c r="CA14" s="208">
        <f t="shared" si="25"/>
        <v>0</v>
      </c>
      <c r="CD14" s="208">
        <f t="shared" si="26"/>
        <v>0</v>
      </c>
      <c r="CG14" s="208">
        <f t="shared" si="27"/>
        <v>0</v>
      </c>
      <c r="CJ14" s="208">
        <f t="shared" si="28"/>
        <v>0</v>
      </c>
      <c r="CM14" s="208">
        <f t="shared" si="29"/>
        <v>0</v>
      </c>
      <c r="CP14" s="208">
        <f t="shared" si="30"/>
        <v>0</v>
      </c>
      <c r="CS14" s="208">
        <f t="shared" si="31"/>
        <v>0</v>
      </c>
      <c r="CV14" s="208">
        <f t="shared" si="32"/>
        <v>0</v>
      </c>
      <c r="CY14" s="208">
        <f t="shared" si="33"/>
        <v>0</v>
      </c>
      <c r="DB14" s="208">
        <f t="shared" si="34"/>
        <v>0</v>
      </c>
      <c r="DE14" s="208">
        <f t="shared" si="35"/>
        <v>0</v>
      </c>
      <c r="DH14" s="208">
        <f t="shared" si="36"/>
        <v>0</v>
      </c>
      <c r="DK14" s="208">
        <f t="shared" si="37"/>
        <v>0</v>
      </c>
      <c r="DN14" s="208">
        <f t="shared" si="38"/>
        <v>0</v>
      </c>
      <c r="DQ14" s="208">
        <f t="shared" si="39"/>
        <v>0</v>
      </c>
      <c r="DT14" s="208">
        <f t="shared" si="40"/>
        <v>0</v>
      </c>
      <c r="DW14" s="208">
        <f t="shared" si="41"/>
        <v>0</v>
      </c>
      <c r="DZ14" s="208"/>
      <c r="EA14" s="208"/>
      <c r="EB14" s="228">
        <f t="shared" si="42"/>
        <v>251200000</v>
      </c>
      <c r="EC14" s="228">
        <f t="shared" si="43"/>
        <v>0</v>
      </c>
      <c r="ED14" s="208">
        <f t="shared" si="44"/>
        <v>31497.222222222223</v>
      </c>
      <c r="EE14" s="209">
        <f t="shared" si="45"/>
        <v>4.5139331210191085E-2</v>
      </c>
      <c r="EG14" s="228">
        <f t="shared" si="46"/>
        <v>0</v>
      </c>
      <c r="EH14" s="208">
        <f t="shared" si="47"/>
        <v>0</v>
      </c>
      <c r="EI14" s="209">
        <f t="shared" si="48"/>
        <v>0</v>
      </c>
      <c r="EJ14" s="209"/>
      <c r="EK14" s="228">
        <f t="shared" si="49"/>
        <v>251200000</v>
      </c>
      <c r="EL14" s="228">
        <f t="shared" si="50"/>
        <v>0</v>
      </c>
      <c r="EM14" s="228">
        <f t="shared" si="51"/>
        <v>31497.222222222219</v>
      </c>
      <c r="EN14" s="209">
        <f t="shared" si="52"/>
        <v>4.5139331210191078E-2</v>
      </c>
      <c r="EP14" s="208"/>
    </row>
    <row r="15" spans="1:147" x14ac:dyDescent="0.25">
      <c r="A15" s="222">
        <f t="shared" si="53"/>
        <v>45905</v>
      </c>
      <c r="B15" s="208">
        <v>0</v>
      </c>
      <c r="C15" s="209">
        <v>4.5264889999999995E-2</v>
      </c>
      <c r="D15" s="208">
        <f t="shared" si="1"/>
        <v>0</v>
      </c>
      <c r="G15" s="208">
        <f t="shared" si="2"/>
        <v>0</v>
      </c>
      <c r="J15" s="208">
        <f t="shared" si="3"/>
        <v>0</v>
      </c>
      <c r="M15" s="208">
        <f t="shared" si="4"/>
        <v>0</v>
      </c>
      <c r="P15" s="208">
        <f t="shared" si="5"/>
        <v>0</v>
      </c>
      <c r="S15" s="208">
        <f t="shared" si="6"/>
        <v>0</v>
      </c>
      <c r="V15" s="208">
        <f t="shared" si="7"/>
        <v>0</v>
      </c>
      <c r="Y15" s="208">
        <f t="shared" si="8"/>
        <v>0</v>
      </c>
      <c r="AB15" s="208">
        <f t="shared" si="9"/>
        <v>0</v>
      </c>
      <c r="AE15" s="208">
        <v>0</v>
      </c>
      <c r="AH15" s="208">
        <v>0</v>
      </c>
      <c r="AI15" s="223">
        <f>70000000+38825000</f>
        <v>108825000</v>
      </c>
      <c r="AJ15" s="224">
        <v>4.4999999999999998E-2</v>
      </c>
      <c r="AK15" s="208">
        <f t="shared" si="10"/>
        <v>13603.125</v>
      </c>
      <c r="AL15" s="223">
        <f t="shared" si="0"/>
        <v>30000000</v>
      </c>
      <c r="AM15" s="224">
        <v>4.5499999999999999E-2</v>
      </c>
      <c r="AN15" s="208">
        <f t="shared" si="11"/>
        <v>3791.6666666666665</v>
      </c>
      <c r="AO15" s="223"/>
      <c r="AP15" s="224"/>
      <c r="AQ15" s="208">
        <f t="shared" si="12"/>
        <v>0</v>
      </c>
      <c r="AR15" s="223">
        <f t="shared" si="13"/>
        <v>100000000</v>
      </c>
      <c r="AS15" s="224">
        <v>4.5199999999999997E-2</v>
      </c>
      <c r="AT15" s="208">
        <f t="shared" si="14"/>
        <v>12555.555555555555</v>
      </c>
      <c r="AW15" s="208">
        <f t="shared" si="15"/>
        <v>0</v>
      </c>
      <c r="AZ15" s="208">
        <f t="shared" si="16"/>
        <v>0</v>
      </c>
      <c r="BC15" s="208">
        <f t="shared" si="17"/>
        <v>0</v>
      </c>
      <c r="BF15" s="208">
        <f t="shared" si="18"/>
        <v>0</v>
      </c>
      <c r="BI15" s="208">
        <f t="shared" si="19"/>
        <v>0</v>
      </c>
      <c r="BL15" s="208">
        <f t="shared" si="20"/>
        <v>0</v>
      </c>
      <c r="BO15" s="208">
        <f t="shared" si="21"/>
        <v>0</v>
      </c>
      <c r="BR15" s="208">
        <f t="shared" si="22"/>
        <v>0</v>
      </c>
      <c r="BU15" s="208">
        <f t="shared" si="23"/>
        <v>0</v>
      </c>
      <c r="BX15" s="208">
        <f t="shared" si="24"/>
        <v>0</v>
      </c>
      <c r="CA15" s="208">
        <f t="shared" si="25"/>
        <v>0</v>
      </c>
      <c r="CD15" s="208">
        <f t="shared" si="26"/>
        <v>0</v>
      </c>
      <c r="CG15" s="208">
        <f t="shared" si="27"/>
        <v>0</v>
      </c>
      <c r="CJ15" s="208">
        <f t="shared" si="28"/>
        <v>0</v>
      </c>
      <c r="CM15" s="208">
        <f t="shared" si="29"/>
        <v>0</v>
      </c>
      <c r="CP15" s="208">
        <f t="shared" si="30"/>
        <v>0</v>
      </c>
      <c r="CS15" s="208">
        <f t="shared" si="31"/>
        <v>0</v>
      </c>
      <c r="CV15" s="208">
        <f t="shared" si="32"/>
        <v>0</v>
      </c>
      <c r="CY15" s="208">
        <f t="shared" si="33"/>
        <v>0</v>
      </c>
      <c r="DB15" s="208">
        <f t="shared" si="34"/>
        <v>0</v>
      </c>
      <c r="DE15" s="208">
        <f t="shared" si="35"/>
        <v>0</v>
      </c>
      <c r="DH15" s="208">
        <f t="shared" si="36"/>
        <v>0</v>
      </c>
      <c r="DK15" s="208">
        <f t="shared" si="37"/>
        <v>0</v>
      </c>
      <c r="DN15" s="208">
        <f t="shared" si="38"/>
        <v>0</v>
      </c>
      <c r="DQ15" s="208">
        <f t="shared" si="39"/>
        <v>0</v>
      </c>
      <c r="DT15" s="208">
        <f t="shared" si="40"/>
        <v>0</v>
      </c>
      <c r="DW15" s="208">
        <f t="shared" si="41"/>
        <v>0</v>
      </c>
      <c r="DZ15" s="208"/>
      <c r="EA15" s="208"/>
      <c r="EB15" s="228">
        <f t="shared" si="42"/>
        <v>238825000</v>
      </c>
      <c r="EC15" s="228">
        <f t="shared" si="43"/>
        <v>0</v>
      </c>
      <c r="ED15" s="208">
        <f t="shared" si="44"/>
        <v>29950.347222222223</v>
      </c>
      <c r="EE15" s="209">
        <f t="shared" si="45"/>
        <v>4.5146550821731392E-2</v>
      </c>
      <c r="EG15" s="228">
        <f t="shared" si="46"/>
        <v>0</v>
      </c>
      <c r="EH15" s="208">
        <f t="shared" si="47"/>
        <v>0</v>
      </c>
      <c r="EI15" s="209">
        <f t="shared" si="48"/>
        <v>0</v>
      </c>
      <c r="EJ15" s="209"/>
      <c r="EK15" s="228">
        <f t="shared" si="49"/>
        <v>238825000</v>
      </c>
      <c r="EL15" s="228">
        <f t="shared" si="50"/>
        <v>0</v>
      </c>
      <c r="EM15" s="228">
        <f t="shared" si="51"/>
        <v>29950.347222222219</v>
      </c>
      <c r="EN15" s="209">
        <f t="shared" si="52"/>
        <v>4.5146550821731392E-2</v>
      </c>
      <c r="EP15" s="208"/>
    </row>
    <row r="16" spans="1:147" x14ac:dyDescent="0.25">
      <c r="A16" s="222">
        <f t="shared" si="53"/>
        <v>45906</v>
      </c>
      <c r="B16" s="208">
        <v>0</v>
      </c>
      <c r="C16" s="209">
        <v>4.5264889999999995E-2</v>
      </c>
      <c r="D16" s="208">
        <f t="shared" si="1"/>
        <v>0</v>
      </c>
      <c r="G16" s="208">
        <f t="shared" si="2"/>
        <v>0</v>
      </c>
      <c r="J16" s="208">
        <f t="shared" si="3"/>
        <v>0</v>
      </c>
      <c r="M16" s="208">
        <f t="shared" si="4"/>
        <v>0</v>
      </c>
      <c r="P16" s="208">
        <f t="shared" si="5"/>
        <v>0</v>
      </c>
      <c r="S16" s="208">
        <f t="shared" si="6"/>
        <v>0</v>
      </c>
      <c r="V16" s="208">
        <f t="shared" si="7"/>
        <v>0</v>
      </c>
      <c r="Y16" s="208">
        <f t="shared" si="8"/>
        <v>0</v>
      </c>
      <c r="AB16" s="208">
        <f t="shared" si="9"/>
        <v>0</v>
      </c>
      <c r="AE16" s="208">
        <v>0</v>
      </c>
      <c r="AH16" s="208">
        <v>0</v>
      </c>
      <c r="AI16" s="223">
        <f>70000000+38825000</f>
        <v>108825000</v>
      </c>
      <c r="AJ16" s="224">
        <v>4.4999999999999998E-2</v>
      </c>
      <c r="AK16" s="208">
        <f t="shared" si="10"/>
        <v>13603.125</v>
      </c>
      <c r="AL16" s="223">
        <f t="shared" si="0"/>
        <v>30000000</v>
      </c>
      <c r="AM16" s="224">
        <v>4.5499999999999999E-2</v>
      </c>
      <c r="AN16" s="208">
        <f t="shared" si="11"/>
        <v>3791.6666666666665</v>
      </c>
      <c r="AO16" s="223"/>
      <c r="AP16" s="224"/>
      <c r="AQ16" s="208">
        <f t="shared" si="12"/>
        <v>0</v>
      </c>
      <c r="AR16" s="223">
        <f t="shared" si="13"/>
        <v>100000000</v>
      </c>
      <c r="AS16" s="224">
        <v>4.5199999999999997E-2</v>
      </c>
      <c r="AT16" s="208">
        <f t="shared" si="14"/>
        <v>12555.555555555555</v>
      </c>
      <c r="AW16" s="208">
        <f t="shared" si="15"/>
        <v>0</v>
      </c>
      <c r="AZ16" s="208">
        <f t="shared" si="16"/>
        <v>0</v>
      </c>
      <c r="BC16" s="208">
        <f t="shared" si="17"/>
        <v>0</v>
      </c>
      <c r="BF16" s="208">
        <f t="shared" si="18"/>
        <v>0</v>
      </c>
      <c r="BI16" s="208">
        <f t="shared" si="19"/>
        <v>0</v>
      </c>
      <c r="BL16" s="208">
        <f t="shared" si="20"/>
        <v>0</v>
      </c>
      <c r="BO16" s="208">
        <f t="shared" si="21"/>
        <v>0</v>
      </c>
      <c r="BR16" s="208">
        <f t="shared" si="22"/>
        <v>0</v>
      </c>
      <c r="BU16" s="208">
        <f t="shared" si="23"/>
        <v>0</v>
      </c>
      <c r="BX16" s="208">
        <f t="shared" si="24"/>
        <v>0</v>
      </c>
      <c r="CA16" s="208">
        <f t="shared" si="25"/>
        <v>0</v>
      </c>
      <c r="CD16" s="208">
        <f t="shared" si="26"/>
        <v>0</v>
      </c>
      <c r="CG16" s="208">
        <f t="shared" si="27"/>
        <v>0</v>
      </c>
      <c r="CJ16" s="208">
        <f t="shared" si="28"/>
        <v>0</v>
      </c>
      <c r="CM16" s="208">
        <f t="shared" si="29"/>
        <v>0</v>
      </c>
      <c r="CP16" s="208">
        <f t="shared" si="30"/>
        <v>0</v>
      </c>
      <c r="CS16" s="208">
        <f t="shared" si="31"/>
        <v>0</v>
      </c>
      <c r="CV16" s="208">
        <f t="shared" si="32"/>
        <v>0</v>
      </c>
      <c r="CY16" s="208">
        <f t="shared" si="33"/>
        <v>0</v>
      </c>
      <c r="DB16" s="208">
        <f t="shared" si="34"/>
        <v>0</v>
      </c>
      <c r="DE16" s="208">
        <f t="shared" si="35"/>
        <v>0</v>
      </c>
      <c r="DH16" s="208">
        <f t="shared" si="36"/>
        <v>0</v>
      </c>
      <c r="DK16" s="208">
        <f t="shared" si="37"/>
        <v>0</v>
      </c>
      <c r="DN16" s="208">
        <f t="shared" si="38"/>
        <v>0</v>
      </c>
      <c r="DQ16" s="208">
        <f t="shared" si="39"/>
        <v>0</v>
      </c>
      <c r="DT16" s="208">
        <f t="shared" si="40"/>
        <v>0</v>
      </c>
      <c r="DW16" s="208">
        <f t="shared" si="41"/>
        <v>0</v>
      </c>
      <c r="DZ16" s="208"/>
      <c r="EA16" s="208"/>
      <c r="EB16" s="228">
        <f t="shared" si="42"/>
        <v>238825000</v>
      </c>
      <c r="EC16" s="228">
        <f t="shared" si="43"/>
        <v>0</v>
      </c>
      <c r="ED16" s="208">
        <f t="shared" si="44"/>
        <v>29950.347222222223</v>
      </c>
      <c r="EE16" s="209">
        <f t="shared" si="45"/>
        <v>4.5146550821731392E-2</v>
      </c>
      <c r="EG16" s="228">
        <f t="shared" si="46"/>
        <v>0</v>
      </c>
      <c r="EH16" s="208">
        <f t="shared" si="47"/>
        <v>0</v>
      </c>
      <c r="EI16" s="209">
        <f t="shared" si="48"/>
        <v>0</v>
      </c>
      <c r="EJ16" s="209"/>
      <c r="EK16" s="228">
        <f t="shared" si="49"/>
        <v>238825000</v>
      </c>
      <c r="EL16" s="228">
        <f t="shared" si="50"/>
        <v>0</v>
      </c>
      <c r="EM16" s="228">
        <f t="shared" si="51"/>
        <v>29950.347222222219</v>
      </c>
      <c r="EN16" s="209">
        <f t="shared" si="52"/>
        <v>4.5146550821731392E-2</v>
      </c>
      <c r="EP16" s="208"/>
    </row>
    <row r="17" spans="1:146" x14ac:dyDescent="0.25">
      <c r="A17" s="222">
        <f t="shared" si="53"/>
        <v>45907</v>
      </c>
      <c r="B17" s="208">
        <v>0</v>
      </c>
      <c r="C17" s="209">
        <v>4.5264889999999995E-2</v>
      </c>
      <c r="D17" s="208">
        <f t="shared" si="1"/>
        <v>0</v>
      </c>
      <c r="G17" s="208">
        <f t="shared" si="2"/>
        <v>0</v>
      </c>
      <c r="J17" s="208">
        <f t="shared" si="3"/>
        <v>0</v>
      </c>
      <c r="M17" s="208">
        <f t="shared" si="4"/>
        <v>0</v>
      </c>
      <c r="P17" s="208">
        <f t="shared" si="5"/>
        <v>0</v>
      </c>
      <c r="S17" s="208">
        <f t="shared" si="6"/>
        <v>0</v>
      </c>
      <c r="V17" s="208">
        <f t="shared" si="7"/>
        <v>0</v>
      </c>
      <c r="Y17" s="208">
        <f t="shared" si="8"/>
        <v>0</v>
      </c>
      <c r="AB17" s="208">
        <f t="shared" si="9"/>
        <v>0</v>
      </c>
      <c r="AE17" s="208">
        <v>0</v>
      </c>
      <c r="AH17" s="208">
        <v>0</v>
      </c>
      <c r="AI17" s="223">
        <f>70000000+38825000</f>
        <v>108825000</v>
      </c>
      <c r="AJ17" s="224">
        <v>4.4999999999999998E-2</v>
      </c>
      <c r="AK17" s="208">
        <f t="shared" si="10"/>
        <v>13603.125</v>
      </c>
      <c r="AL17" s="223">
        <f t="shared" si="0"/>
        <v>30000000</v>
      </c>
      <c r="AM17" s="224">
        <v>4.5499999999999999E-2</v>
      </c>
      <c r="AN17" s="208">
        <f t="shared" si="11"/>
        <v>3791.6666666666665</v>
      </c>
      <c r="AO17" s="223"/>
      <c r="AP17" s="224"/>
      <c r="AQ17" s="208">
        <f t="shared" si="12"/>
        <v>0</v>
      </c>
      <c r="AR17" s="223">
        <f t="shared" si="13"/>
        <v>100000000</v>
      </c>
      <c r="AS17" s="224">
        <v>4.5199999999999997E-2</v>
      </c>
      <c r="AT17" s="208">
        <f t="shared" si="14"/>
        <v>12555.555555555555</v>
      </c>
      <c r="AW17" s="208">
        <f t="shared" si="15"/>
        <v>0</v>
      </c>
      <c r="AZ17" s="208">
        <f t="shared" si="16"/>
        <v>0</v>
      </c>
      <c r="BC17" s="208">
        <f t="shared" si="17"/>
        <v>0</v>
      </c>
      <c r="BF17" s="208">
        <f t="shared" si="18"/>
        <v>0</v>
      </c>
      <c r="BI17" s="208">
        <f t="shared" si="19"/>
        <v>0</v>
      </c>
      <c r="BL17" s="208">
        <f t="shared" si="20"/>
        <v>0</v>
      </c>
      <c r="BO17" s="208">
        <f t="shared" si="21"/>
        <v>0</v>
      </c>
      <c r="BR17" s="208">
        <f t="shared" si="22"/>
        <v>0</v>
      </c>
      <c r="BU17" s="208">
        <f t="shared" si="23"/>
        <v>0</v>
      </c>
      <c r="BX17" s="208">
        <f t="shared" si="24"/>
        <v>0</v>
      </c>
      <c r="CA17" s="208">
        <f t="shared" si="25"/>
        <v>0</v>
      </c>
      <c r="CD17" s="208">
        <f t="shared" si="26"/>
        <v>0</v>
      </c>
      <c r="CG17" s="208">
        <f t="shared" si="27"/>
        <v>0</v>
      </c>
      <c r="CJ17" s="208">
        <f t="shared" si="28"/>
        <v>0</v>
      </c>
      <c r="CM17" s="208">
        <f t="shared" si="29"/>
        <v>0</v>
      </c>
      <c r="CP17" s="208">
        <f t="shared" si="30"/>
        <v>0</v>
      </c>
      <c r="CS17" s="208">
        <f t="shared" si="31"/>
        <v>0</v>
      </c>
      <c r="CV17" s="208">
        <f t="shared" si="32"/>
        <v>0</v>
      </c>
      <c r="CY17" s="208">
        <f t="shared" si="33"/>
        <v>0</v>
      </c>
      <c r="DB17" s="208">
        <f t="shared" si="34"/>
        <v>0</v>
      </c>
      <c r="DE17" s="208">
        <f t="shared" si="35"/>
        <v>0</v>
      </c>
      <c r="DH17" s="208">
        <f t="shared" si="36"/>
        <v>0</v>
      </c>
      <c r="DK17" s="208">
        <f t="shared" si="37"/>
        <v>0</v>
      </c>
      <c r="DN17" s="208">
        <f t="shared" si="38"/>
        <v>0</v>
      </c>
      <c r="DQ17" s="208">
        <f t="shared" si="39"/>
        <v>0</v>
      </c>
      <c r="DT17" s="208">
        <f t="shared" si="40"/>
        <v>0</v>
      </c>
      <c r="DW17" s="208">
        <f t="shared" si="41"/>
        <v>0</v>
      </c>
      <c r="DZ17" s="208"/>
      <c r="EA17" s="208"/>
      <c r="EB17" s="228">
        <f t="shared" si="42"/>
        <v>238825000</v>
      </c>
      <c r="EC17" s="228">
        <f t="shared" si="43"/>
        <v>0</v>
      </c>
      <c r="ED17" s="208">
        <f t="shared" si="44"/>
        <v>29950.347222222223</v>
      </c>
      <c r="EE17" s="209">
        <f t="shared" si="45"/>
        <v>4.5146550821731392E-2</v>
      </c>
      <c r="EG17" s="228">
        <f t="shared" si="46"/>
        <v>0</v>
      </c>
      <c r="EH17" s="208">
        <f t="shared" si="47"/>
        <v>0</v>
      </c>
      <c r="EI17" s="209">
        <f t="shared" si="48"/>
        <v>0</v>
      </c>
      <c r="EJ17" s="209"/>
      <c r="EK17" s="228">
        <f t="shared" si="49"/>
        <v>238825000</v>
      </c>
      <c r="EL17" s="228">
        <f t="shared" si="50"/>
        <v>0</v>
      </c>
      <c r="EM17" s="228">
        <f t="shared" si="51"/>
        <v>29950.347222222219</v>
      </c>
      <c r="EN17" s="209">
        <f t="shared" si="52"/>
        <v>4.5146550821731392E-2</v>
      </c>
      <c r="EP17" s="208"/>
    </row>
    <row r="18" spans="1:146" x14ac:dyDescent="0.25">
      <c r="A18" s="222">
        <f t="shared" si="53"/>
        <v>45908</v>
      </c>
      <c r="B18" s="208">
        <v>0</v>
      </c>
      <c r="C18" s="209">
        <v>4.5149299999999996E-2</v>
      </c>
      <c r="D18" s="208">
        <f t="shared" si="1"/>
        <v>0</v>
      </c>
      <c r="G18" s="208">
        <f t="shared" si="2"/>
        <v>0</v>
      </c>
      <c r="J18" s="208">
        <f t="shared" si="3"/>
        <v>0</v>
      </c>
      <c r="M18" s="208">
        <f t="shared" si="4"/>
        <v>0</v>
      </c>
      <c r="P18" s="208">
        <f t="shared" si="5"/>
        <v>0</v>
      </c>
      <c r="S18" s="208">
        <f t="shared" si="6"/>
        <v>0</v>
      </c>
      <c r="V18" s="208">
        <f t="shared" si="7"/>
        <v>0</v>
      </c>
      <c r="Y18" s="208">
        <f t="shared" si="8"/>
        <v>0</v>
      </c>
      <c r="AB18" s="208">
        <f t="shared" si="9"/>
        <v>0</v>
      </c>
      <c r="AE18" s="208">
        <v>0</v>
      </c>
      <c r="AH18" s="208">
        <v>0</v>
      </c>
      <c r="AI18" s="223">
        <f>39550000+1888000+63112000</f>
        <v>104550000</v>
      </c>
      <c r="AJ18" s="224">
        <v>4.4999999999999998E-2</v>
      </c>
      <c r="AK18" s="208">
        <f t="shared" si="10"/>
        <v>13068.75</v>
      </c>
      <c r="AL18" s="223">
        <f t="shared" si="0"/>
        <v>30000000</v>
      </c>
      <c r="AM18" s="224">
        <v>4.5499999999999999E-2</v>
      </c>
      <c r="AN18" s="208">
        <f t="shared" si="11"/>
        <v>3791.6666666666665</v>
      </c>
      <c r="AO18" s="223"/>
      <c r="AP18" s="224"/>
      <c r="AQ18" s="208">
        <f t="shared" si="12"/>
        <v>0</v>
      </c>
      <c r="AR18" s="223">
        <f t="shared" si="13"/>
        <v>100000000</v>
      </c>
      <c r="AS18" s="224">
        <v>4.5199999999999997E-2</v>
      </c>
      <c r="AT18" s="208">
        <f t="shared" si="14"/>
        <v>12555.555555555555</v>
      </c>
      <c r="AW18" s="208">
        <f t="shared" si="15"/>
        <v>0</v>
      </c>
      <c r="AZ18" s="208">
        <f t="shared" si="16"/>
        <v>0</v>
      </c>
      <c r="BC18" s="208">
        <f t="shared" si="17"/>
        <v>0</v>
      </c>
      <c r="BF18" s="208">
        <f t="shared" si="18"/>
        <v>0</v>
      </c>
      <c r="BI18" s="208">
        <f t="shared" si="19"/>
        <v>0</v>
      </c>
      <c r="BL18" s="208">
        <f t="shared" si="20"/>
        <v>0</v>
      </c>
      <c r="BO18" s="208">
        <f t="shared" si="21"/>
        <v>0</v>
      </c>
      <c r="BR18" s="208">
        <f t="shared" si="22"/>
        <v>0</v>
      </c>
      <c r="BU18" s="208">
        <f t="shared" si="23"/>
        <v>0</v>
      </c>
      <c r="BX18" s="208">
        <f t="shared" si="24"/>
        <v>0</v>
      </c>
      <c r="CA18" s="208">
        <f t="shared" si="25"/>
        <v>0</v>
      </c>
      <c r="CD18" s="208">
        <f t="shared" si="26"/>
        <v>0</v>
      </c>
      <c r="CG18" s="208">
        <f t="shared" si="27"/>
        <v>0</v>
      </c>
      <c r="CJ18" s="208">
        <f t="shared" si="28"/>
        <v>0</v>
      </c>
      <c r="CM18" s="208">
        <f t="shared" si="29"/>
        <v>0</v>
      </c>
      <c r="CP18" s="208">
        <f t="shared" si="30"/>
        <v>0</v>
      </c>
      <c r="CS18" s="208">
        <f t="shared" si="31"/>
        <v>0</v>
      </c>
      <c r="CV18" s="208">
        <f t="shared" si="32"/>
        <v>0</v>
      </c>
      <c r="CY18" s="208">
        <f t="shared" si="33"/>
        <v>0</v>
      </c>
      <c r="DB18" s="208">
        <f t="shared" si="34"/>
        <v>0</v>
      </c>
      <c r="DE18" s="208">
        <f t="shared" si="35"/>
        <v>0</v>
      </c>
      <c r="DH18" s="208">
        <f t="shared" si="36"/>
        <v>0</v>
      </c>
      <c r="DK18" s="208">
        <f t="shared" si="37"/>
        <v>0</v>
      </c>
      <c r="DN18" s="208">
        <f t="shared" si="38"/>
        <v>0</v>
      </c>
      <c r="DQ18" s="208">
        <f t="shared" si="39"/>
        <v>0</v>
      </c>
      <c r="DT18" s="208">
        <f t="shared" si="40"/>
        <v>0</v>
      </c>
      <c r="DW18" s="208">
        <f t="shared" si="41"/>
        <v>0</v>
      </c>
      <c r="DZ18" s="208"/>
      <c r="EA18" s="208"/>
      <c r="EB18" s="228">
        <f t="shared" si="42"/>
        <v>234550000</v>
      </c>
      <c r="EC18" s="228">
        <f t="shared" si="43"/>
        <v>0</v>
      </c>
      <c r="ED18" s="208">
        <f t="shared" si="44"/>
        <v>29415.972222222223</v>
      </c>
      <c r="EE18" s="209">
        <f t="shared" si="45"/>
        <v>4.514922191430399E-2</v>
      </c>
      <c r="EG18" s="228">
        <f t="shared" si="46"/>
        <v>0</v>
      </c>
      <c r="EH18" s="208">
        <f t="shared" si="47"/>
        <v>0</v>
      </c>
      <c r="EI18" s="209">
        <f t="shared" si="48"/>
        <v>0</v>
      </c>
      <c r="EJ18" s="209"/>
      <c r="EK18" s="228">
        <f t="shared" si="49"/>
        <v>234550000</v>
      </c>
      <c r="EL18" s="228">
        <f t="shared" si="50"/>
        <v>0</v>
      </c>
      <c r="EM18" s="228">
        <f t="shared" si="51"/>
        <v>29415.972222222219</v>
      </c>
      <c r="EN18" s="209">
        <f t="shared" si="52"/>
        <v>4.5149221914303976E-2</v>
      </c>
      <c r="EP18" s="208"/>
    </row>
    <row r="19" spans="1:146" x14ac:dyDescent="0.25">
      <c r="A19" s="222">
        <f t="shared" si="53"/>
        <v>45909</v>
      </c>
      <c r="B19" s="208">
        <v>0</v>
      </c>
      <c r="C19" s="209">
        <v>4.5077230000000003E-2</v>
      </c>
      <c r="D19" s="208">
        <f t="shared" si="1"/>
        <v>0</v>
      </c>
      <c r="G19" s="208">
        <f t="shared" si="2"/>
        <v>0</v>
      </c>
      <c r="J19" s="208">
        <f t="shared" si="3"/>
        <v>0</v>
      </c>
      <c r="M19" s="208">
        <f t="shared" si="4"/>
        <v>0</v>
      </c>
      <c r="P19" s="208">
        <f t="shared" si="5"/>
        <v>0</v>
      </c>
      <c r="S19" s="208">
        <f t="shared" si="6"/>
        <v>0</v>
      </c>
      <c r="V19" s="208">
        <f t="shared" si="7"/>
        <v>0</v>
      </c>
      <c r="Y19" s="208">
        <f t="shared" si="8"/>
        <v>0</v>
      </c>
      <c r="AB19" s="208">
        <f t="shared" si="9"/>
        <v>0</v>
      </c>
      <c r="AE19" s="208">
        <v>0</v>
      </c>
      <c r="AH19" s="208">
        <v>0</v>
      </c>
      <c r="AI19" s="223">
        <f>125000000+56400000</f>
        <v>181400000</v>
      </c>
      <c r="AJ19" s="224">
        <v>4.4900000000000002E-2</v>
      </c>
      <c r="AK19" s="208">
        <f t="shared" si="10"/>
        <v>22624.611111111109</v>
      </c>
      <c r="AL19" s="223">
        <f t="shared" si="0"/>
        <v>30000000</v>
      </c>
      <c r="AM19" s="224">
        <v>4.5499999999999999E-2</v>
      </c>
      <c r="AN19" s="208">
        <f t="shared" si="11"/>
        <v>3791.6666666666665</v>
      </c>
      <c r="AO19" s="223"/>
      <c r="AP19" s="224"/>
      <c r="AQ19" s="208">
        <f t="shared" si="12"/>
        <v>0</v>
      </c>
      <c r="AR19" s="223"/>
      <c r="AS19" s="224"/>
      <c r="AT19" s="208">
        <f t="shared" si="14"/>
        <v>0</v>
      </c>
      <c r="AW19" s="208">
        <f t="shared" si="15"/>
        <v>0</v>
      </c>
      <c r="AZ19" s="208">
        <f t="shared" si="16"/>
        <v>0</v>
      </c>
      <c r="BC19" s="208">
        <f t="shared" si="17"/>
        <v>0</v>
      </c>
      <c r="BF19" s="208">
        <f t="shared" si="18"/>
        <v>0</v>
      </c>
      <c r="BI19" s="208">
        <f t="shared" si="19"/>
        <v>0</v>
      </c>
      <c r="BL19" s="208">
        <f t="shared" si="20"/>
        <v>0</v>
      </c>
      <c r="BO19" s="208">
        <f t="shared" si="21"/>
        <v>0</v>
      </c>
      <c r="BR19" s="208">
        <f t="shared" si="22"/>
        <v>0</v>
      </c>
      <c r="BU19" s="208">
        <f t="shared" si="23"/>
        <v>0</v>
      </c>
      <c r="BX19" s="208">
        <f t="shared" si="24"/>
        <v>0</v>
      </c>
      <c r="CA19" s="208">
        <f t="shared" si="25"/>
        <v>0</v>
      </c>
      <c r="CD19" s="208">
        <f t="shared" si="26"/>
        <v>0</v>
      </c>
      <c r="CG19" s="208">
        <f t="shared" si="27"/>
        <v>0</v>
      </c>
      <c r="CJ19" s="208">
        <f t="shared" si="28"/>
        <v>0</v>
      </c>
      <c r="CM19" s="208">
        <f t="shared" si="29"/>
        <v>0</v>
      </c>
      <c r="CP19" s="208">
        <f t="shared" si="30"/>
        <v>0</v>
      </c>
      <c r="CS19" s="208">
        <f t="shared" si="31"/>
        <v>0</v>
      </c>
      <c r="CV19" s="208">
        <f t="shared" si="32"/>
        <v>0</v>
      </c>
      <c r="CY19" s="208">
        <f t="shared" si="33"/>
        <v>0</v>
      </c>
      <c r="DB19" s="208">
        <f t="shared" si="34"/>
        <v>0</v>
      </c>
      <c r="DE19" s="208">
        <f t="shared" si="35"/>
        <v>0</v>
      </c>
      <c r="DH19" s="208">
        <f t="shared" si="36"/>
        <v>0</v>
      </c>
      <c r="DK19" s="208">
        <f t="shared" si="37"/>
        <v>0</v>
      </c>
      <c r="DN19" s="208">
        <f t="shared" si="38"/>
        <v>0</v>
      </c>
      <c r="DQ19" s="208">
        <f t="shared" si="39"/>
        <v>0</v>
      </c>
      <c r="DT19" s="208">
        <f t="shared" si="40"/>
        <v>0</v>
      </c>
      <c r="DW19" s="208">
        <f t="shared" si="41"/>
        <v>0</v>
      </c>
      <c r="DZ19" s="208"/>
      <c r="EA19" s="208"/>
      <c r="EB19" s="228">
        <f t="shared" si="42"/>
        <v>211400000</v>
      </c>
      <c r="EC19" s="228">
        <f t="shared" si="43"/>
        <v>0</v>
      </c>
      <c r="ED19" s="208">
        <f t="shared" si="44"/>
        <v>26416.277777777777</v>
      </c>
      <c r="EE19" s="209">
        <f t="shared" si="45"/>
        <v>4.4985146641438031E-2</v>
      </c>
      <c r="EG19" s="228">
        <f t="shared" si="46"/>
        <v>0</v>
      </c>
      <c r="EH19" s="208">
        <f t="shared" si="47"/>
        <v>0</v>
      </c>
      <c r="EI19" s="209">
        <f t="shared" si="48"/>
        <v>0</v>
      </c>
      <c r="EJ19" s="209"/>
      <c r="EK19" s="228">
        <f t="shared" si="49"/>
        <v>211400000</v>
      </c>
      <c r="EL19" s="228">
        <f t="shared" si="50"/>
        <v>0</v>
      </c>
      <c r="EM19" s="228">
        <f t="shared" si="51"/>
        <v>26416.277777777777</v>
      </c>
      <c r="EN19" s="209">
        <f t="shared" si="52"/>
        <v>4.4985146641438031E-2</v>
      </c>
      <c r="EP19" s="208"/>
    </row>
    <row r="20" spans="1:146" x14ac:dyDescent="0.25">
      <c r="A20" s="222">
        <f t="shared" si="53"/>
        <v>45910</v>
      </c>
      <c r="B20" s="208">
        <v>0</v>
      </c>
      <c r="C20" s="209">
        <v>4.5073629999999996E-2</v>
      </c>
      <c r="D20" s="208">
        <f t="shared" si="1"/>
        <v>0</v>
      </c>
      <c r="G20" s="208">
        <f t="shared" si="2"/>
        <v>0</v>
      </c>
      <c r="J20" s="208">
        <f t="shared" si="3"/>
        <v>0</v>
      </c>
      <c r="M20" s="208">
        <f t="shared" si="4"/>
        <v>0</v>
      </c>
      <c r="P20" s="208">
        <f t="shared" si="5"/>
        <v>0</v>
      </c>
      <c r="S20" s="208">
        <f t="shared" si="6"/>
        <v>0</v>
      </c>
      <c r="V20" s="208">
        <f t="shared" si="7"/>
        <v>0</v>
      </c>
      <c r="Y20" s="208">
        <f t="shared" si="8"/>
        <v>0</v>
      </c>
      <c r="AB20" s="208">
        <f t="shared" si="9"/>
        <v>0</v>
      </c>
      <c r="AE20" s="208">
        <v>0</v>
      </c>
      <c r="AH20" s="208">
        <v>0</v>
      </c>
      <c r="AI20" s="223">
        <f>100000000+47000000</f>
        <v>147000000</v>
      </c>
      <c r="AJ20" s="224">
        <v>4.4900000000000002E-2</v>
      </c>
      <c r="AK20" s="208">
        <f t="shared" si="10"/>
        <v>18334.166666666668</v>
      </c>
      <c r="AL20" s="223">
        <f t="shared" si="0"/>
        <v>30000000</v>
      </c>
      <c r="AM20" s="224">
        <v>4.5499999999999999E-2</v>
      </c>
      <c r="AN20" s="208">
        <f t="shared" si="11"/>
        <v>3791.6666666666665</v>
      </c>
      <c r="AO20" s="223"/>
      <c r="AP20" s="224"/>
      <c r="AQ20" s="208">
        <f t="shared" si="12"/>
        <v>0</v>
      </c>
      <c r="AR20" s="223"/>
      <c r="AS20" s="224"/>
      <c r="AT20" s="208">
        <f t="shared" si="14"/>
        <v>0</v>
      </c>
      <c r="AW20" s="208">
        <f t="shared" si="15"/>
        <v>0</v>
      </c>
      <c r="AZ20" s="208">
        <f t="shared" si="16"/>
        <v>0</v>
      </c>
      <c r="BC20" s="208">
        <f t="shared" si="17"/>
        <v>0</v>
      </c>
      <c r="BF20" s="208">
        <f t="shared" si="18"/>
        <v>0</v>
      </c>
      <c r="BI20" s="208">
        <f t="shared" si="19"/>
        <v>0</v>
      </c>
      <c r="BL20" s="208">
        <f t="shared" si="20"/>
        <v>0</v>
      </c>
      <c r="BO20" s="208">
        <f t="shared" si="21"/>
        <v>0</v>
      </c>
      <c r="BR20" s="208">
        <f t="shared" si="22"/>
        <v>0</v>
      </c>
      <c r="BU20" s="208">
        <f t="shared" si="23"/>
        <v>0</v>
      </c>
      <c r="BX20" s="208">
        <f t="shared" si="24"/>
        <v>0</v>
      </c>
      <c r="CA20" s="208">
        <f t="shared" si="25"/>
        <v>0</v>
      </c>
      <c r="CD20" s="208">
        <f t="shared" si="26"/>
        <v>0</v>
      </c>
      <c r="CG20" s="208">
        <f t="shared" si="27"/>
        <v>0</v>
      </c>
      <c r="CJ20" s="208">
        <f t="shared" si="28"/>
        <v>0</v>
      </c>
      <c r="CM20" s="208">
        <f t="shared" si="29"/>
        <v>0</v>
      </c>
      <c r="CP20" s="208">
        <f t="shared" si="30"/>
        <v>0</v>
      </c>
      <c r="CS20" s="208">
        <f t="shared" si="31"/>
        <v>0</v>
      </c>
      <c r="CV20" s="208">
        <f t="shared" si="32"/>
        <v>0</v>
      </c>
      <c r="CY20" s="208">
        <f t="shared" si="33"/>
        <v>0</v>
      </c>
      <c r="DB20" s="208">
        <f t="shared" si="34"/>
        <v>0</v>
      </c>
      <c r="DE20" s="208">
        <f t="shared" si="35"/>
        <v>0</v>
      </c>
      <c r="DH20" s="208">
        <f t="shared" si="36"/>
        <v>0</v>
      </c>
      <c r="DK20" s="208">
        <f t="shared" si="37"/>
        <v>0</v>
      </c>
      <c r="DN20" s="208">
        <f t="shared" si="38"/>
        <v>0</v>
      </c>
      <c r="DQ20" s="208">
        <f t="shared" si="39"/>
        <v>0</v>
      </c>
      <c r="DT20" s="208">
        <f t="shared" si="40"/>
        <v>0</v>
      </c>
      <c r="DW20" s="208">
        <f t="shared" si="41"/>
        <v>0</v>
      </c>
      <c r="DZ20" s="208"/>
      <c r="EA20" s="208"/>
      <c r="EB20" s="228">
        <f t="shared" si="42"/>
        <v>177000000</v>
      </c>
      <c r="EC20" s="228">
        <f t="shared" si="43"/>
        <v>0</v>
      </c>
      <c r="ED20" s="208">
        <f t="shared" si="44"/>
        <v>22125.833333333336</v>
      </c>
      <c r="EE20" s="209">
        <f t="shared" si="45"/>
        <v>4.5001694915254242E-2</v>
      </c>
      <c r="EG20" s="228">
        <f t="shared" si="46"/>
        <v>0</v>
      </c>
      <c r="EH20" s="208">
        <f t="shared" si="47"/>
        <v>0</v>
      </c>
      <c r="EI20" s="209">
        <f t="shared" si="48"/>
        <v>0</v>
      </c>
      <c r="EJ20" s="209"/>
      <c r="EK20" s="228">
        <f t="shared" si="49"/>
        <v>177000000</v>
      </c>
      <c r="EL20" s="228">
        <f t="shared" si="50"/>
        <v>0</v>
      </c>
      <c r="EM20" s="228">
        <f t="shared" si="51"/>
        <v>22125.833333333336</v>
      </c>
      <c r="EN20" s="209">
        <f t="shared" si="52"/>
        <v>4.5001694915254242E-2</v>
      </c>
      <c r="EP20" s="208"/>
    </row>
    <row r="21" spans="1:146" x14ac:dyDescent="0.25">
      <c r="A21" s="222">
        <f t="shared" si="53"/>
        <v>45911</v>
      </c>
      <c r="B21" s="208">
        <v>0</v>
      </c>
      <c r="C21" s="209">
        <v>4.5076869999999998E-2</v>
      </c>
      <c r="D21" s="208">
        <f t="shared" si="1"/>
        <v>0</v>
      </c>
      <c r="G21" s="208">
        <f t="shared" si="2"/>
        <v>0</v>
      </c>
      <c r="J21" s="208">
        <f t="shared" si="3"/>
        <v>0</v>
      </c>
      <c r="M21" s="208">
        <f t="shared" si="4"/>
        <v>0</v>
      </c>
      <c r="P21" s="208">
        <f t="shared" si="5"/>
        <v>0</v>
      </c>
      <c r="S21" s="208">
        <f t="shared" si="6"/>
        <v>0</v>
      </c>
      <c r="V21" s="208">
        <f t="shared" si="7"/>
        <v>0</v>
      </c>
      <c r="Y21" s="208">
        <f t="shared" si="8"/>
        <v>0</v>
      </c>
      <c r="AB21" s="208">
        <f t="shared" si="9"/>
        <v>0</v>
      </c>
      <c r="AE21" s="208">
        <v>0</v>
      </c>
      <c r="AH21" s="208">
        <v>0</v>
      </c>
      <c r="AI21" s="223">
        <f>20000000+40000000+80325000</f>
        <v>140325000</v>
      </c>
      <c r="AJ21" s="224">
        <v>4.4900000000000002E-2</v>
      </c>
      <c r="AK21" s="208">
        <f t="shared" si="10"/>
        <v>17501.645833333332</v>
      </c>
      <c r="AL21" s="223">
        <f t="shared" si="0"/>
        <v>30000000</v>
      </c>
      <c r="AM21" s="224">
        <v>4.5499999999999999E-2</v>
      </c>
      <c r="AN21" s="208">
        <f t="shared" si="11"/>
        <v>3791.6666666666665</v>
      </c>
      <c r="AO21" s="223"/>
      <c r="AP21" s="224"/>
      <c r="AQ21" s="208">
        <f t="shared" si="12"/>
        <v>0</v>
      </c>
      <c r="AR21" s="223"/>
      <c r="AS21" s="224"/>
      <c r="AT21" s="208">
        <f t="shared" si="14"/>
        <v>0</v>
      </c>
      <c r="AW21" s="208">
        <f t="shared" si="15"/>
        <v>0</v>
      </c>
      <c r="AZ21" s="208">
        <f t="shared" si="16"/>
        <v>0</v>
      </c>
      <c r="BC21" s="208">
        <f t="shared" si="17"/>
        <v>0</v>
      </c>
      <c r="BF21" s="208">
        <f t="shared" si="18"/>
        <v>0</v>
      </c>
      <c r="BI21" s="208">
        <f t="shared" si="19"/>
        <v>0</v>
      </c>
      <c r="BL21" s="208">
        <f t="shared" si="20"/>
        <v>0</v>
      </c>
      <c r="BO21" s="208">
        <f t="shared" si="21"/>
        <v>0</v>
      </c>
      <c r="BR21" s="208">
        <f t="shared" si="22"/>
        <v>0</v>
      </c>
      <c r="BU21" s="208">
        <f t="shared" si="23"/>
        <v>0</v>
      </c>
      <c r="BX21" s="208">
        <f t="shared" si="24"/>
        <v>0</v>
      </c>
      <c r="CA21" s="208">
        <f t="shared" si="25"/>
        <v>0</v>
      </c>
      <c r="CD21" s="208">
        <f t="shared" si="26"/>
        <v>0</v>
      </c>
      <c r="CG21" s="208">
        <f t="shared" si="27"/>
        <v>0</v>
      </c>
      <c r="CJ21" s="208">
        <f t="shared" si="28"/>
        <v>0</v>
      </c>
      <c r="CM21" s="208">
        <f t="shared" si="29"/>
        <v>0</v>
      </c>
      <c r="CP21" s="208">
        <f t="shared" si="30"/>
        <v>0</v>
      </c>
      <c r="CS21" s="208">
        <f t="shared" si="31"/>
        <v>0</v>
      </c>
      <c r="CV21" s="208">
        <f t="shared" si="32"/>
        <v>0</v>
      </c>
      <c r="CY21" s="208">
        <f t="shared" si="33"/>
        <v>0</v>
      </c>
      <c r="DB21" s="208">
        <f t="shared" si="34"/>
        <v>0</v>
      </c>
      <c r="DE21" s="208">
        <f t="shared" si="35"/>
        <v>0</v>
      </c>
      <c r="DH21" s="208">
        <f t="shared" si="36"/>
        <v>0</v>
      </c>
      <c r="DK21" s="208">
        <f t="shared" si="37"/>
        <v>0</v>
      </c>
      <c r="DN21" s="208">
        <f t="shared" si="38"/>
        <v>0</v>
      </c>
      <c r="DQ21" s="208">
        <f t="shared" si="39"/>
        <v>0</v>
      </c>
      <c r="DT21" s="208">
        <f t="shared" si="40"/>
        <v>0</v>
      </c>
      <c r="DW21" s="208">
        <f t="shared" si="41"/>
        <v>0</v>
      </c>
      <c r="DZ21" s="208"/>
      <c r="EA21" s="208"/>
      <c r="EB21" s="228">
        <f t="shared" si="42"/>
        <v>170325000</v>
      </c>
      <c r="EC21" s="228">
        <f t="shared" si="43"/>
        <v>0</v>
      </c>
      <c r="ED21" s="208">
        <f t="shared" si="44"/>
        <v>21293.3125</v>
      </c>
      <c r="EE21" s="209">
        <f t="shared" si="45"/>
        <v>4.5005680317040955E-2</v>
      </c>
      <c r="EG21" s="228">
        <f t="shared" si="46"/>
        <v>0</v>
      </c>
      <c r="EH21" s="208">
        <f t="shared" si="47"/>
        <v>0</v>
      </c>
      <c r="EI21" s="209">
        <f t="shared" si="48"/>
        <v>0</v>
      </c>
      <c r="EJ21" s="209"/>
      <c r="EK21" s="228">
        <f t="shared" si="49"/>
        <v>170325000</v>
      </c>
      <c r="EL21" s="228">
        <f t="shared" si="50"/>
        <v>0</v>
      </c>
      <c r="EM21" s="228">
        <f t="shared" si="51"/>
        <v>21293.3125</v>
      </c>
      <c r="EN21" s="209">
        <f t="shared" si="52"/>
        <v>4.5005680317040955E-2</v>
      </c>
      <c r="EP21" s="208"/>
    </row>
    <row r="22" spans="1:146" x14ac:dyDescent="0.25">
      <c r="A22" s="222">
        <f t="shared" si="53"/>
        <v>45912</v>
      </c>
      <c r="B22" s="208">
        <v>0</v>
      </c>
      <c r="C22" s="209">
        <v>4.4961900000000006E-2</v>
      </c>
      <c r="D22" s="208">
        <f t="shared" si="1"/>
        <v>0</v>
      </c>
      <c r="G22" s="208">
        <f t="shared" si="2"/>
        <v>0</v>
      </c>
      <c r="J22" s="208">
        <f t="shared" si="3"/>
        <v>0</v>
      </c>
      <c r="M22" s="208">
        <f t="shared" si="4"/>
        <v>0</v>
      </c>
      <c r="P22" s="208">
        <f t="shared" si="5"/>
        <v>0</v>
      </c>
      <c r="S22" s="208">
        <f t="shared" si="6"/>
        <v>0</v>
      </c>
      <c r="V22" s="208">
        <f t="shared" si="7"/>
        <v>0</v>
      </c>
      <c r="Y22" s="208">
        <f t="shared" si="8"/>
        <v>0</v>
      </c>
      <c r="AB22" s="208">
        <f t="shared" si="9"/>
        <v>0</v>
      </c>
      <c r="AE22" s="208">
        <v>0</v>
      </c>
      <c r="AH22" s="208">
        <v>0</v>
      </c>
      <c r="AI22" s="223">
        <f>55000000+104825000</f>
        <v>159825000</v>
      </c>
      <c r="AJ22" s="224">
        <v>4.4900000000000002E-2</v>
      </c>
      <c r="AK22" s="208">
        <f t="shared" si="10"/>
        <v>19933.729166666668</v>
      </c>
      <c r="AL22" s="223">
        <f t="shared" si="0"/>
        <v>30000000</v>
      </c>
      <c r="AM22" s="224">
        <v>4.5499999999999999E-2</v>
      </c>
      <c r="AN22" s="208">
        <f t="shared" si="11"/>
        <v>3791.6666666666665</v>
      </c>
      <c r="AO22" s="223"/>
      <c r="AP22" s="224"/>
      <c r="AQ22" s="208">
        <f t="shared" si="12"/>
        <v>0</v>
      </c>
      <c r="AR22" s="223"/>
      <c r="AS22" s="224"/>
      <c r="AT22" s="208">
        <f t="shared" si="14"/>
        <v>0</v>
      </c>
      <c r="AW22" s="208">
        <f t="shared" si="15"/>
        <v>0</v>
      </c>
      <c r="AZ22" s="208">
        <f t="shared" si="16"/>
        <v>0</v>
      </c>
      <c r="BC22" s="208">
        <f t="shared" si="17"/>
        <v>0</v>
      </c>
      <c r="BF22" s="208">
        <f t="shared" si="18"/>
        <v>0</v>
      </c>
      <c r="BI22" s="208">
        <f t="shared" si="19"/>
        <v>0</v>
      </c>
      <c r="BL22" s="208">
        <f t="shared" si="20"/>
        <v>0</v>
      </c>
      <c r="BO22" s="208">
        <f t="shared" si="21"/>
        <v>0</v>
      </c>
      <c r="BR22" s="208">
        <f t="shared" si="22"/>
        <v>0</v>
      </c>
      <c r="BU22" s="208">
        <f t="shared" si="23"/>
        <v>0</v>
      </c>
      <c r="BX22" s="208">
        <f t="shared" si="24"/>
        <v>0</v>
      </c>
      <c r="CA22" s="208">
        <f t="shared" si="25"/>
        <v>0</v>
      </c>
      <c r="CD22" s="208">
        <f t="shared" si="26"/>
        <v>0</v>
      </c>
      <c r="CG22" s="208">
        <f t="shared" si="27"/>
        <v>0</v>
      </c>
      <c r="CJ22" s="208">
        <f t="shared" si="28"/>
        <v>0</v>
      </c>
      <c r="CM22" s="208">
        <f t="shared" si="29"/>
        <v>0</v>
      </c>
      <c r="CP22" s="208">
        <f t="shared" si="30"/>
        <v>0</v>
      </c>
      <c r="CS22" s="208">
        <f t="shared" si="31"/>
        <v>0</v>
      </c>
      <c r="CV22" s="208">
        <f t="shared" si="32"/>
        <v>0</v>
      </c>
      <c r="CY22" s="208">
        <f t="shared" si="33"/>
        <v>0</v>
      </c>
      <c r="DB22" s="208">
        <f t="shared" si="34"/>
        <v>0</v>
      </c>
      <c r="DE22" s="208">
        <f t="shared" si="35"/>
        <v>0</v>
      </c>
      <c r="DH22" s="208">
        <f t="shared" si="36"/>
        <v>0</v>
      </c>
      <c r="DK22" s="208">
        <f t="shared" si="37"/>
        <v>0</v>
      </c>
      <c r="DN22" s="208">
        <f t="shared" si="38"/>
        <v>0</v>
      </c>
      <c r="DQ22" s="208">
        <f t="shared" si="39"/>
        <v>0</v>
      </c>
      <c r="DT22" s="208">
        <f t="shared" si="40"/>
        <v>0</v>
      </c>
      <c r="DW22" s="208">
        <f t="shared" si="41"/>
        <v>0</v>
      </c>
      <c r="DZ22" s="208"/>
      <c r="EA22" s="208"/>
      <c r="EB22" s="228">
        <f t="shared" si="42"/>
        <v>189825000</v>
      </c>
      <c r="EC22" s="228">
        <f t="shared" si="43"/>
        <v>0</v>
      </c>
      <c r="ED22" s="208">
        <f t="shared" si="44"/>
        <v>23725.395833333336</v>
      </c>
      <c r="EE22" s="209">
        <f t="shared" si="45"/>
        <v>4.4994824180165947E-2</v>
      </c>
      <c r="EG22" s="228">
        <f t="shared" si="46"/>
        <v>0</v>
      </c>
      <c r="EH22" s="208">
        <f t="shared" si="47"/>
        <v>0</v>
      </c>
      <c r="EI22" s="209">
        <f t="shared" si="48"/>
        <v>0</v>
      </c>
      <c r="EJ22" s="209"/>
      <c r="EK22" s="228">
        <f t="shared" si="49"/>
        <v>189825000</v>
      </c>
      <c r="EL22" s="228">
        <f t="shared" si="50"/>
        <v>0</v>
      </c>
      <c r="EM22" s="228">
        <f t="shared" si="51"/>
        <v>23725.395833333336</v>
      </c>
      <c r="EN22" s="209">
        <f t="shared" si="52"/>
        <v>4.4994824180165947E-2</v>
      </c>
      <c r="EP22" s="208"/>
    </row>
    <row r="23" spans="1:146" x14ac:dyDescent="0.25">
      <c r="A23" s="222">
        <f t="shared" si="53"/>
        <v>45913</v>
      </c>
      <c r="B23" s="208">
        <v>0</v>
      </c>
      <c r="C23" s="209">
        <v>4.4961900000000006E-2</v>
      </c>
      <c r="D23" s="208">
        <f t="shared" si="1"/>
        <v>0</v>
      </c>
      <c r="G23" s="208">
        <f t="shared" si="2"/>
        <v>0</v>
      </c>
      <c r="J23" s="208">
        <f t="shared" si="3"/>
        <v>0</v>
      </c>
      <c r="M23" s="208">
        <f t="shared" si="4"/>
        <v>0</v>
      </c>
      <c r="P23" s="208">
        <f t="shared" si="5"/>
        <v>0</v>
      </c>
      <c r="S23" s="208">
        <f t="shared" si="6"/>
        <v>0</v>
      </c>
      <c r="V23" s="208">
        <f t="shared" si="7"/>
        <v>0</v>
      </c>
      <c r="Y23" s="208">
        <f t="shared" si="8"/>
        <v>0</v>
      </c>
      <c r="AB23" s="208">
        <f t="shared" si="9"/>
        <v>0</v>
      </c>
      <c r="AE23" s="208">
        <v>0</v>
      </c>
      <c r="AH23" s="208">
        <v>0</v>
      </c>
      <c r="AI23" s="223">
        <f>55000000+104825000</f>
        <v>159825000</v>
      </c>
      <c r="AJ23" s="224">
        <v>4.4900000000000002E-2</v>
      </c>
      <c r="AK23" s="208">
        <f t="shared" si="10"/>
        <v>19933.729166666668</v>
      </c>
      <c r="AL23" s="223">
        <f t="shared" si="0"/>
        <v>30000000</v>
      </c>
      <c r="AM23" s="224">
        <v>4.5499999999999999E-2</v>
      </c>
      <c r="AN23" s="208">
        <f t="shared" si="11"/>
        <v>3791.6666666666665</v>
      </c>
      <c r="AO23" s="223"/>
      <c r="AP23" s="224"/>
      <c r="AQ23" s="208">
        <f t="shared" si="12"/>
        <v>0</v>
      </c>
      <c r="AR23" s="223"/>
      <c r="AS23" s="224"/>
      <c r="AT23" s="208">
        <f t="shared" si="14"/>
        <v>0</v>
      </c>
      <c r="AW23" s="208">
        <f t="shared" si="15"/>
        <v>0</v>
      </c>
      <c r="AZ23" s="208">
        <f t="shared" si="16"/>
        <v>0</v>
      </c>
      <c r="BC23" s="208">
        <f t="shared" si="17"/>
        <v>0</v>
      </c>
      <c r="BF23" s="208">
        <f t="shared" si="18"/>
        <v>0</v>
      </c>
      <c r="BI23" s="208">
        <f t="shared" si="19"/>
        <v>0</v>
      </c>
      <c r="BL23" s="208">
        <f t="shared" si="20"/>
        <v>0</v>
      </c>
      <c r="BO23" s="208">
        <f t="shared" si="21"/>
        <v>0</v>
      </c>
      <c r="BR23" s="208">
        <f t="shared" si="22"/>
        <v>0</v>
      </c>
      <c r="BU23" s="208">
        <f t="shared" si="23"/>
        <v>0</v>
      </c>
      <c r="BX23" s="208">
        <f t="shared" si="24"/>
        <v>0</v>
      </c>
      <c r="CA23" s="208">
        <f t="shared" si="25"/>
        <v>0</v>
      </c>
      <c r="CD23" s="208">
        <f t="shared" si="26"/>
        <v>0</v>
      </c>
      <c r="CG23" s="208">
        <f t="shared" si="27"/>
        <v>0</v>
      </c>
      <c r="CJ23" s="208">
        <f t="shared" si="28"/>
        <v>0</v>
      </c>
      <c r="CM23" s="208">
        <f t="shared" si="29"/>
        <v>0</v>
      </c>
      <c r="CP23" s="208">
        <f t="shared" si="30"/>
        <v>0</v>
      </c>
      <c r="CS23" s="208">
        <f t="shared" si="31"/>
        <v>0</v>
      </c>
      <c r="CV23" s="208">
        <f t="shared" si="32"/>
        <v>0</v>
      </c>
      <c r="CY23" s="208">
        <f t="shared" si="33"/>
        <v>0</v>
      </c>
      <c r="DB23" s="208">
        <f t="shared" si="34"/>
        <v>0</v>
      </c>
      <c r="DE23" s="208">
        <f t="shared" si="35"/>
        <v>0</v>
      </c>
      <c r="DH23" s="208">
        <f t="shared" si="36"/>
        <v>0</v>
      </c>
      <c r="DK23" s="208">
        <f t="shared" si="37"/>
        <v>0</v>
      </c>
      <c r="DN23" s="208">
        <f t="shared" si="38"/>
        <v>0</v>
      </c>
      <c r="DQ23" s="208">
        <f t="shared" si="39"/>
        <v>0</v>
      </c>
      <c r="DT23" s="208">
        <f t="shared" si="40"/>
        <v>0</v>
      </c>
      <c r="DW23" s="208">
        <f t="shared" si="41"/>
        <v>0</v>
      </c>
      <c r="DZ23" s="208"/>
      <c r="EA23" s="208"/>
      <c r="EB23" s="228">
        <f t="shared" si="42"/>
        <v>189825000</v>
      </c>
      <c r="EC23" s="228">
        <f t="shared" si="43"/>
        <v>0</v>
      </c>
      <c r="ED23" s="208">
        <f t="shared" si="44"/>
        <v>23725.395833333336</v>
      </c>
      <c r="EE23" s="209">
        <f t="shared" si="45"/>
        <v>4.4994824180165947E-2</v>
      </c>
      <c r="EG23" s="228">
        <f t="shared" si="46"/>
        <v>0</v>
      </c>
      <c r="EH23" s="208">
        <f t="shared" si="47"/>
        <v>0</v>
      </c>
      <c r="EI23" s="209">
        <f t="shared" si="48"/>
        <v>0</v>
      </c>
      <c r="EJ23" s="209"/>
      <c r="EK23" s="228">
        <f t="shared" si="49"/>
        <v>189825000</v>
      </c>
      <c r="EL23" s="228">
        <f t="shared" si="50"/>
        <v>0</v>
      </c>
      <c r="EM23" s="228">
        <f t="shared" si="51"/>
        <v>23725.395833333336</v>
      </c>
      <c r="EN23" s="209">
        <f t="shared" si="52"/>
        <v>4.4994824180165947E-2</v>
      </c>
      <c r="EP23" s="208"/>
    </row>
    <row r="24" spans="1:146" x14ac:dyDescent="0.25">
      <c r="A24" s="222">
        <f t="shared" si="53"/>
        <v>45914</v>
      </c>
      <c r="B24" s="208">
        <v>0</v>
      </c>
      <c r="C24" s="209">
        <v>4.4961900000000006E-2</v>
      </c>
      <c r="D24" s="208">
        <f t="shared" si="1"/>
        <v>0</v>
      </c>
      <c r="G24" s="208">
        <f t="shared" si="2"/>
        <v>0</v>
      </c>
      <c r="J24" s="208">
        <f t="shared" si="3"/>
        <v>0</v>
      </c>
      <c r="M24" s="208">
        <f t="shared" si="4"/>
        <v>0</v>
      </c>
      <c r="P24" s="208">
        <f t="shared" si="5"/>
        <v>0</v>
      </c>
      <c r="S24" s="208">
        <f t="shared" si="6"/>
        <v>0</v>
      </c>
      <c r="V24" s="208">
        <f t="shared" si="7"/>
        <v>0</v>
      </c>
      <c r="Y24" s="208">
        <f t="shared" si="8"/>
        <v>0</v>
      </c>
      <c r="AB24" s="208">
        <f t="shared" si="9"/>
        <v>0</v>
      </c>
      <c r="AE24" s="208">
        <v>0</v>
      </c>
      <c r="AH24" s="208">
        <v>0</v>
      </c>
      <c r="AI24" s="223">
        <f>55000000+104825000</f>
        <v>159825000</v>
      </c>
      <c r="AJ24" s="224">
        <v>4.4900000000000002E-2</v>
      </c>
      <c r="AK24" s="208">
        <f t="shared" si="10"/>
        <v>19933.729166666668</v>
      </c>
      <c r="AL24" s="223">
        <f t="shared" si="0"/>
        <v>30000000</v>
      </c>
      <c r="AM24" s="224">
        <v>4.5499999999999999E-2</v>
      </c>
      <c r="AN24" s="208">
        <f t="shared" si="11"/>
        <v>3791.6666666666665</v>
      </c>
      <c r="AO24" s="223"/>
      <c r="AP24" s="224"/>
      <c r="AQ24" s="208">
        <f t="shared" si="12"/>
        <v>0</v>
      </c>
      <c r="AR24" s="223"/>
      <c r="AS24" s="224"/>
      <c r="AT24" s="208">
        <f t="shared" si="14"/>
        <v>0</v>
      </c>
      <c r="AW24" s="208">
        <f t="shared" si="15"/>
        <v>0</v>
      </c>
      <c r="AZ24" s="208">
        <f t="shared" si="16"/>
        <v>0</v>
      </c>
      <c r="BC24" s="208">
        <f t="shared" si="17"/>
        <v>0</v>
      </c>
      <c r="BF24" s="208">
        <f t="shared" si="18"/>
        <v>0</v>
      </c>
      <c r="BI24" s="208">
        <f t="shared" si="19"/>
        <v>0</v>
      </c>
      <c r="BL24" s="208">
        <f t="shared" si="20"/>
        <v>0</v>
      </c>
      <c r="BO24" s="208">
        <f t="shared" si="21"/>
        <v>0</v>
      </c>
      <c r="BR24" s="208">
        <f t="shared" si="22"/>
        <v>0</v>
      </c>
      <c r="BU24" s="208">
        <f t="shared" si="23"/>
        <v>0</v>
      </c>
      <c r="BX24" s="208">
        <f t="shared" si="24"/>
        <v>0</v>
      </c>
      <c r="CA24" s="208">
        <f t="shared" si="25"/>
        <v>0</v>
      </c>
      <c r="CD24" s="208">
        <f t="shared" si="26"/>
        <v>0</v>
      </c>
      <c r="CG24" s="208">
        <f t="shared" si="27"/>
        <v>0</v>
      </c>
      <c r="CJ24" s="208">
        <f t="shared" si="28"/>
        <v>0</v>
      </c>
      <c r="CM24" s="208">
        <f t="shared" si="29"/>
        <v>0</v>
      </c>
      <c r="CP24" s="208">
        <f t="shared" si="30"/>
        <v>0</v>
      </c>
      <c r="CS24" s="208">
        <f t="shared" si="31"/>
        <v>0</v>
      </c>
      <c r="CV24" s="208">
        <f t="shared" si="32"/>
        <v>0</v>
      </c>
      <c r="CY24" s="208">
        <f t="shared" si="33"/>
        <v>0</v>
      </c>
      <c r="DB24" s="208">
        <f t="shared" si="34"/>
        <v>0</v>
      </c>
      <c r="DE24" s="208">
        <f t="shared" si="35"/>
        <v>0</v>
      </c>
      <c r="DH24" s="208">
        <f t="shared" si="36"/>
        <v>0</v>
      </c>
      <c r="DK24" s="208">
        <f t="shared" si="37"/>
        <v>0</v>
      </c>
      <c r="DN24" s="208">
        <f t="shared" si="38"/>
        <v>0</v>
      </c>
      <c r="DQ24" s="208">
        <f t="shared" si="39"/>
        <v>0</v>
      </c>
      <c r="DT24" s="208">
        <f t="shared" si="40"/>
        <v>0</v>
      </c>
      <c r="DW24" s="208">
        <f t="shared" si="41"/>
        <v>0</v>
      </c>
      <c r="DZ24" s="208"/>
      <c r="EA24" s="208"/>
      <c r="EB24" s="228">
        <f t="shared" si="42"/>
        <v>189825000</v>
      </c>
      <c r="EC24" s="228">
        <f t="shared" si="43"/>
        <v>0</v>
      </c>
      <c r="ED24" s="208">
        <f t="shared" si="44"/>
        <v>23725.395833333336</v>
      </c>
      <c r="EE24" s="209">
        <f t="shared" si="45"/>
        <v>4.4994824180165947E-2</v>
      </c>
      <c r="EG24" s="228">
        <f t="shared" si="46"/>
        <v>0</v>
      </c>
      <c r="EH24" s="208">
        <f t="shared" si="47"/>
        <v>0</v>
      </c>
      <c r="EI24" s="209">
        <f t="shared" si="48"/>
        <v>0</v>
      </c>
      <c r="EJ24" s="209"/>
      <c r="EK24" s="228">
        <f t="shared" si="49"/>
        <v>189825000</v>
      </c>
      <c r="EL24" s="228">
        <f t="shared" si="50"/>
        <v>0</v>
      </c>
      <c r="EM24" s="228">
        <f t="shared" si="51"/>
        <v>23725.395833333336</v>
      </c>
      <c r="EN24" s="209">
        <f t="shared" si="52"/>
        <v>4.4994824180165947E-2</v>
      </c>
      <c r="EP24" s="208"/>
    </row>
    <row r="25" spans="1:146" x14ac:dyDescent="0.25">
      <c r="A25" s="222">
        <f t="shared" si="53"/>
        <v>45915</v>
      </c>
      <c r="B25" s="208">
        <v>0</v>
      </c>
      <c r="C25" s="209">
        <v>4.4959800000000001E-2</v>
      </c>
      <c r="D25" s="208">
        <f t="shared" si="1"/>
        <v>0</v>
      </c>
      <c r="G25" s="208">
        <f t="shared" si="2"/>
        <v>0</v>
      </c>
      <c r="J25" s="208">
        <f t="shared" si="3"/>
        <v>0</v>
      </c>
      <c r="M25" s="208">
        <f t="shared" si="4"/>
        <v>0</v>
      </c>
      <c r="P25" s="208">
        <f t="shared" si="5"/>
        <v>0</v>
      </c>
      <c r="S25" s="208">
        <f t="shared" si="6"/>
        <v>0</v>
      </c>
      <c r="V25" s="208">
        <f t="shared" si="7"/>
        <v>0</v>
      </c>
      <c r="Y25" s="208">
        <f t="shared" si="8"/>
        <v>0</v>
      </c>
      <c r="AB25" s="208">
        <f t="shared" si="9"/>
        <v>0</v>
      </c>
      <c r="AE25" s="208">
        <v>0</v>
      </c>
      <c r="AH25" s="208">
        <v>0</v>
      </c>
      <c r="AI25" s="223">
        <f>70000000+154450000+30000000</f>
        <v>254450000</v>
      </c>
      <c r="AJ25" s="224">
        <v>4.4900000000000002E-2</v>
      </c>
      <c r="AK25" s="208">
        <f t="shared" si="10"/>
        <v>31735.569444444445</v>
      </c>
      <c r="AL25" s="223"/>
      <c r="AM25" s="224"/>
      <c r="AN25" s="208">
        <f t="shared" si="11"/>
        <v>0</v>
      </c>
      <c r="AO25" s="223"/>
      <c r="AP25" s="224"/>
      <c r="AQ25" s="208">
        <f t="shared" si="12"/>
        <v>0</v>
      </c>
      <c r="AR25" s="223"/>
      <c r="AS25" s="224"/>
      <c r="AT25" s="208">
        <f t="shared" si="14"/>
        <v>0</v>
      </c>
      <c r="AW25" s="208">
        <f t="shared" si="15"/>
        <v>0</v>
      </c>
      <c r="AZ25" s="208">
        <f t="shared" si="16"/>
        <v>0</v>
      </c>
      <c r="BC25" s="208">
        <f t="shared" si="17"/>
        <v>0</v>
      </c>
      <c r="BF25" s="208">
        <f t="shared" si="18"/>
        <v>0</v>
      </c>
      <c r="BI25" s="208">
        <f t="shared" si="19"/>
        <v>0</v>
      </c>
      <c r="BL25" s="208">
        <f t="shared" si="20"/>
        <v>0</v>
      </c>
      <c r="BO25" s="208">
        <f t="shared" si="21"/>
        <v>0</v>
      </c>
      <c r="BR25" s="208">
        <f t="shared" si="22"/>
        <v>0</v>
      </c>
      <c r="BU25" s="208">
        <f t="shared" si="23"/>
        <v>0</v>
      </c>
      <c r="BX25" s="208">
        <f t="shared" si="24"/>
        <v>0</v>
      </c>
      <c r="CA25" s="208">
        <f t="shared" si="25"/>
        <v>0</v>
      </c>
      <c r="CD25" s="208">
        <f t="shared" si="26"/>
        <v>0</v>
      </c>
      <c r="CG25" s="208">
        <f t="shared" si="27"/>
        <v>0</v>
      </c>
      <c r="CJ25" s="208">
        <f t="shared" si="28"/>
        <v>0</v>
      </c>
      <c r="CM25" s="208">
        <f t="shared" si="29"/>
        <v>0</v>
      </c>
      <c r="CP25" s="208">
        <f t="shared" si="30"/>
        <v>0</v>
      </c>
      <c r="CS25" s="208">
        <f t="shared" si="31"/>
        <v>0</v>
      </c>
      <c r="CV25" s="208">
        <f t="shared" si="32"/>
        <v>0</v>
      </c>
      <c r="CY25" s="208">
        <f t="shared" si="33"/>
        <v>0</v>
      </c>
      <c r="DB25" s="208">
        <f t="shared" si="34"/>
        <v>0</v>
      </c>
      <c r="DE25" s="208">
        <f t="shared" si="35"/>
        <v>0</v>
      </c>
      <c r="DH25" s="208">
        <f t="shared" si="36"/>
        <v>0</v>
      </c>
      <c r="DK25" s="208">
        <f t="shared" si="37"/>
        <v>0</v>
      </c>
      <c r="DN25" s="208">
        <f t="shared" si="38"/>
        <v>0</v>
      </c>
      <c r="DQ25" s="208">
        <f t="shared" si="39"/>
        <v>0</v>
      </c>
      <c r="DT25" s="208">
        <f t="shared" si="40"/>
        <v>0</v>
      </c>
      <c r="DW25" s="208">
        <f t="shared" si="41"/>
        <v>0</v>
      </c>
      <c r="DZ25" s="208"/>
      <c r="EA25" s="208"/>
      <c r="EB25" s="228">
        <f t="shared" si="42"/>
        <v>254450000</v>
      </c>
      <c r="EC25" s="228">
        <f t="shared" si="43"/>
        <v>0</v>
      </c>
      <c r="ED25" s="208">
        <f t="shared" si="44"/>
        <v>31735.569444444445</v>
      </c>
      <c r="EE25" s="209">
        <f t="shared" si="45"/>
        <v>4.4900000000000002E-2</v>
      </c>
      <c r="EG25" s="228">
        <f t="shared" si="46"/>
        <v>0</v>
      </c>
      <c r="EH25" s="208">
        <f t="shared" si="47"/>
        <v>0</v>
      </c>
      <c r="EI25" s="209">
        <f t="shared" si="48"/>
        <v>0</v>
      </c>
      <c r="EJ25" s="209"/>
      <c r="EK25" s="228">
        <f t="shared" si="49"/>
        <v>254450000</v>
      </c>
      <c r="EL25" s="228">
        <f t="shared" si="50"/>
        <v>0</v>
      </c>
      <c r="EM25" s="228">
        <f t="shared" si="51"/>
        <v>31735.569444444445</v>
      </c>
      <c r="EN25" s="209">
        <f t="shared" si="52"/>
        <v>4.4900000000000002E-2</v>
      </c>
      <c r="EP25" s="208"/>
    </row>
    <row r="26" spans="1:146" x14ac:dyDescent="0.25">
      <c r="A26" s="222">
        <f t="shared" si="53"/>
        <v>45916</v>
      </c>
      <c r="B26" s="208">
        <v>0</v>
      </c>
      <c r="C26" s="209">
        <v>4.4924939999999997E-2</v>
      </c>
      <c r="D26" s="208">
        <f t="shared" si="1"/>
        <v>0</v>
      </c>
      <c r="G26" s="208">
        <f t="shared" si="2"/>
        <v>0</v>
      </c>
      <c r="J26" s="208">
        <f t="shared" si="3"/>
        <v>0</v>
      </c>
      <c r="M26" s="208">
        <f t="shared" si="4"/>
        <v>0</v>
      </c>
      <c r="P26" s="208">
        <f t="shared" si="5"/>
        <v>0</v>
      </c>
      <c r="S26" s="208">
        <f t="shared" si="6"/>
        <v>0</v>
      </c>
      <c r="V26" s="208">
        <f t="shared" si="7"/>
        <v>0</v>
      </c>
      <c r="Y26" s="208">
        <f t="shared" si="8"/>
        <v>0</v>
      </c>
      <c r="AB26" s="208">
        <f t="shared" si="9"/>
        <v>0</v>
      </c>
      <c r="AE26" s="208">
        <v>0</v>
      </c>
      <c r="AH26" s="208">
        <v>0</v>
      </c>
      <c r="AI26" s="223">
        <f>42500000+97500000+91100000</f>
        <v>231100000</v>
      </c>
      <c r="AJ26" s="224">
        <v>4.4900000000000002E-2</v>
      </c>
      <c r="AK26" s="208">
        <f t="shared" si="10"/>
        <v>28823.305555555555</v>
      </c>
      <c r="AL26" s="223"/>
      <c r="AM26" s="224"/>
      <c r="AN26" s="208">
        <f t="shared" si="11"/>
        <v>0</v>
      </c>
      <c r="AO26" s="223"/>
      <c r="AP26" s="224"/>
      <c r="AQ26" s="208">
        <f t="shared" si="12"/>
        <v>0</v>
      </c>
      <c r="AR26" s="223"/>
      <c r="AS26" s="224"/>
      <c r="AT26" s="208">
        <f t="shared" si="14"/>
        <v>0</v>
      </c>
      <c r="AW26" s="208">
        <f t="shared" si="15"/>
        <v>0</v>
      </c>
      <c r="AZ26" s="208">
        <f t="shared" si="16"/>
        <v>0</v>
      </c>
      <c r="BC26" s="208">
        <f t="shared" si="17"/>
        <v>0</v>
      </c>
      <c r="BF26" s="208">
        <f t="shared" si="18"/>
        <v>0</v>
      </c>
      <c r="BI26" s="208">
        <f t="shared" si="19"/>
        <v>0</v>
      </c>
      <c r="BL26" s="208">
        <f t="shared" si="20"/>
        <v>0</v>
      </c>
      <c r="BO26" s="208">
        <f t="shared" si="21"/>
        <v>0</v>
      </c>
      <c r="BR26" s="208">
        <f t="shared" si="22"/>
        <v>0</v>
      </c>
      <c r="BU26" s="208">
        <f t="shared" si="23"/>
        <v>0</v>
      </c>
      <c r="BX26" s="208">
        <f t="shared" si="24"/>
        <v>0</v>
      </c>
      <c r="CA26" s="208">
        <f t="shared" si="25"/>
        <v>0</v>
      </c>
      <c r="CD26" s="208">
        <f t="shared" si="26"/>
        <v>0</v>
      </c>
      <c r="CG26" s="208">
        <f t="shared" si="27"/>
        <v>0</v>
      </c>
      <c r="CJ26" s="208">
        <f t="shared" si="28"/>
        <v>0</v>
      </c>
      <c r="CM26" s="208">
        <f t="shared" si="29"/>
        <v>0</v>
      </c>
      <c r="CP26" s="208">
        <f t="shared" si="30"/>
        <v>0</v>
      </c>
      <c r="CS26" s="208">
        <f t="shared" si="31"/>
        <v>0</v>
      </c>
      <c r="CV26" s="208">
        <f t="shared" si="32"/>
        <v>0</v>
      </c>
      <c r="CY26" s="208">
        <f t="shared" si="33"/>
        <v>0</v>
      </c>
      <c r="DB26" s="208">
        <f t="shared" si="34"/>
        <v>0</v>
      </c>
      <c r="DE26" s="208">
        <f t="shared" si="35"/>
        <v>0</v>
      </c>
      <c r="DH26" s="208">
        <f t="shared" si="36"/>
        <v>0</v>
      </c>
      <c r="DK26" s="208">
        <f t="shared" si="37"/>
        <v>0</v>
      </c>
      <c r="DN26" s="208">
        <f t="shared" si="38"/>
        <v>0</v>
      </c>
      <c r="DQ26" s="208">
        <f t="shared" si="39"/>
        <v>0</v>
      </c>
      <c r="DT26" s="208">
        <f t="shared" si="40"/>
        <v>0</v>
      </c>
      <c r="DW26" s="208">
        <f t="shared" si="41"/>
        <v>0</v>
      </c>
      <c r="DZ26" s="208"/>
      <c r="EA26" s="208"/>
      <c r="EB26" s="228">
        <f t="shared" si="42"/>
        <v>231100000</v>
      </c>
      <c r="EC26" s="228">
        <f t="shared" si="43"/>
        <v>0</v>
      </c>
      <c r="ED26" s="208">
        <f t="shared" si="44"/>
        <v>28823.305555555555</v>
      </c>
      <c r="EE26" s="209">
        <f t="shared" si="45"/>
        <v>4.4900000000000002E-2</v>
      </c>
      <c r="EG26" s="228">
        <f t="shared" si="46"/>
        <v>0</v>
      </c>
      <c r="EH26" s="208">
        <f t="shared" si="47"/>
        <v>0</v>
      </c>
      <c r="EI26" s="209">
        <f t="shared" si="48"/>
        <v>0</v>
      </c>
      <c r="EJ26" s="209"/>
      <c r="EK26" s="228">
        <f t="shared" si="49"/>
        <v>231100000</v>
      </c>
      <c r="EL26" s="228">
        <f t="shared" si="50"/>
        <v>0</v>
      </c>
      <c r="EM26" s="228">
        <f t="shared" si="51"/>
        <v>28823.305555555555</v>
      </c>
      <c r="EN26" s="209">
        <f t="shared" si="52"/>
        <v>4.4900000000000002E-2</v>
      </c>
      <c r="EP26" s="208"/>
    </row>
    <row r="27" spans="1:146" x14ac:dyDescent="0.25">
      <c r="A27" s="222">
        <f t="shared" si="53"/>
        <v>45917</v>
      </c>
      <c r="B27" s="208">
        <v>0</v>
      </c>
      <c r="C27" s="209">
        <v>4.4900000000000002E-2</v>
      </c>
      <c r="D27" s="208">
        <f t="shared" si="1"/>
        <v>0</v>
      </c>
      <c r="G27" s="208">
        <f t="shared" si="2"/>
        <v>0</v>
      </c>
      <c r="J27" s="208">
        <f t="shared" si="3"/>
        <v>0</v>
      </c>
      <c r="M27" s="208">
        <f t="shared" si="4"/>
        <v>0</v>
      </c>
      <c r="P27" s="208">
        <f t="shared" si="5"/>
        <v>0</v>
      </c>
      <c r="S27" s="208">
        <f t="shared" si="6"/>
        <v>0</v>
      </c>
      <c r="V27" s="208">
        <f t="shared" si="7"/>
        <v>0</v>
      </c>
      <c r="Y27" s="208">
        <f t="shared" si="8"/>
        <v>0</v>
      </c>
      <c r="AB27" s="208">
        <f t="shared" si="9"/>
        <v>0</v>
      </c>
      <c r="AE27" s="208">
        <v>0</v>
      </c>
      <c r="AH27" s="208">
        <v>0</v>
      </c>
      <c r="AI27" s="223">
        <f>140000000+65250000</f>
        <v>205250000</v>
      </c>
      <c r="AJ27" s="224">
        <v>4.4900000000000002E-2</v>
      </c>
      <c r="AK27" s="208">
        <f t="shared" si="10"/>
        <v>25599.236111111109</v>
      </c>
      <c r="AL27" s="223"/>
      <c r="AM27" s="224"/>
      <c r="AN27" s="208">
        <f t="shared" si="11"/>
        <v>0</v>
      </c>
      <c r="AO27" s="223"/>
      <c r="AP27" s="224"/>
      <c r="AQ27" s="208">
        <f t="shared" si="12"/>
        <v>0</v>
      </c>
      <c r="AR27" s="223"/>
      <c r="AS27" s="224"/>
      <c r="AT27" s="208">
        <f t="shared" si="14"/>
        <v>0</v>
      </c>
      <c r="AW27" s="208">
        <f t="shared" si="15"/>
        <v>0</v>
      </c>
      <c r="AZ27" s="208">
        <f t="shared" si="16"/>
        <v>0</v>
      </c>
      <c r="BC27" s="208">
        <f t="shared" si="17"/>
        <v>0</v>
      </c>
      <c r="BF27" s="208">
        <f t="shared" si="18"/>
        <v>0</v>
      </c>
      <c r="BI27" s="208">
        <f t="shared" si="19"/>
        <v>0</v>
      </c>
      <c r="BL27" s="208">
        <f t="shared" si="20"/>
        <v>0</v>
      </c>
      <c r="BO27" s="208">
        <f t="shared" si="21"/>
        <v>0</v>
      </c>
      <c r="BR27" s="208">
        <f t="shared" si="22"/>
        <v>0</v>
      </c>
      <c r="BU27" s="208">
        <f t="shared" si="23"/>
        <v>0</v>
      </c>
      <c r="BX27" s="208">
        <f t="shared" si="24"/>
        <v>0</v>
      </c>
      <c r="CA27" s="208">
        <f t="shared" si="25"/>
        <v>0</v>
      </c>
      <c r="CD27" s="208">
        <f t="shared" si="26"/>
        <v>0</v>
      </c>
      <c r="CG27" s="208">
        <f t="shared" si="27"/>
        <v>0</v>
      </c>
      <c r="CJ27" s="208">
        <f t="shared" si="28"/>
        <v>0</v>
      </c>
      <c r="CM27" s="208">
        <f t="shared" si="29"/>
        <v>0</v>
      </c>
      <c r="CP27" s="208">
        <f t="shared" si="30"/>
        <v>0</v>
      </c>
      <c r="CS27" s="208">
        <f t="shared" si="31"/>
        <v>0</v>
      </c>
      <c r="CV27" s="208">
        <f t="shared" si="32"/>
        <v>0</v>
      </c>
      <c r="CY27" s="208">
        <f t="shared" si="33"/>
        <v>0</v>
      </c>
      <c r="DB27" s="208">
        <f t="shared" si="34"/>
        <v>0</v>
      </c>
      <c r="DE27" s="208">
        <f t="shared" si="35"/>
        <v>0</v>
      </c>
      <c r="DH27" s="208">
        <f t="shared" si="36"/>
        <v>0</v>
      </c>
      <c r="DK27" s="208">
        <f t="shared" si="37"/>
        <v>0</v>
      </c>
      <c r="DN27" s="208">
        <f t="shared" si="38"/>
        <v>0</v>
      </c>
      <c r="DQ27" s="208">
        <f t="shared" si="39"/>
        <v>0</v>
      </c>
      <c r="DT27" s="208">
        <f t="shared" si="40"/>
        <v>0</v>
      </c>
      <c r="DW27" s="208">
        <f t="shared" si="41"/>
        <v>0</v>
      </c>
      <c r="DZ27" s="208"/>
      <c r="EA27" s="208"/>
      <c r="EB27" s="228">
        <f t="shared" si="42"/>
        <v>205250000</v>
      </c>
      <c r="EC27" s="228">
        <f t="shared" si="43"/>
        <v>0</v>
      </c>
      <c r="ED27" s="208">
        <f t="shared" si="44"/>
        <v>25599.236111111109</v>
      </c>
      <c r="EE27" s="209">
        <f t="shared" si="45"/>
        <v>4.4900000000000002E-2</v>
      </c>
      <c r="EG27" s="228">
        <f t="shared" si="46"/>
        <v>0</v>
      </c>
      <c r="EH27" s="208">
        <f t="shared" si="47"/>
        <v>0</v>
      </c>
      <c r="EI27" s="209">
        <f t="shared" si="48"/>
        <v>0</v>
      </c>
      <c r="EJ27" s="209"/>
      <c r="EK27" s="228">
        <f t="shared" si="49"/>
        <v>205250000</v>
      </c>
      <c r="EL27" s="228">
        <f t="shared" si="50"/>
        <v>0</v>
      </c>
      <c r="EM27" s="228">
        <f t="shared" si="51"/>
        <v>25599.236111111109</v>
      </c>
      <c r="EN27" s="209">
        <f t="shared" si="52"/>
        <v>4.4900000000000002E-2</v>
      </c>
      <c r="EP27" s="208"/>
    </row>
    <row r="28" spans="1:146" x14ac:dyDescent="0.25">
      <c r="A28" s="222">
        <f t="shared" si="53"/>
        <v>45918</v>
      </c>
      <c r="B28" s="208">
        <v>0</v>
      </c>
      <c r="C28" s="209">
        <v>4.2631949999999995E-2</v>
      </c>
      <c r="D28" s="208">
        <f t="shared" si="1"/>
        <v>0</v>
      </c>
      <c r="G28" s="208">
        <f t="shared" si="2"/>
        <v>0</v>
      </c>
      <c r="J28" s="208">
        <f t="shared" si="3"/>
        <v>0</v>
      </c>
      <c r="M28" s="208">
        <f t="shared" si="4"/>
        <v>0</v>
      </c>
      <c r="P28" s="208">
        <f t="shared" si="5"/>
        <v>0</v>
      </c>
      <c r="S28" s="208">
        <f t="shared" si="6"/>
        <v>0</v>
      </c>
      <c r="V28" s="208">
        <f t="shared" si="7"/>
        <v>0</v>
      </c>
      <c r="Y28" s="208">
        <f t="shared" si="8"/>
        <v>0</v>
      </c>
      <c r="AB28" s="208">
        <f t="shared" si="9"/>
        <v>0</v>
      </c>
      <c r="AE28" s="208">
        <v>0</v>
      </c>
      <c r="AH28" s="208">
        <v>0</v>
      </c>
      <c r="AI28" s="223">
        <f>150000000+41750000</f>
        <v>191750000</v>
      </c>
      <c r="AJ28" s="224">
        <v>4.2500000000000003E-2</v>
      </c>
      <c r="AK28" s="208">
        <f t="shared" si="10"/>
        <v>22637.152777777781</v>
      </c>
      <c r="AL28" s="223"/>
      <c r="AM28" s="224"/>
      <c r="AN28" s="208">
        <f t="shared" si="11"/>
        <v>0</v>
      </c>
      <c r="AO28" s="223"/>
      <c r="AP28" s="224"/>
      <c r="AQ28" s="208">
        <f t="shared" si="12"/>
        <v>0</v>
      </c>
      <c r="AR28" s="223"/>
      <c r="AS28" s="224"/>
      <c r="AT28" s="208">
        <f t="shared" si="14"/>
        <v>0</v>
      </c>
      <c r="AW28" s="208">
        <f t="shared" si="15"/>
        <v>0</v>
      </c>
      <c r="AZ28" s="208">
        <f t="shared" si="16"/>
        <v>0</v>
      </c>
      <c r="BC28" s="208">
        <f t="shared" si="17"/>
        <v>0</v>
      </c>
      <c r="BF28" s="208">
        <f t="shared" si="18"/>
        <v>0</v>
      </c>
      <c r="BI28" s="208">
        <f t="shared" si="19"/>
        <v>0</v>
      </c>
      <c r="BL28" s="208">
        <f t="shared" si="20"/>
        <v>0</v>
      </c>
      <c r="BO28" s="208">
        <f t="shared" si="21"/>
        <v>0</v>
      </c>
      <c r="BR28" s="208">
        <f t="shared" si="22"/>
        <v>0</v>
      </c>
      <c r="BU28" s="208">
        <f t="shared" si="23"/>
        <v>0</v>
      </c>
      <c r="BX28" s="208">
        <f t="shared" si="24"/>
        <v>0</v>
      </c>
      <c r="CA28" s="208">
        <f t="shared" si="25"/>
        <v>0</v>
      </c>
      <c r="CD28" s="208">
        <f t="shared" si="26"/>
        <v>0</v>
      </c>
      <c r="CG28" s="208">
        <f t="shared" si="27"/>
        <v>0</v>
      </c>
      <c r="CJ28" s="208">
        <f t="shared" si="28"/>
        <v>0</v>
      </c>
      <c r="CM28" s="208">
        <f t="shared" si="29"/>
        <v>0</v>
      </c>
      <c r="CP28" s="208">
        <f t="shared" si="30"/>
        <v>0</v>
      </c>
      <c r="CS28" s="208">
        <f t="shared" si="31"/>
        <v>0</v>
      </c>
      <c r="CV28" s="208">
        <f t="shared" si="32"/>
        <v>0</v>
      </c>
      <c r="CY28" s="208">
        <f t="shared" si="33"/>
        <v>0</v>
      </c>
      <c r="DB28" s="208">
        <f t="shared" si="34"/>
        <v>0</v>
      </c>
      <c r="DE28" s="208">
        <f t="shared" si="35"/>
        <v>0</v>
      </c>
      <c r="DH28" s="208">
        <f t="shared" si="36"/>
        <v>0</v>
      </c>
      <c r="DK28" s="208">
        <f t="shared" si="37"/>
        <v>0</v>
      </c>
      <c r="DN28" s="208">
        <f t="shared" si="38"/>
        <v>0</v>
      </c>
      <c r="DQ28" s="208">
        <f t="shared" si="39"/>
        <v>0</v>
      </c>
      <c r="DT28" s="208">
        <f t="shared" si="40"/>
        <v>0</v>
      </c>
      <c r="DW28" s="208">
        <f t="shared" si="41"/>
        <v>0</v>
      </c>
      <c r="DZ28" s="208"/>
      <c r="EA28" s="208"/>
      <c r="EB28" s="228">
        <f t="shared" si="42"/>
        <v>191750000</v>
      </c>
      <c r="EC28" s="228">
        <f t="shared" si="43"/>
        <v>0</v>
      </c>
      <c r="ED28" s="208">
        <f t="shared" si="44"/>
        <v>22637.152777777781</v>
      </c>
      <c r="EE28" s="209">
        <f t="shared" si="45"/>
        <v>4.2500000000000003E-2</v>
      </c>
      <c r="EG28" s="228">
        <f t="shared" si="46"/>
        <v>0</v>
      </c>
      <c r="EH28" s="208">
        <f t="shared" si="47"/>
        <v>0</v>
      </c>
      <c r="EI28" s="209">
        <f t="shared" si="48"/>
        <v>0</v>
      </c>
      <c r="EJ28" s="209"/>
      <c r="EK28" s="228">
        <f t="shared" si="49"/>
        <v>191750000</v>
      </c>
      <c r="EL28" s="228">
        <f t="shared" si="50"/>
        <v>0</v>
      </c>
      <c r="EM28" s="228">
        <f t="shared" si="51"/>
        <v>22637.152777777781</v>
      </c>
      <c r="EN28" s="209">
        <f t="shared" si="52"/>
        <v>4.2500000000000003E-2</v>
      </c>
      <c r="EP28" s="208"/>
    </row>
    <row r="29" spans="1:146" x14ac:dyDescent="0.25">
      <c r="A29" s="222">
        <f t="shared" si="53"/>
        <v>45919</v>
      </c>
      <c r="B29" s="208">
        <v>0</v>
      </c>
      <c r="C29" s="209">
        <v>4.2670519999999997E-2</v>
      </c>
      <c r="D29" s="208">
        <f t="shared" si="1"/>
        <v>0</v>
      </c>
      <c r="G29" s="208">
        <f t="shared" si="2"/>
        <v>0</v>
      </c>
      <c r="J29" s="208">
        <f t="shared" si="3"/>
        <v>0</v>
      </c>
      <c r="M29" s="208">
        <f t="shared" si="4"/>
        <v>0</v>
      </c>
      <c r="P29" s="208">
        <f t="shared" si="5"/>
        <v>0</v>
      </c>
      <c r="S29" s="208">
        <f t="shared" si="6"/>
        <v>0</v>
      </c>
      <c r="V29" s="208">
        <f t="shared" si="7"/>
        <v>0</v>
      </c>
      <c r="Y29" s="208">
        <f t="shared" si="8"/>
        <v>0</v>
      </c>
      <c r="AB29" s="208">
        <f t="shared" si="9"/>
        <v>0</v>
      </c>
      <c r="AE29" s="208">
        <v>0</v>
      </c>
      <c r="AH29" s="208">
        <v>0</v>
      </c>
      <c r="AI29" s="223">
        <f>40000000+110000000+39950000</f>
        <v>189950000</v>
      </c>
      <c r="AJ29" s="224">
        <v>4.2500000000000003E-2</v>
      </c>
      <c r="AK29" s="208">
        <f t="shared" si="10"/>
        <v>22424.652777777781</v>
      </c>
      <c r="AL29" s="223"/>
      <c r="AM29" s="224"/>
      <c r="AN29" s="208">
        <f t="shared" si="11"/>
        <v>0</v>
      </c>
      <c r="AO29" s="223"/>
      <c r="AP29" s="224"/>
      <c r="AQ29" s="208">
        <f t="shared" si="12"/>
        <v>0</v>
      </c>
      <c r="AR29" s="223"/>
      <c r="AS29" s="224"/>
      <c r="AT29" s="208">
        <f t="shared" si="14"/>
        <v>0</v>
      </c>
      <c r="AW29" s="208">
        <f t="shared" si="15"/>
        <v>0</v>
      </c>
      <c r="AZ29" s="208">
        <f t="shared" si="16"/>
        <v>0</v>
      </c>
      <c r="BC29" s="208">
        <f t="shared" si="17"/>
        <v>0</v>
      </c>
      <c r="BF29" s="208">
        <f t="shared" si="18"/>
        <v>0</v>
      </c>
      <c r="BI29" s="208">
        <f t="shared" si="19"/>
        <v>0</v>
      </c>
      <c r="BL29" s="208">
        <f t="shared" si="20"/>
        <v>0</v>
      </c>
      <c r="BO29" s="208">
        <f t="shared" si="21"/>
        <v>0</v>
      </c>
      <c r="BR29" s="208">
        <f t="shared" si="22"/>
        <v>0</v>
      </c>
      <c r="BU29" s="208">
        <f t="shared" si="23"/>
        <v>0</v>
      </c>
      <c r="BX29" s="208">
        <f t="shared" si="24"/>
        <v>0</v>
      </c>
      <c r="CA29" s="208">
        <f t="shared" si="25"/>
        <v>0</v>
      </c>
      <c r="CD29" s="208">
        <f t="shared" si="26"/>
        <v>0</v>
      </c>
      <c r="CG29" s="208">
        <f t="shared" si="27"/>
        <v>0</v>
      </c>
      <c r="CJ29" s="208">
        <f t="shared" si="28"/>
        <v>0</v>
      </c>
      <c r="CM29" s="208">
        <f t="shared" si="29"/>
        <v>0</v>
      </c>
      <c r="CP29" s="208">
        <f t="shared" si="30"/>
        <v>0</v>
      </c>
      <c r="CS29" s="208">
        <f t="shared" si="31"/>
        <v>0</v>
      </c>
      <c r="CV29" s="208">
        <f t="shared" si="32"/>
        <v>0</v>
      </c>
      <c r="CY29" s="208">
        <f t="shared" si="33"/>
        <v>0</v>
      </c>
      <c r="DB29" s="208">
        <f t="shared" si="34"/>
        <v>0</v>
      </c>
      <c r="DE29" s="208">
        <f t="shared" si="35"/>
        <v>0</v>
      </c>
      <c r="DH29" s="208">
        <f t="shared" si="36"/>
        <v>0</v>
      </c>
      <c r="DK29" s="208">
        <f t="shared" si="37"/>
        <v>0</v>
      </c>
      <c r="DN29" s="208">
        <f t="shared" si="38"/>
        <v>0</v>
      </c>
      <c r="DQ29" s="208">
        <f t="shared" si="39"/>
        <v>0</v>
      </c>
      <c r="DT29" s="208">
        <f t="shared" si="40"/>
        <v>0</v>
      </c>
      <c r="DW29" s="208">
        <f t="shared" si="41"/>
        <v>0</v>
      </c>
      <c r="DZ29" s="208"/>
      <c r="EA29" s="208"/>
      <c r="EB29" s="228">
        <f t="shared" si="42"/>
        <v>189950000</v>
      </c>
      <c r="EC29" s="228">
        <f t="shared" si="43"/>
        <v>0</v>
      </c>
      <c r="ED29" s="208">
        <f t="shared" si="44"/>
        <v>22424.652777777781</v>
      </c>
      <c r="EE29" s="209">
        <f t="shared" si="45"/>
        <v>4.2500000000000003E-2</v>
      </c>
      <c r="EG29" s="228">
        <f t="shared" si="46"/>
        <v>0</v>
      </c>
      <c r="EH29" s="208">
        <f t="shared" si="47"/>
        <v>0</v>
      </c>
      <c r="EI29" s="209">
        <f t="shared" si="48"/>
        <v>0</v>
      </c>
      <c r="EJ29" s="209"/>
      <c r="EK29" s="228">
        <f t="shared" si="49"/>
        <v>189950000</v>
      </c>
      <c r="EL29" s="228">
        <f t="shared" si="50"/>
        <v>0</v>
      </c>
      <c r="EM29" s="228">
        <f t="shared" si="51"/>
        <v>22424.652777777781</v>
      </c>
      <c r="EN29" s="209">
        <f t="shared" si="52"/>
        <v>4.2500000000000003E-2</v>
      </c>
      <c r="EP29" s="208"/>
    </row>
    <row r="30" spans="1:146" x14ac:dyDescent="0.25">
      <c r="A30" s="222">
        <f t="shared" si="53"/>
        <v>45920</v>
      </c>
      <c r="B30" s="208">
        <v>0</v>
      </c>
      <c r="C30" s="209">
        <v>4.2670519999999997E-2</v>
      </c>
      <c r="D30" s="208">
        <f t="shared" si="1"/>
        <v>0</v>
      </c>
      <c r="G30" s="208">
        <f t="shared" si="2"/>
        <v>0</v>
      </c>
      <c r="J30" s="208">
        <f t="shared" si="3"/>
        <v>0</v>
      </c>
      <c r="M30" s="208">
        <f t="shared" si="4"/>
        <v>0</v>
      </c>
      <c r="P30" s="208">
        <f t="shared" si="5"/>
        <v>0</v>
      </c>
      <c r="S30" s="208">
        <f t="shared" si="6"/>
        <v>0</v>
      </c>
      <c r="V30" s="208">
        <f t="shared" si="7"/>
        <v>0</v>
      </c>
      <c r="Y30" s="208">
        <f t="shared" si="8"/>
        <v>0</v>
      </c>
      <c r="AB30" s="208">
        <f t="shared" si="9"/>
        <v>0</v>
      </c>
      <c r="AE30" s="208">
        <v>0</v>
      </c>
      <c r="AH30" s="208">
        <v>0</v>
      </c>
      <c r="AI30" s="223">
        <f>40000000+110000000+39950000</f>
        <v>189950000</v>
      </c>
      <c r="AJ30" s="224">
        <v>4.2500000000000003E-2</v>
      </c>
      <c r="AK30" s="208">
        <f t="shared" si="10"/>
        <v>22424.652777777781</v>
      </c>
      <c r="AL30" s="223"/>
      <c r="AM30" s="224"/>
      <c r="AN30" s="208">
        <f t="shared" si="11"/>
        <v>0</v>
      </c>
      <c r="AO30" s="223"/>
      <c r="AP30" s="224"/>
      <c r="AQ30" s="208">
        <f t="shared" si="12"/>
        <v>0</v>
      </c>
      <c r="AR30" s="223"/>
      <c r="AS30" s="224"/>
      <c r="AT30" s="208">
        <f t="shared" si="14"/>
        <v>0</v>
      </c>
      <c r="AW30" s="208">
        <f t="shared" si="15"/>
        <v>0</v>
      </c>
      <c r="AZ30" s="208">
        <f t="shared" si="16"/>
        <v>0</v>
      </c>
      <c r="BC30" s="208">
        <f t="shared" si="17"/>
        <v>0</v>
      </c>
      <c r="BF30" s="208">
        <f t="shared" si="18"/>
        <v>0</v>
      </c>
      <c r="BI30" s="208">
        <f t="shared" si="19"/>
        <v>0</v>
      </c>
      <c r="BL30" s="208">
        <f t="shared" si="20"/>
        <v>0</v>
      </c>
      <c r="BO30" s="208">
        <f t="shared" si="21"/>
        <v>0</v>
      </c>
      <c r="BR30" s="208">
        <f t="shared" si="22"/>
        <v>0</v>
      </c>
      <c r="BU30" s="208">
        <f t="shared" si="23"/>
        <v>0</v>
      </c>
      <c r="BX30" s="208">
        <f t="shared" si="24"/>
        <v>0</v>
      </c>
      <c r="CA30" s="208">
        <f t="shared" si="25"/>
        <v>0</v>
      </c>
      <c r="CD30" s="208">
        <f t="shared" si="26"/>
        <v>0</v>
      </c>
      <c r="CG30" s="208">
        <f t="shared" si="27"/>
        <v>0</v>
      </c>
      <c r="CJ30" s="208">
        <f t="shared" si="28"/>
        <v>0</v>
      </c>
      <c r="CM30" s="208">
        <f t="shared" si="29"/>
        <v>0</v>
      </c>
      <c r="CP30" s="208">
        <f t="shared" si="30"/>
        <v>0</v>
      </c>
      <c r="CS30" s="208">
        <f t="shared" si="31"/>
        <v>0</v>
      </c>
      <c r="CV30" s="208">
        <f t="shared" si="32"/>
        <v>0</v>
      </c>
      <c r="CY30" s="208">
        <f t="shared" si="33"/>
        <v>0</v>
      </c>
      <c r="DB30" s="208">
        <f t="shared" si="34"/>
        <v>0</v>
      </c>
      <c r="DE30" s="208">
        <f t="shared" si="35"/>
        <v>0</v>
      </c>
      <c r="DH30" s="208">
        <f t="shared" si="36"/>
        <v>0</v>
      </c>
      <c r="DK30" s="208">
        <f t="shared" si="37"/>
        <v>0</v>
      </c>
      <c r="DN30" s="208">
        <f t="shared" si="38"/>
        <v>0</v>
      </c>
      <c r="DQ30" s="208">
        <f t="shared" si="39"/>
        <v>0</v>
      </c>
      <c r="DT30" s="208">
        <f t="shared" si="40"/>
        <v>0</v>
      </c>
      <c r="DW30" s="208">
        <f t="shared" si="41"/>
        <v>0</v>
      </c>
      <c r="DZ30" s="208"/>
      <c r="EA30" s="208"/>
      <c r="EB30" s="228">
        <f t="shared" si="42"/>
        <v>189950000</v>
      </c>
      <c r="EC30" s="228">
        <f t="shared" si="43"/>
        <v>0</v>
      </c>
      <c r="ED30" s="208">
        <f t="shared" si="44"/>
        <v>22424.652777777781</v>
      </c>
      <c r="EE30" s="209">
        <f t="shared" si="45"/>
        <v>4.2500000000000003E-2</v>
      </c>
      <c r="EG30" s="228">
        <f t="shared" si="46"/>
        <v>0</v>
      </c>
      <c r="EH30" s="208">
        <f t="shared" si="47"/>
        <v>0</v>
      </c>
      <c r="EI30" s="209">
        <f t="shared" si="48"/>
        <v>0</v>
      </c>
      <c r="EJ30" s="209"/>
      <c r="EK30" s="228">
        <f t="shared" si="49"/>
        <v>189950000</v>
      </c>
      <c r="EL30" s="228">
        <f t="shared" si="50"/>
        <v>0</v>
      </c>
      <c r="EM30" s="228">
        <f t="shared" si="51"/>
        <v>22424.652777777781</v>
      </c>
      <c r="EN30" s="209">
        <f t="shared" si="52"/>
        <v>4.2500000000000003E-2</v>
      </c>
      <c r="EP30" s="208"/>
    </row>
    <row r="31" spans="1:146" x14ac:dyDescent="0.25">
      <c r="A31" s="222">
        <f t="shared" si="53"/>
        <v>45921</v>
      </c>
      <c r="B31" s="208">
        <v>0</v>
      </c>
      <c r="C31" s="209">
        <v>4.2670519999999997E-2</v>
      </c>
      <c r="D31" s="208">
        <f t="shared" si="1"/>
        <v>0</v>
      </c>
      <c r="G31" s="208">
        <f t="shared" si="2"/>
        <v>0</v>
      </c>
      <c r="J31" s="208">
        <f t="shared" si="3"/>
        <v>0</v>
      </c>
      <c r="M31" s="208">
        <f t="shared" si="4"/>
        <v>0</v>
      </c>
      <c r="P31" s="208">
        <f t="shared" si="5"/>
        <v>0</v>
      </c>
      <c r="S31" s="208">
        <f t="shared" si="6"/>
        <v>0</v>
      </c>
      <c r="V31" s="208">
        <f t="shared" si="7"/>
        <v>0</v>
      </c>
      <c r="Y31" s="208">
        <f t="shared" si="8"/>
        <v>0</v>
      </c>
      <c r="AB31" s="208">
        <f t="shared" si="9"/>
        <v>0</v>
      </c>
      <c r="AE31" s="208">
        <v>0</v>
      </c>
      <c r="AH31" s="208">
        <v>0</v>
      </c>
      <c r="AI31" s="223">
        <f>40000000+110000000+39950000</f>
        <v>189950000</v>
      </c>
      <c r="AJ31" s="224">
        <v>4.2500000000000003E-2</v>
      </c>
      <c r="AK31" s="208">
        <f t="shared" si="10"/>
        <v>22424.652777777781</v>
      </c>
      <c r="AL31" s="223"/>
      <c r="AM31" s="224"/>
      <c r="AN31" s="208">
        <f t="shared" si="11"/>
        <v>0</v>
      </c>
      <c r="AO31" s="223"/>
      <c r="AP31" s="224"/>
      <c r="AQ31" s="208">
        <f t="shared" si="12"/>
        <v>0</v>
      </c>
      <c r="AR31" s="223"/>
      <c r="AS31" s="224"/>
      <c r="AT31" s="208">
        <f t="shared" si="14"/>
        <v>0</v>
      </c>
      <c r="AW31" s="208">
        <f t="shared" si="15"/>
        <v>0</v>
      </c>
      <c r="AZ31" s="208">
        <f t="shared" si="16"/>
        <v>0</v>
      </c>
      <c r="BC31" s="208">
        <f t="shared" si="17"/>
        <v>0</v>
      </c>
      <c r="BF31" s="208">
        <f t="shared" si="18"/>
        <v>0</v>
      </c>
      <c r="BI31" s="208">
        <f t="shared" si="19"/>
        <v>0</v>
      </c>
      <c r="BL31" s="208">
        <f t="shared" si="20"/>
        <v>0</v>
      </c>
      <c r="BO31" s="208">
        <f t="shared" si="21"/>
        <v>0</v>
      </c>
      <c r="BR31" s="208">
        <f t="shared" si="22"/>
        <v>0</v>
      </c>
      <c r="BU31" s="208">
        <f t="shared" si="23"/>
        <v>0</v>
      </c>
      <c r="BX31" s="208">
        <f t="shared" si="24"/>
        <v>0</v>
      </c>
      <c r="CA31" s="208">
        <f t="shared" si="25"/>
        <v>0</v>
      </c>
      <c r="CD31" s="208">
        <f t="shared" si="26"/>
        <v>0</v>
      </c>
      <c r="CG31" s="208">
        <f t="shared" si="27"/>
        <v>0</v>
      </c>
      <c r="CJ31" s="208">
        <f t="shared" si="28"/>
        <v>0</v>
      </c>
      <c r="CM31" s="208">
        <f t="shared" si="29"/>
        <v>0</v>
      </c>
      <c r="CP31" s="208">
        <f t="shared" si="30"/>
        <v>0</v>
      </c>
      <c r="CS31" s="208">
        <f t="shared" si="31"/>
        <v>0</v>
      </c>
      <c r="CV31" s="208">
        <f t="shared" si="32"/>
        <v>0</v>
      </c>
      <c r="CY31" s="208">
        <f t="shared" si="33"/>
        <v>0</v>
      </c>
      <c r="DB31" s="208">
        <f t="shared" si="34"/>
        <v>0</v>
      </c>
      <c r="DE31" s="208">
        <f t="shared" si="35"/>
        <v>0</v>
      </c>
      <c r="DH31" s="208">
        <f t="shared" si="36"/>
        <v>0</v>
      </c>
      <c r="DK31" s="208">
        <f t="shared" si="37"/>
        <v>0</v>
      </c>
      <c r="DN31" s="208">
        <f t="shared" si="38"/>
        <v>0</v>
      </c>
      <c r="DQ31" s="208">
        <f t="shared" si="39"/>
        <v>0</v>
      </c>
      <c r="DT31" s="208">
        <f t="shared" si="40"/>
        <v>0</v>
      </c>
      <c r="DW31" s="208">
        <f t="shared" si="41"/>
        <v>0</v>
      </c>
      <c r="DZ31" s="208"/>
      <c r="EA31" s="208"/>
      <c r="EB31" s="228">
        <f t="shared" si="42"/>
        <v>189950000</v>
      </c>
      <c r="EC31" s="228">
        <f t="shared" si="43"/>
        <v>0</v>
      </c>
      <c r="ED31" s="208">
        <f t="shared" si="44"/>
        <v>22424.652777777781</v>
      </c>
      <c r="EE31" s="209">
        <f t="shared" si="45"/>
        <v>4.2500000000000003E-2</v>
      </c>
      <c r="EG31" s="228">
        <f t="shared" si="46"/>
        <v>0</v>
      </c>
      <c r="EH31" s="208">
        <f t="shared" si="47"/>
        <v>0</v>
      </c>
      <c r="EI31" s="209">
        <f t="shared" si="48"/>
        <v>0</v>
      </c>
      <c r="EJ31" s="209"/>
      <c r="EK31" s="228">
        <f t="shared" si="49"/>
        <v>189950000</v>
      </c>
      <c r="EL31" s="228">
        <f t="shared" si="50"/>
        <v>0</v>
      </c>
      <c r="EM31" s="228">
        <f t="shared" si="51"/>
        <v>22424.652777777781</v>
      </c>
      <c r="EN31" s="209">
        <f t="shared" si="52"/>
        <v>4.2500000000000003E-2</v>
      </c>
      <c r="EP31" s="208"/>
    </row>
    <row r="32" spans="1:146" x14ac:dyDescent="0.25">
      <c r="A32" s="222">
        <f t="shared" si="53"/>
        <v>45922</v>
      </c>
      <c r="B32" s="208">
        <v>0</v>
      </c>
      <c r="C32" s="209">
        <v>4.2674839999999999E-2</v>
      </c>
      <c r="D32" s="208">
        <f t="shared" si="1"/>
        <v>0</v>
      </c>
      <c r="G32" s="208">
        <f t="shared" si="2"/>
        <v>0</v>
      </c>
      <c r="J32" s="208">
        <f t="shared" si="3"/>
        <v>0</v>
      </c>
      <c r="M32" s="208">
        <f t="shared" si="4"/>
        <v>0</v>
      </c>
      <c r="P32" s="208">
        <f t="shared" si="5"/>
        <v>0</v>
      </c>
      <c r="S32" s="208">
        <f t="shared" si="6"/>
        <v>0</v>
      </c>
      <c r="V32" s="208">
        <f t="shared" si="7"/>
        <v>0</v>
      </c>
      <c r="Y32" s="208">
        <f t="shared" si="8"/>
        <v>0</v>
      </c>
      <c r="AB32" s="208">
        <f t="shared" si="9"/>
        <v>0</v>
      </c>
      <c r="AE32" s="208">
        <v>0</v>
      </c>
      <c r="AH32" s="208">
        <v>0</v>
      </c>
      <c r="AI32" s="223">
        <f>40000000+85000000+56545000</f>
        <v>181545000</v>
      </c>
      <c r="AJ32" s="224">
        <v>4.2500000000000003E-2</v>
      </c>
      <c r="AK32" s="208">
        <f t="shared" si="10"/>
        <v>21432.395833333336</v>
      </c>
      <c r="AL32" s="223"/>
      <c r="AM32" s="224"/>
      <c r="AN32" s="208">
        <f t="shared" si="11"/>
        <v>0</v>
      </c>
      <c r="AO32" s="223"/>
      <c r="AP32" s="224"/>
      <c r="AQ32" s="208">
        <f t="shared" si="12"/>
        <v>0</v>
      </c>
      <c r="AR32" s="223"/>
      <c r="AS32" s="224"/>
      <c r="AT32" s="208">
        <f t="shared" si="14"/>
        <v>0</v>
      </c>
      <c r="AW32" s="208">
        <f t="shared" si="15"/>
        <v>0</v>
      </c>
      <c r="AZ32" s="208">
        <f t="shared" si="16"/>
        <v>0</v>
      </c>
      <c r="BC32" s="208">
        <f t="shared" si="17"/>
        <v>0</v>
      </c>
      <c r="BF32" s="208">
        <f t="shared" si="18"/>
        <v>0</v>
      </c>
      <c r="BI32" s="208">
        <f t="shared" si="19"/>
        <v>0</v>
      </c>
      <c r="BL32" s="208">
        <f t="shared" si="20"/>
        <v>0</v>
      </c>
      <c r="BO32" s="208">
        <f t="shared" si="21"/>
        <v>0</v>
      </c>
      <c r="BR32" s="208">
        <f t="shared" si="22"/>
        <v>0</v>
      </c>
      <c r="BU32" s="208">
        <f t="shared" si="23"/>
        <v>0</v>
      </c>
      <c r="BX32" s="208">
        <f t="shared" si="24"/>
        <v>0</v>
      </c>
      <c r="CA32" s="208">
        <f t="shared" si="25"/>
        <v>0</v>
      </c>
      <c r="CD32" s="208">
        <f t="shared" si="26"/>
        <v>0</v>
      </c>
      <c r="CG32" s="208">
        <f t="shared" si="27"/>
        <v>0</v>
      </c>
      <c r="CJ32" s="208">
        <f t="shared" si="28"/>
        <v>0</v>
      </c>
      <c r="CM32" s="208">
        <f t="shared" si="29"/>
        <v>0</v>
      </c>
      <c r="CP32" s="208">
        <f t="shared" si="30"/>
        <v>0</v>
      </c>
      <c r="CS32" s="208">
        <f t="shared" si="31"/>
        <v>0</v>
      </c>
      <c r="CV32" s="208">
        <f t="shared" si="32"/>
        <v>0</v>
      </c>
      <c r="CY32" s="208">
        <f t="shared" si="33"/>
        <v>0</v>
      </c>
      <c r="DB32" s="208">
        <f t="shared" si="34"/>
        <v>0</v>
      </c>
      <c r="DE32" s="208">
        <f t="shared" si="35"/>
        <v>0</v>
      </c>
      <c r="DH32" s="208">
        <f t="shared" si="36"/>
        <v>0</v>
      </c>
      <c r="DK32" s="208">
        <f t="shared" si="37"/>
        <v>0</v>
      </c>
      <c r="DN32" s="208">
        <f t="shared" si="38"/>
        <v>0</v>
      </c>
      <c r="DQ32" s="208">
        <f t="shared" si="39"/>
        <v>0</v>
      </c>
      <c r="DT32" s="208">
        <f t="shared" si="40"/>
        <v>0</v>
      </c>
      <c r="DW32" s="208">
        <f t="shared" si="41"/>
        <v>0</v>
      </c>
      <c r="DZ32" s="208"/>
      <c r="EA32" s="208"/>
      <c r="EB32" s="228">
        <f t="shared" si="42"/>
        <v>181545000</v>
      </c>
      <c r="EC32" s="228">
        <f t="shared" si="43"/>
        <v>0</v>
      </c>
      <c r="ED32" s="208">
        <f t="shared" si="44"/>
        <v>21432.395833333336</v>
      </c>
      <c r="EE32" s="209">
        <f t="shared" si="45"/>
        <v>4.2500000000000003E-2</v>
      </c>
      <c r="EG32" s="228">
        <f t="shared" si="46"/>
        <v>0</v>
      </c>
      <c r="EH32" s="208">
        <f t="shared" si="47"/>
        <v>0</v>
      </c>
      <c r="EI32" s="209">
        <f t="shared" si="48"/>
        <v>0</v>
      </c>
      <c r="EJ32" s="209"/>
      <c r="EK32" s="228">
        <f t="shared" si="49"/>
        <v>181545000</v>
      </c>
      <c r="EL32" s="228">
        <f t="shared" si="50"/>
        <v>0</v>
      </c>
      <c r="EM32" s="228">
        <f t="shared" si="51"/>
        <v>21432.395833333336</v>
      </c>
      <c r="EN32" s="209">
        <f t="shared" si="52"/>
        <v>4.2500000000000003E-2</v>
      </c>
      <c r="EP32" s="208"/>
    </row>
    <row r="33" spans="1:146" x14ac:dyDescent="0.25">
      <c r="A33" s="222">
        <f t="shared" si="53"/>
        <v>45923</v>
      </c>
      <c r="B33" s="208">
        <v>0</v>
      </c>
      <c r="C33" s="209">
        <v>4.2682310000000001E-2</v>
      </c>
      <c r="D33" s="208">
        <f t="shared" si="1"/>
        <v>0</v>
      </c>
      <c r="G33" s="208">
        <f t="shared" si="2"/>
        <v>0</v>
      </c>
      <c r="J33" s="208">
        <f t="shared" si="3"/>
        <v>0</v>
      </c>
      <c r="M33" s="208">
        <f t="shared" si="4"/>
        <v>0</v>
      </c>
      <c r="P33" s="208">
        <f t="shared" si="5"/>
        <v>0</v>
      </c>
      <c r="S33" s="208">
        <f t="shared" si="6"/>
        <v>0</v>
      </c>
      <c r="V33" s="208">
        <f t="shared" si="7"/>
        <v>0</v>
      </c>
      <c r="Y33" s="208">
        <f t="shared" si="8"/>
        <v>0</v>
      </c>
      <c r="AB33" s="208">
        <f t="shared" si="9"/>
        <v>0</v>
      </c>
      <c r="AE33" s="208">
        <v>0</v>
      </c>
      <c r="AH33" s="208">
        <v>0</v>
      </c>
      <c r="AI33" s="223">
        <f>48950000</f>
        <v>48950000</v>
      </c>
      <c r="AJ33" s="224">
        <v>4.2500000000000003E-2</v>
      </c>
      <c r="AK33" s="208">
        <f t="shared" si="10"/>
        <v>5778.8194444444453</v>
      </c>
      <c r="AL33" s="223">
        <f t="shared" ref="AL33:AL39" si="54">100000000+10000000</f>
        <v>110000000</v>
      </c>
      <c r="AM33" s="224">
        <v>4.2700000000000002E-2</v>
      </c>
      <c r="AN33" s="208">
        <f t="shared" si="11"/>
        <v>13047.222222222223</v>
      </c>
      <c r="AO33" s="223"/>
      <c r="AP33" s="224"/>
      <c r="AQ33" s="208">
        <f t="shared" si="12"/>
        <v>0</v>
      </c>
      <c r="AR33" s="223"/>
      <c r="AS33" s="224"/>
      <c r="AT33" s="208">
        <f t="shared" si="14"/>
        <v>0</v>
      </c>
      <c r="AW33" s="208">
        <f t="shared" si="15"/>
        <v>0</v>
      </c>
      <c r="AZ33" s="208">
        <f t="shared" si="16"/>
        <v>0</v>
      </c>
      <c r="BC33" s="208">
        <f t="shared" si="17"/>
        <v>0</v>
      </c>
      <c r="BF33" s="208">
        <f t="shared" si="18"/>
        <v>0</v>
      </c>
      <c r="BI33" s="208">
        <f t="shared" si="19"/>
        <v>0</v>
      </c>
      <c r="BL33" s="208">
        <f t="shared" si="20"/>
        <v>0</v>
      </c>
      <c r="BO33" s="208">
        <f t="shared" si="21"/>
        <v>0</v>
      </c>
      <c r="BR33" s="208">
        <f t="shared" si="22"/>
        <v>0</v>
      </c>
      <c r="BU33" s="208">
        <f t="shared" si="23"/>
        <v>0</v>
      </c>
      <c r="BX33" s="208">
        <f t="shared" si="24"/>
        <v>0</v>
      </c>
      <c r="CA33" s="208">
        <f t="shared" si="25"/>
        <v>0</v>
      </c>
      <c r="CD33" s="208">
        <f t="shared" si="26"/>
        <v>0</v>
      </c>
      <c r="CG33" s="208">
        <f t="shared" si="27"/>
        <v>0</v>
      </c>
      <c r="CJ33" s="208">
        <f t="shared" si="28"/>
        <v>0</v>
      </c>
      <c r="CM33" s="208">
        <f t="shared" si="29"/>
        <v>0</v>
      </c>
      <c r="CP33" s="208">
        <f t="shared" si="30"/>
        <v>0</v>
      </c>
      <c r="CS33" s="208">
        <f t="shared" si="31"/>
        <v>0</v>
      </c>
      <c r="CV33" s="208">
        <f t="shared" si="32"/>
        <v>0</v>
      </c>
      <c r="CY33" s="208">
        <f t="shared" si="33"/>
        <v>0</v>
      </c>
      <c r="DB33" s="208">
        <f t="shared" si="34"/>
        <v>0</v>
      </c>
      <c r="DE33" s="208">
        <f t="shared" si="35"/>
        <v>0</v>
      </c>
      <c r="DH33" s="208">
        <f t="shared" si="36"/>
        <v>0</v>
      </c>
      <c r="DK33" s="208">
        <f t="shared" si="37"/>
        <v>0</v>
      </c>
      <c r="DN33" s="208">
        <f t="shared" si="38"/>
        <v>0</v>
      </c>
      <c r="DQ33" s="208">
        <f t="shared" si="39"/>
        <v>0</v>
      </c>
      <c r="DT33" s="208">
        <f t="shared" si="40"/>
        <v>0</v>
      </c>
      <c r="DW33" s="208">
        <f t="shared" si="41"/>
        <v>0</v>
      </c>
      <c r="DZ33" s="208"/>
      <c r="EA33" s="208"/>
      <c r="EB33" s="228">
        <f t="shared" si="42"/>
        <v>158950000</v>
      </c>
      <c r="EC33" s="228">
        <f t="shared" si="43"/>
        <v>0</v>
      </c>
      <c r="ED33" s="208">
        <f t="shared" si="44"/>
        <v>18826.041666666668</v>
      </c>
      <c r="EE33" s="209">
        <f t="shared" si="45"/>
        <v>4.2638408304498276E-2</v>
      </c>
      <c r="EG33" s="228">
        <f t="shared" si="46"/>
        <v>0</v>
      </c>
      <c r="EH33" s="208">
        <f t="shared" si="47"/>
        <v>0</v>
      </c>
      <c r="EI33" s="209">
        <f t="shared" si="48"/>
        <v>0</v>
      </c>
      <c r="EJ33" s="209"/>
      <c r="EK33" s="228">
        <f t="shared" si="49"/>
        <v>158950000</v>
      </c>
      <c r="EL33" s="228">
        <f t="shared" si="50"/>
        <v>0</v>
      </c>
      <c r="EM33" s="228">
        <f t="shared" si="51"/>
        <v>18826.041666666668</v>
      </c>
      <c r="EN33" s="209">
        <f t="shared" si="52"/>
        <v>4.2638408304498276E-2</v>
      </c>
      <c r="EP33" s="208"/>
    </row>
    <row r="34" spans="1:146" x14ac:dyDescent="0.25">
      <c r="A34" s="222">
        <f t="shared" si="53"/>
        <v>45924</v>
      </c>
      <c r="B34" s="208">
        <v>0</v>
      </c>
      <c r="C34" s="209">
        <v>4.2671640000000004E-2</v>
      </c>
      <c r="D34" s="208">
        <f t="shared" si="1"/>
        <v>0</v>
      </c>
      <c r="G34" s="208">
        <f t="shared" si="2"/>
        <v>0</v>
      </c>
      <c r="J34" s="208">
        <f t="shared" si="3"/>
        <v>0</v>
      </c>
      <c r="M34" s="208">
        <f t="shared" si="4"/>
        <v>0</v>
      </c>
      <c r="P34" s="208">
        <f t="shared" si="5"/>
        <v>0</v>
      </c>
      <c r="S34" s="208">
        <f t="shared" si="6"/>
        <v>0</v>
      </c>
      <c r="V34" s="208">
        <f t="shared" si="7"/>
        <v>0</v>
      </c>
      <c r="Y34" s="208">
        <f t="shared" si="8"/>
        <v>0</v>
      </c>
      <c r="AB34" s="208">
        <f t="shared" si="9"/>
        <v>0</v>
      </c>
      <c r="AE34" s="208">
        <v>0</v>
      </c>
      <c r="AH34" s="208">
        <v>0</v>
      </c>
      <c r="AI34" s="223">
        <f>35200000</f>
        <v>35200000</v>
      </c>
      <c r="AJ34" s="224">
        <v>4.2500000000000003E-2</v>
      </c>
      <c r="AK34" s="208">
        <f t="shared" si="10"/>
        <v>4155.5555555555557</v>
      </c>
      <c r="AL34" s="223">
        <f t="shared" si="54"/>
        <v>110000000</v>
      </c>
      <c r="AM34" s="224">
        <v>4.2700000000000002E-2</v>
      </c>
      <c r="AN34" s="208">
        <f t="shared" si="11"/>
        <v>13047.222222222223</v>
      </c>
      <c r="AO34" s="223"/>
      <c r="AP34" s="224"/>
      <c r="AQ34" s="208">
        <f t="shared" si="12"/>
        <v>0</v>
      </c>
      <c r="AR34" s="223"/>
      <c r="AS34" s="224"/>
      <c r="AT34" s="208">
        <f t="shared" si="14"/>
        <v>0</v>
      </c>
      <c r="AW34" s="208">
        <f t="shared" si="15"/>
        <v>0</v>
      </c>
      <c r="AZ34" s="208">
        <f t="shared" si="16"/>
        <v>0</v>
      </c>
      <c r="BC34" s="208">
        <f t="shared" si="17"/>
        <v>0</v>
      </c>
      <c r="BF34" s="208">
        <f t="shared" si="18"/>
        <v>0</v>
      </c>
      <c r="BI34" s="208">
        <f t="shared" si="19"/>
        <v>0</v>
      </c>
      <c r="BL34" s="208">
        <f t="shared" si="20"/>
        <v>0</v>
      </c>
      <c r="BO34" s="208">
        <f t="shared" si="21"/>
        <v>0</v>
      </c>
      <c r="BR34" s="208">
        <f t="shared" si="22"/>
        <v>0</v>
      </c>
      <c r="BU34" s="208">
        <f t="shared" si="23"/>
        <v>0</v>
      </c>
      <c r="BX34" s="208">
        <f t="shared" si="24"/>
        <v>0</v>
      </c>
      <c r="CA34" s="208">
        <f t="shared" si="25"/>
        <v>0</v>
      </c>
      <c r="CD34" s="208">
        <f t="shared" si="26"/>
        <v>0</v>
      </c>
      <c r="CG34" s="208">
        <f t="shared" si="27"/>
        <v>0</v>
      </c>
      <c r="CJ34" s="208">
        <f t="shared" si="28"/>
        <v>0</v>
      </c>
      <c r="CM34" s="208">
        <f t="shared" si="29"/>
        <v>0</v>
      </c>
      <c r="CP34" s="208">
        <f t="shared" si="30"/>
        <v>0</v>
      </c>
      <c r="CS34" s="208">
        <f t="shared" si="31"/>
        <v>0</v>
      </c>
      <c r="CV34" s="208">
        <f t="shared" si="32"/>
        <v>0</v>
      </c>
      <c r="CY34" s="208">
        <f t="shared" si="33"/>
        <v>0</v>
      </c>
      <c r="DB34" s="208">
        <f t="shared" si="34"/>
        <v>0</v>
      </c>
      <c r="DE34" s="208">
        <f t="shared" si="35"/>
        <v>0</v>
      </c>
      <c r="DH34" s="208">
        <f t="shared" si="36"/>
        <v>0</v>
      </c>
      <c r="DK34" s="208">
        <f t="shared" si="37"/>
        <v>0</v>
      </c>
      <c r="DN34" s="208">
        <f t="shared" si="38"/>
        <v>0</v>
      </c>
      <c r="DQ34" s="208">
        <f t="shared" si="39"/>
        <v>0</v>
      </c>
      <c r="DT34" s="208">
        <f t="shared" si="40"/>
        <v>0</v>
      </c>
      <c r="DW34" s="208">
        <f t="shared" si="41"/>
        <v>0</v>
      </c>
      <c r="DZ34" s="208"/>
      <c r="EA34" s="208"/>
      <c r="EB34" s="228">
        <f t="shared" si="42"/>
        <v>145200000</v>
      </c>
      <c r="EC34" s="228">
        <f t="shared" si="43"/>
        <v>0</v>
      </c>
      <c r="ED34" s="208">
        <f t="shared" si="44"/>
        <v>17202.777777777777</v>
      </c>
      <c r="EE34" s="209">
        <f t="shared" si="45"/>
        <v>4.2651515151515149E-2</v>
      </c>
      <c r="EG34" s="228">
        <f t="shared" si="46"/>
        <v>0</v>
      </c>
      <c r="EH34" s="208">
        <f t="shared" si="47"/>
        <v>0</v>
      </c>
      <c r="EI34" s="209">
        <f t="shared" si="48"/>
        <v>0</v>
      </c>
      <c r="EJ34" s="209"/>
      <c r="EK34" s="228">
        <f t="shared" si="49"/>
        <v>145200000</v>
      </c>
      <c r="EL34" s="228">
        <f t="shared" si="50"/>
        <v>0</v>
      </c>
      <c r="EM34" s="228">
        <f t="shared" si="51"/>
        <v>17202.777777777777</v>
      </c>
      <c r="EN34" s="209">
        <f t="shared" si="52"/>
        <v>4.2651515151515149E-2</v>
      </c>
      <c r="EP34" s="208"/>
    </row>
    <row r="35" spans="1:146" x14ac:dyDescent="0.25">
      <c r="A35" s="222">
        <f t="shared" si="53"/>
        <v>45925</v>
      </c>
      <c r="B35" s="208">
        <v>0</v>
      </c>
      <c r="C35" s="209">
        <v>4.2500000000000003E-2</v>
      </c>
      <c r="D35" s="208">
        <f t="shared" si="1"/>
        <v>0</v>
      </c>
      <c r="G35" s="208">
        <f t="shared" si="2"/>
        <v>0</v>
      </c>
      <c r="J35" s="208">
        <f t="shared" si="3"/>
        <v>0</v>
      </c>
      <c r="M35" s="208">
        <f t="shared" si="4"/>
        <v>0</v>
      </c>
      <c r="P35" s="208">
        <f t="shared" si="5"/>
        <v>0</v>
      </c>
      <c r="S35" s="208">
        <f t="shared" si="6"/>
        <v>0</v>
      </c>
      <c r="V35" s="208">
        <f t="shared" si="7"/>
        <v>0</v>
      </c>
      <c r="Y35" s="208">
        <f t="shared" si="8"/>
        <v>0</v>
      </c>
      <c r="AB35" s="208">
        <f t="shared" si="9"/>
        <v>0</v>
      </c>
      <c r="AE35" s="208">
        <v>0</v>
      </c>
      <c r="AH35" s="208">
        <v>0</v>
      </c>
      <c r="AI35" s="223">
        <f>66600000</f>
        <v>66600000</v>
      </c>
      <c r="AJ35" s="224">
        <v>4.2500000000000003E-2</v>
      </c>
      <c r="AK35" s="208">
        <f t="shared" si="10"/>
        <v>7862.5</v>
      </c>
      <c r="AL35" s="223">
        <f t="shared" si="54"/>
        <v>110000000</v>
      </c>
      <c r="AM35" s="224">
        <v>4.2700000000000002E-2</v>
      </c>
      <c r="AN35" s="208">
        <f t="shared" si="11"/>
        <v>13047.222222222223</v>
      </c>
      <c r="AO35" s="223"/>
      <c r="AP35" s="224"/>
      <c r="AQ35" s="208">
        <f t="shared" si="12"/>
        <v>0</v>
      </c>
      <c r="AR35" s="223"/>
      <c r="AS35" s="224"/>
      <c r="AT35" s="208">
        <f t="shared" si="14"/>
        <v>0</v>
      </c>
      <c r="AW35" s="208">
        <f t="shared" si="15"/>
        <v>0</v>
      </c>
      <c r="AZ35" s="208">
        <f t="shared" si="16"/>
        <v>0</v>
      </c>
      <c r="BC35" s="208">
        <f t="shared" si="17"/>
        <v>0</v>
      </c>
      <c r="BF35" s="208">
        <f t="shared" si="18"/>
        <v>0</v>
      </c>
      <c r="BI35" s="208">
        <f t="shared" si="19"/>
        <v>0</v>
      </c>
      <c r="BL35" s="208">
        <f t="shared" si="20"/>
        <v>0</v>
      </c>
      <c r="BO35" s="208">
        <f t="shared" si="21"/>
        <v>0</v>
      </c>
      <c r="BR35" s="208">
        <f t="shared" si="22"/>
        <v>0</v>
      </c>
      <c r="BU35" s="208">
        <f t="shared" si="23"/>
        <v>0</v>
      </c>
      <c r="BX35" s="208">
        <f t="shared" si="24"/>
        <v>0</v>
      </c>
      <c r="CA35" s="208">
        <f t="shared" si="25"/>
        <v>0</v>
      </c>
      <c r="CD35" s="208">
        <f t="shared" si="26"/>
        <v>0</v>
      </c>
      <c r="CG35" s="208">
        <f t="shared" si="27"/>
        <v>0</v>
      </c>
      <c r="CJ35" s="208">
        <f t="shared" si="28"/>
        <v>0</v>
      </c>
      <c r="CM35" s="208">
        <f t="shared" si="29"/>
        <v>0</v>
      </c>
      <c r="CP35" s="208">
        <f t="shared" si="30"/>
        <v>0</v>
      </c>
      <c r="CS35" s="208">
        <f t="shared" si="31"/>
        <v>0</v>
      </c>
      <c r="CV35" s="208">
        <f t="shared" si="32"/>
        <v>0</v>
      </c>
      <c r="CY35" s="208">
        <f t="shared" si="33"/>
        <v>0</v>
      </c>
      <c r="DB35" s="208">
        <f t="shared" si="34"/>
        <v>0</v>
      </c>
      <c r="DE35" s="208">
        <f t="shared" si="35"/>
        <v>0</v>
      </c>
      <c r="DH35" s="208">
        <f t="shared" si="36"/>
        <v>0</v>
      </c>
      <c r="DK35" s="208">
        <f t="shared" si="37"/>
        <v>0</v>
      </c>
      <c r="DN35" s="208">
        <f t="shared" si="38"/>
        <v>0</v>
      </c>
      <c r="DQ35" s="208">
        <f t="shared" si="39"/>
        <v>0</v>
      </c>
      <c r="DT35" s="208">
        <f t="shared" si="40"/>
        <v>0</v>
      </c>
      <c r="DW35" s="208">
        <f t="shared" si="41"/>
        <v>0</v>
      </c>
      <c r="DZ35" s="208"/>
      <c r="EA35" s="208"/>
      <c r="EB35" s="228">
        <f t="shared" si="42"/>
        <v>176600000</v>
      </c>
      <c r="EC35" s="228">
        <f t="shared" si="43"/>
        <v>0</v>
      </c>
      <c r="ED35" s="208">
        <f t="shared" si="44"/>
        <v>20909.722222222223</v>
      </c>
      <c r="EE35" s="209">
        <f t="shared" si="45"/>
        <v>4.2624575311438283E-2</v>
      </c>
      <c r="EG35" s="228">
        <f t="shared" si="46"/>
        <v>0</v>
      </c>
      <c r="EH35" s="208">
        <f t="shared" si="47"/>
        <v>0</v>
      </c>
      <c r="EI35" s="209">
        <f t="shared" si="48"/>
        <v>0</v>
      </c>
      <c r="EJ35" s="209"/>
      <c r="EK35" s="228">
        <f t="shared" si="49"/>
        <v>176600000</v>
      </c>
      <c r="EL35" s="228">
        <f t="shared" si="50"/>
        <v>0</v>
      </c>
      <c r="EM35" s="228">
        <f t="shared" si="51"/>
        <v>20909.722222222223</v>
      </c>
      <c r="EN35" s="209">
        <f t="shared" si="52"/>
        <v>4.2624575311438283E-2</v>
      </c>
      <c r="EP35" s="208"/>
    </row>
    <row r="36" spans="1:146" x14ac:dyDescent="0.25">
      <c r="A36" s="222">
        <f t="shared" si="53"/>
        <v>45926</v>
      </c>
      <c r="B36" s="208">
        <v>0</v>
      </c>
      <c r="C36" s="209">
        <v>4.2500000000000003E-2</v>
      </c>
      <c r="D36" s="208">
        <f t="shared" si="1"/>
        <v>0</v>
      </c>
      <c r="G36" s="208">
        <f t="shared" si="2"/>
        <v>0</v>
      </c>
      <c r="J36" s="208">
        <f t="shared" si="3"/>
        <v>0</v>
      </c>
      <c r="M36" s="208">
        <f t="shared" si="4"/>
        <v>0</v>
      </c>
      <c r="P36" s="208">
        <f t="shared" si="5"/>
        <v>0</v>
      </c>
      <c r="S36" s="208">
        <f t="shared" si="6"/>
        <v>0</v>
      </c>
      <c r="V36" s="208">
        <f t="shared" si="7"/>
        <v>0</v>
      </c>
      <c r="Y36" s="208">
        <f t="shared" si="8"/>
        <v>0</v>
      </c>
      <c r="AB36" s="208">
        <f t="shared" si="9"/>
        <v>0</v>
      </c>
      <c r="AE36" s="208">
        <v>0</v>
      </c>
      <c r="AH36" s="208">
        <v>0</v>
      </c>
      <c r="AI36" s="223">
        <f>82325000</f>
        <v>82325000</v>
      </c>
      <c r="AJ36" s="224">
        <v>4.2500000000000003E-2</v>
      </c>
      <c r="AK36" s="208">
        <f t="shared" si="10"/>
        <v>9718.9236111111131</v>
      </c>
      <c r="AL36" s="223">
        <f t="shared" si="54"/>
        <v>110000000</v>
      </c>
      <c r="AM36" s="224">
        <v>4.2700000000000002E-2</v>
      </c>
      <c r="AN36" s="208">
        <f t="shared" si="11"/>
        <v>13047.222222222223</v>
      </c>
      <c r="AO36" s="223"/>
      <c r="AP36" s="224"/>
      <c r="AQ36" s="208">
        <f t="shared" si="12"/>
        <v>0</v>
      </c>
      <c r="AR36" s="223"/>
      <c r="AS36" s="224"/>
      <c r="AT36" s="208">
        <f t="shared" si="14"/>
        <v>0</v>
      </c>
      <c r="AW36" s="208">
        <f t="shared" si="15"/>
        <v>0</v>
      </c>
      <c r="AZ36" s="208">
        <f t="shared" si="16"/>
        <v>0</v>
      </c>
      <c r="BC36" s="208">
        <f t="shared" si="17"/>
        <v>0</v>
      </c>
      <c r="BF36" s="208">
        <f t="shared" si="18"/>
        <v>0</v>
      </c>
      <c r="BI36" s="208">
        <f t="shared" si="19"/>
        <v>0</v>
      </c>
      <c r="BL36" s="208">
        <f t="shared" si="20"/>
        <v>0</v>
      </c>
      <c r="BO36" s="208">
        <f t="shared" si="21"/>
        <v>0</v>
      </c>
      <c r="BR36" s="208">
        <f t="shared" si="22"/>
        <v>0</v>
      </c>
      <c r="BU36" s="208">
        <f t="shared" si="23"/>
        <v>0</v>
      </c>
      <c r="BX36" s="208">
        <f t="shared" si="24"/>
        <v>0</v>
      </c>
      <c r="CA36" s="208">
        <f t="shared" si="25"/>
        <v>0</v>
      </c>
      <c r="CD36" s="208">
        <f t="shared" si="26"/>
        <v>0</v>
      </c>
      <c r="CG36" s="208">
        <f t="shared" si="27"/>
        <v>0</v>
      </c>
      <c r="CJ36" s="208">
        <f t="shared" si="28"/>
        <v>0</v>
      </c>
      <c r="CM36" s="208">
        <f t="shared" si="29"/>
        <v>0</v>
      </c>
      <c r="CP36" s="208">
        <f t="shared" si="30"/>
        <v>0</v>
      </c>
      <c r="CS36" s="208">
        <f t="shared" si="31"/>
        <v>0</v>
      </c>
      <c r="CV36" s="208">
        <f t="shared" si="32"/>
        <v>0</v>
      </c>
      <c r="CY36" s="208">
        <f t="shared" si="33"/>
        <v>0</v>
      </c>
      <c r="DB36" s="208">
        <f t="shared" si="34"/>
        <v>0</v>
      </c>
      <c r="DE36" s="208">
        <f t="shared" si="35"/>
        <v>0</v>
      </c>
      <c r="DH36" s="208">
        <f t="shared" si="36"/>
        <v>0</v>
      </c>
      <c r="DK36" s="208">
        <f t="shared" si="37"/>
        <v>0</v>
      </c>
      <c r="DN36" s="208">
        <f t="shared" si="38"/>
        <v>0</v>
      </c>
      <c r="DQ36" s="208">
        <f t="shared" si="39"/>
        <v>0</v>
      </c>
      <c r="DT36" s="208">
        <f t="shared" si="40"/>
        <v>0</v>
      </c>
      <c r="DW36" s="208">
        <f t="shared" si="41"/>
        <v>0</v>
      </c>
      <c r="DZ36" s="208"/>
      <c r="EA36" s="208"/>
      <c r="EB36" s="228">
        <f t="shared" si="42"/>
        <v>192325000</v>
      </c>
      <c r="EC36" s="228">
        <f t="shared" si="43"/>
        <v>0</v>
      </c>
      <c r="ED36" s="208">
        <f t="shared" si="44"/>
        <v>22766.145833333336</v>
      </c>
      <c r="EE36" s="209">
        <f t="shared" si="45"/>
        <v>4.2614389704926557E-2</v>
      </c>
      <c r="EG36" s="228">
        <f t="shared" si="46"/>
        <v>0</v>
      </c>
      <c r="EH36" s="208">
        <f t="shared" si="47"/>
        <v>0</v>
      </c>
      <c r="EI36" s="209">
        <f t="shared" si="48"/>
        <v>0</v>
      </c>
      <c r="EJ36" s="209"/>
      <c r="EK36" s="228">
        <f t="shared" si="49"/>
        <v>192325000</v>
      </c>
      <c r="EL36" s="228">
        <f t="shared" si="50"/>
        <v>0</v>
      </c>
      <c r="EM36" s="228">
        <f t="shared" si="51"/>
        <v>22766.145833333336</v>
      </c>
      <c r="EN36" s="209">
        <f t="shared" si="52"/>
        <v>4.2614389704926557E-2</v>
      </c>
      <c r="EP36" s="208"/>
    </row>
    <row r="37" spans="1:146" x14ac:dyDescent="0.25">
      <c r="A37" s="222">
        <f t="shared" si="53"/>
        <v>45927</v>
      </c>
      <c r="B37" s="208">
        <v>0</v>
      </c>
      <c r="C37" s="209">
        <v>4.2500000000000003E-2</v>
      </c>
      <c r="D37" s="208">
        <f t="shared" si="1"/>
        <v>0</v>
      </c>
      <c r="G37" s="208">
        <f t="shared" si="2"/>
        <v>0</v>
      </c>
      <c r="J37" s="208">
        <f t="shared" si="3"/>
        <v>0</v>
      </c>
      <c r="M37" s="208">
        <f t="shared" si="4"/>
        <v>0</v>
      </c>
      <c r="P37" s="208">
        <f t="shared" si="5"/>
        <v>0</v>
      </c>
      <c r="S37" s="208">
        <f t="shared" si="6"/>
        <v>0</v>
      </c>
      <c r="V37" s="208">
        <f t="shared" si="7"/>
        <v>0</v>
      </c>
      <c r="Y37" s="208">
        <f t="shared" si="8"/>
        <v>0</v>
      </c>
      <c r="AB37" s="208">
        <f t="shared" si="9"/>
        <v>0</v>
      </c>
      <c r="AE37" s="208">
        <v>0</v>
      </c>
      <c r="AH37" s="208">
        <v>0</v>
      </c>
      <c r="AI37" s="223">
        <f>82325000</f>
        <v>82325000</v>
      </c>
      <c r="AJ37" s="224">
        <v>4.2500000000000003E-2</v>
      </c>
      <c r="AK37" s="208">
        <f t="shared" si="10"/>
        <v>9718.9236111111131</v>
      </c>
      <c r="AL37" s="223">
        <f t="shared" si="54"/>
        <v>110000000</v>
      </c>
      <c r="AM37" s="224">
        <v>4.2700000000000002E-2</v>
      </c>
      <c r="AN37" s="208">
        <f t="shared" si="11"/>
        <v>13047.222222222223</v>
      </c>
      <c r="AO37" s="223"/>
      <c r="AP37" s="224"/>
      <c r="AQ37" s="208">
        <f t="shared" si="12"/>
        <v>0</v>
      </c>
      <c r="AR37" s="223"/>
      <c r="AS37" s="224"/>
      <c r="AT37" s="208">
        <f t="shared" si="14"/>
        <v>0</v>
      </c>
      <c r="AW37" s="208">
        <f t="shared" si="15"/>
        <v>0</v>
      </c>
      <c r="AZ37" s="208">
        <f t="shared" si="16"/>
        <v>0</v>
      </c>
      <c r="BC37" s="208">
        <f t="shared" si="17"/>
        <v>0</v>
      </c>
      <c r="BF37" s="208">
        <f t="shared" si="18"/>
        <v>0</v>
      </c>
      <c r="BI37" s="208">
        <f t="shared" si="19"/>
        <v>0</v>
      </c>
      <c r="BL37" s="208">
        <f t="shared" si="20"/>
        <v>0</v>
      </c>
      <c r="BO37" s="208">
        <f t="shared" si="21"/>
        <v>0</v>
      </c>
      <c r="BR37" s="208">
        <f t="shared" si="22"/>
        <v>0</v>
      </c>
      <c r="BU37" s="208">
        <f t="shared" si="23"/>
        <v>0</v>
      </c>
      <c r="BX37" s="208">
        <f t="shared" si="24"/>
        <v>0</v>
      </c>
      <c r="CA37" s="208">
        <f t="shared" si="25"/>
        <v>0</v>
      </c>
      <c r="CD37" s="208">
        <f t="shared" si="26"/>
        <v>0</v>
      </c>
      <c r="CG37" s="208">
        <f t="shared" si="27"/>
        <v>0</v>
      </c>
      <c r="CJ37" s="208">
        <f t="shared" si="28"/>
        <v>0</v>
      </c>
      <c r="CM37" s="208">
        <f t="shared" si="29"/>
        <v>0</v>
      </c>
      <c r="CP37" s="208">
        <f t="shared" si="30"/>
        <v>0</v>
      </c>
      <c r="CS37" s="208">
        <f t="shared" si="31"/>
        <v>0</v>
      </c>
      <c r="CV37" s="208">
        <f t="shared" si="32"/>
        <v>0</v>
      </c>
      <c r="CY37" s="208">
        <f t="shared" si="33"/>
        <v>0</v>
      </c>
      <c r="DB37" s="208">
        <f t="shared" si="34"/>
        <v>0</v>
      </c>
      <c r="DE37" s="208">
        <f t="shared" si="35"/>
        <v>0</v>
      </c>
      <c r="DH37" s="208">
        <f t="shared" si="36"/>
        <v>0</v>
      </c>
      <c r="DK37" s="208">
        <f t="shared" si="37"/>
        <v>0</v>
      </c>
      <c r="DN37" s="208">
        <f t="shared" si="38"/>
        <v>0</v>
      </c>
      <c r="DQ37" s="208">
        <f t="shared" si="39"/>
        <v>0</v>
      </c>
      <c r="DT37" s="208">
        <f t="shared" si="40"/>
        <v>0</v>
      </c>
      <c r="DW37" s="208">
        <f t="shared" si="41"/>
        <v>0</v>
      </c>
      <c r="DZ37" s="208"/>
      <c r="EA37" s="208"/>
      <c r="EB37" s="228">
        <f t="shared" si="42"/>
        <v>192325000</v>
      </c>
      <c r="EC37" s="228">
        <f t="shared" si="43"/>
        <v>0</v>
      </c>
      <c r="ED37" s="208">
        <f t="shared" si="44"/>
        <v>22766.145833333336</v>
      </c>
      <c r="EE37" s="209">
        <f t="shared" si="45"/>
        <v>4.2614389704926557E-2</v>
      </c>
      <c r="EG37" s="228">
        <f t="shared" si="46"/>
        <v>0</v>
      </c>
      <c r="EH37" s="208">
        <f t="shared" si="47"/>
        <v>0</v>
      </c>
      <c r="EI37" s="209">
        <f t="shared" si="48"/>
        <v>0</v>
      </c>
      <c r="EJ37" s="209"/>
      <c r="EK37" s="228">
        <f t="shared" si="49"/>
        <v>192325000</v>
      </c>
      <c r="EL37" s="228">
        <f t="shared" si="50"/>
        <v>0</v>
      </c>
      <c r="EM37" s="228">
        <f t="shared" si="51"/>
        <v>22766.145833333336</v>
      </c>
      <c r="EN37" s="209">
        <f t="shared" si="52"/>
        <v>4.2614389704926557E-2</v>
      </c>
      <c r="EP37" s="208"/>
    </row>
    <row r="38" spans="1:146" x14ac:dyDescent="0.25">
      <c r="A38" s="222">
        <f t="shared" si="53"/>
        <v>45928</v>
      </c>
      <c r="B38" s="208">
        <v>0</v>
      </c>
      <c r="C38" s="209">
        <v>4.2500000000000003E-2</v>
      </c>
      <c r="D38" s="208">
        <f t="shared" si="1"/>
        <v>0</v>
      </c>
      <c r="G38" s="208">
        <f t="shared" si="2"/>
        <v>0</v>
      </c>
      <c r="J38" s="208">
        <f t="shared" si="3"/>
        <v>0</v>
      </c>
      <c r="M38" s="208">
        <f t="shared" si="4"/>
        <v>0</v>
      </c>
      <c r="P38" s="208">
        <f t="shared" si="5"/>
        <v>0</v>
      </c>
      <c r="S38" s="208">
        <f t="shared" si="6"/>
        <v>0</v>
      </c>
      <c r="V38" s="208">
        <f t="shared" si="7"/>
        <v>0</v>
      </c>
      <c r="Y38" s="208">
        <f t="shared" si="8"/>
        <v>0</v>
      </c>
      <c r="AB38" s="208">
        <f t="shared" si="9"/>
        <v>0</v>
      </c>
      <c r="AE38" s="208">
        <v>0</v>
      </c>
      <c r="AH38" s="208">
        <v>0</v>
      </c>
      <c r="AI38" s="223">
        <f>82325000</f>
        <v>82325000</v>
      </c>
      <c r="AJ38" s="224">
        <v>4.2500000000000003E-2</v>
      </c>
      <c r="AK38" s="208">
        <f t="shared" si="10"/>
        <v>9718.9236111111131</v>
      </c>
      <c r="AL38" s="223">
        <f t="shared" si="54"/>
        <v>110000000</v>
      </c>
      <c r="AM38" s="224">
        <v>4.2700000000000002E-2</v>
      </c>
      <c r="AN38" s="208">
        <f t="shared" si="11"/>
        <v>13047.222222222223</v>
      </c>
      <c r="AO38" s="223"/>
      <c r="AP38" s="224"/>
      <c r="AQ38" s="208">
        <f t="shared" si="12"/>
        <v>0</v>
      </c>
      <c r="AR38" s="223"/>
      <c r="AS38" s="224"/>
      <c r="AT38" s="208">
        <f t="shared" si="14"/>
        <v>0</v>
      </c>
      <c r="AW38" s="208">
        <f t="shared" si="15"/>
        <v>0</v>
      </c>
      <c r="AZ38" s="208">
        <f t="shared" si="16"/>
        <v>0</v>
      </c>
      <c r="BC38" s="208">
        <f t="shared" si="17"/>
        <v>0</v>
      </c>
      <c r="BF38" s="208">
        <f t="shared" si="18"/>
        <v>0</v>
      </c>
      <c r="BI38" s="208">
        <f t="shared" si="19"/>
        <v>0</v>
      </c>
      <c r="BL38" s="208">
        <f t="shared" si="20"/>
        <v>0</v>
      </c>
      <c r="BO38" s="208">
        <f t="shared" si="21"/>
        <v>0</v>
      </c>
      <c r="BR38" s="208">
        <f t="shared" si="22"/>
        <v>0</v>
      </c>
      <c r="BU38" s="208">
        <f t="shared" si="23"/>
        <v>0</v>
      </c>
      <c r="BX38" s="208">
        <f t="shared" si="24"/>
        <v>0</v>
      </c>
      <c r="CA38" s="208">
        <f t="shared" si="25"/>
        <v>0</v>
      </c>
      <c r="CD38" s="208">
        <f t="shared" si="26"/>
        <v>0</v>
      </c>
      <c r="CG38" s="208">
        <f t="shared" si="27"/>
        <v>0</v>
      </c>
      <c r="CJ38" s="208">
        <f t="shared" si="28"/>
        <v>0</v>
      </c>
      <c r="CM38" s="208">
        <f t="shared" si="29"/>
        <v>0</v>
      </c>
      <c r="CP38" s="208">
        <f t="shared" si="30"/>
        <v>0</v>
      </c>
      <c r="CS38" s="208">
        <f t="shared" si="31"/>
        <v>0</v>
      </c>
      <c r="CV38" s="208">
        <f t="shared" si="32"/>
        <v>0</v>
      </c>
      <c r="CY38" s="208">
        <f t="shared" si="33"/>
        <v>0</v>
      </c>
      <c r="DB38" s="208">
        <f t="shared" si="34"/>
        <v>0</v>
      </c>
      <c r="DE38" s="208">
        <f t="shared" si="35"/>
        <v>0</v>
      </c>
      <c r="DH38" s="208">
        <f t="shared" si="36"/>
        <v>0</v>
      </c>
      <c r="DK38" s="208">
        <f t="shared" si="37"/>
        <v>0</v>
      </c>
      <c r="DN38" s="208">
        <f t="shared" si="38"/>
        <v>0</v>
      </c>
      <c r="DQ38" s="208">
        <f t="shared" si="39"/>
        <v>0</v>
      </c>
      <c r="DT38" s="208">
        <f t="shared" si="40"/>
        <v>0</v>
      </c>
      <c r="DW38" s="208">
        <f t="shared" si="41"/>
        <v>0</v>
      </c>
      <c r="DZ38" s="208"/>
      <c r="EA38" s="208"/>
      <c r="EB38" s="228">
        <f t="shared" si="42"/>
        <v>192325000</v>
      </c>
      <c r="EC38" s="228">
        <f t="shared" si="43"/>
        <v>0</v>
      </c>
      <c r="ED38" s="208">
        <f t="shared" si="44"/>
        <v>22766.145833333336</v>
      </c>
      <c r="EE38" s="209">
        <f t="shared" si="45"/>
        <v>4.2614389704926557E-2</v>
      </c>
      <c r="EG38" s="228">
        <f t="shared" si="46"/>
        <v>0</v>
      </c>
      <c r="EH38" s="208">
        <f t="shared" si="47"/>
        <v>0</v>
      </c>
      <c r="EI38" s="209">
        <f t="shared" si="48"/>
        <v>0</v>
      </c>
      <c r="EJ38" s="209"/>
      <c r="EK38" s="228">
        <f t="shared" si="49"/>
        <v>192325000</v>
      </c>
      <c r="EL38" s="228">
        <f t="shared" si="50"/>
        <v>0</v>
      </c>
      <c r="EM38" s="228">
        <f t="shared" si="51"/>
        <v>22766.145833333336</v>
      </c>
      <c r="EN38" s="209">
        <f t="shared" si="52"/>
        <v>4.2614389704926557E-2</v>
      </c>
      <c r="EP38" s="208"/>
    </row>
    <row r="39" spans="1:146" x14ac:dyDescent="0.25">
      <c r="A39" s="222">
        <f t="shared" si="53"/>
        <v>45929</v>
      </c>
      <c r="B39" s="208">
        <v>65200000</v>
      </c>
      <c r="C39" s="209">
        <v>4.0518780000000004E-2</v>
      </c>
      <c r="D39" s="208">
        <f t="shared" si="1"/>
        <v>7338.4012666666677</v>
      </c>
      <c r="G39" s="208">
        <f t="shared" si="2"/>
        <v>0</v>
      </c>
      <c r="J39" s="208">
        <f t="shared" si="3"/>
        <v>0</v>
      </c>
      <c r="M39" s="208">
        <f t="shared" si="4"/>
        <v>0</v>
      </c>
      <c r="P39" s="208">
        <f t="shared" si="5"/>
        <v>0</v>
      </c>
      <c r="S39" s="208">
        <f t="shared" si="6"/>
        <v>0</v>
      </c>
      <c r="V39" s="208">
        <f t="shared" si="7"/>
        <v>0</v>
      </c>
      <c r="Y39" s="208">
        <f t="shared" si="8"/>
        <v>0</v>
      </c>
      <c r="AB39" s="208">
        <f t="shared" si="9"/>
        <v>0</v>
      </c>
      <c r="AE39" s="208">
        <v>0</v>
      </c>
      <c r="AH39" s="208">
        <v>0</v>
      </c>
      <c r="AI39" s="223">
        <v>40350000</v>
      </c>
      <c r="AJ39" s="224">
        <v>4.2500000000000003E-2</v>
      </c>
      <c r="AK39" s="208">
        <f t="shared" si="10"/>
        <v>4763.541666666667</v>
      </c>
      <c r="AL39" s="223">
        <f t="shared" si="54"/>
        <v>110000000</v>
      </c>
      <c r="AM39" s="224">
        <v>4.2700000000000002E-2</v>
      </c>
      <c r="AN39" s="208">
        <f t="shared" si="11"/>
        <v>13047.222222222223</v>
      </c>
      <c r="AO39" s="223"/>
      <c r="AP39" s="224"/>
      <c r="AQ39" s="208">
        <f t="shared" si="12"/>
        <v>0</v>
      </c>
      <c r="AR39" s="223"/>
      <c r="AS39" s="224"/>
      <c r="AT39" s="208">
        <f t="shared" si="14"/>
        <v>0</v>
      </c>
      <c r="AW39" s="208">
        <f t="shared" si="15"/>
        <v>0</v>
      </c>
      <c r="AZ39" s="208">
        <f t="shared" si="16"/>
        <v>0</v>
      </c>
      <c r="BC39" s="208">
        <f t="shared" si="17"/>
        <v>0</v>
      </c>
      <c r="BF39" s="208">
        <f t="shared" si="18"/>
        <v>0</v>
      </c>
      <c r="BI39" s="208">
        <f t="shared" si="19"/>
        <v>0</v>
      </c>
      <c r="BL39" s="208">
        <f t="shared" si="20"/>
        <v>0</v>
      </c>
      <c r="BO39" s="208">
        <f t="shared" si="21"/>
        <v>0</v>
      </c>
      <c r="BR39" s="208">
        <f t="shared" si="22"/>
        <v>0</v>
      </c>
      <c r="BU39" s="208">
        <f t="shared" si="23"/>
        <v>0</v>
      </c>
      <c r="BX39" s="208">
        <f t="shared" si="24"/>
        <v>0</v>
      </c>
      <c r="CA39" s="208">
        <f t="shared" si="25"/>
        <v>0</v>
      </c>
      <c r="CD39" s="208">
        <f t="shared" si="26"/>
        <v>0</v>
      </c>
      <c r="CG39" s="208">
        <f t="shared" si="27"/>
        <v>0</v>
      </c>
      <c r="CJ39" s="208">
        <f t="shared" si="28"/>
        <v>0</v>
      </c>
      <c r="CM39" s="208">
        <f t="shared" si="29"/>
        <v>0</v>
      </c>
      <c r="CP39" s="208">
        <f t="shared" si="30"/>
        <v>0</v>
      </c>
      <c r="CS39" s="208">
        <f t="shared" si="31"/>
        <v>0</v>
      </c>
      <c r="CV39" s="208">
        <f t="shared" si="32"/>
        <v>0</v>
      </c>
      <c r="CY39" s="208">
        <f t="shared" si="33"/>
        <v>0</v>
      </c>
      <c r="DB39" s="208">
        <f t="shared" si="34"/>
        <v>0</v>
      </c>
      <c r="DE39" s="208">
        <f t="shared" si="35"/>
        <v>0</v>
      </c>
      <c r="DH39" s="208">
        <f t="shared" si="36"/>
        <v>0</v>
      </c>
      <c r="DK39" s="208">
        <f t="shared" si="37"/>
        <v>0</v>
      </c>
      <c r="DN39" s="208">
        <f t="shared" si="38"/>
        <v>0</v>
      </c>
      <c r="DQ39" s="208">
        <f t="shared" si="39"/>
        <v>0</v>
      </c>
      <c r="DT39" s="208">
        <f t="shared" si="40"/>
        <v>0</v>
      </c>
      <c r="DW39" s="208">
        <f t="shared" si="41"/>
        <v>0</v>
      </c>
      <c r="DZ39" s="208"/>
      <c r="EA39" s="208"/>
      <c r="EB39" s="228">
        <f t="shared" si="42"/>
        <v>215550000</v>
      </c>
      <c r="EC39" s="228">
        <f t="shared" si="43"/>
        <v>65200000</v>
      </c>
      <c r="ED39" s="208">
        <f t="shared" si="44"/>
        <v>25149.165155555558</v>
      </c>
      <c r="EE39" s="209">
        <f t="shared" si="45"/>
        <v>4.2002781053119935E-2</v>
      </c>
      <c r="EG39" s="228">
        <f t="shared" si="46"/>
        <v>0</v>
      </c>
      <c r="EH39" s="208">
        <f t="shared" si="47"/>
        <v>0</v>
      </c>
      <c r="EI39" s="209">
        <f t="shared" si="48"/>
        <v>0</v>
      </c>
      <c r="EJ39" s="209"/>
      <c r="EK39" s="228">
        <f t="shared" si="49"/>
        <v>150350000</v>
      </c>
      <c r="EL39" s="228">
        <f t="shared" si="50"/>
        <v>0</v>
      </c>
      <c r="EM39" s="228">
        <f t="shared" si="51"/>
        <v>17810.763888888891</v>
      </c>
      <c r="EN39" s="209">
        <f t="shared" si="52"/>
        <v>4.2646325241104094E-2</v>
      </c>
      <c r="EP39" s="208"/>
    </row>
    <row r="40" spans="1:146" x14ac:dyDescent="0.25">
      <c r="A40" s="222">
        <f t="shared" si="53"/>
        <v>45930</v>
      </c>
      <c r="B40" s="208">
        <v>51050000</v>
      </c>
      <c r="C40" s="209">
        <v>4.1115760000000001E-2</v>
      </c>
      <c r="D40" s="208">
        <f t="shared" si="1"/>
        <v>5830.4431888888885</v>
      </c>
      <c r="G40" s="208">
        <f t="shared" si="2"/>
        <v>0</v>
      </c>
      <c r="J40" s="208">
        <f t="shared" si="3"/>
        <v>0</v>
      </c>
      <c r="M40" s="208">
        <f t="shared" si="4"/>
        <v>0</v>
      </c>
      <c r="P40" s="208">
        <f t="shared" si="5"/>
        <v>0</v>
      </c>
      <c r="S40" s="208">
        <f t="shared" si="6"/>
        <v>0</v>
      </c>
      <c r="V40" s="208">
        <f t="shared" si="7"/>
        <v>0</v>
      </c>
      <c r="Y40" s="208">
        <f t="shared" si="8"/>
        <v>0</v>
      </c>
      <c r="AB40" s="208">
        <f t="shared" si="9"/>
        <v>0</v>
      </c>
      <c r="AE40" s="208">
        <v>0</v>
      </c>
      <c r="AH40" s="208">
        <v>0</v>
      </c>
      <c r="AI40" s="223">
        <f>100000000+109025000+50000000</f>
        <v>259025000</v>
      </c>
      <c r="AJ40" s="224">
        <v>4.2500000000000003E-2</v>
      </c>
      <c r="AK40" s="208">
        <f t="shared" si="10"/>
        <v>30579.340277777777</v>
      </c>
      <c r="AL40" s="223"/>
      <c r="AM40" s="224"/>
      <c r="AN40" s="208">
        <f t="shared" si="11"/>
        <v>0</v>
      </c>
      <c r="AO40" s="223"/>
      <c r="AP40" s="224"/>
      <c r="AQ40" s="208">
        <f t="shared" si="12"/>
        <v>0</v>
      </c>
      <c r="AR40" s="223"/>
      <c r="AS40" s="224"/>
      <c r="AT40" s="208">
        <f t="shared" si="14"/>
        <v>0</v>
      </c>
      <c r="AW40" s="208">
        <f t="shared" si="15"/>
        <v>0</v>
      </c>
      <c r="AZ40" s="208">
        <f t="shared" si="16"/>
        <v>0</v>
      </c>
      <c r="BC40" s="208">
        <f t="shared" si="17"/>
        <v>0</v>
      </c>
      <c r="BF40" s="208">
        <f t="shared" si="18"/>
        <v>0</v>
      </c>
      <c r="BI40" s="208">
        <f t="shared" si="19"/>
        <v>0</v>
      </c>
      <c r="BL40" s="208">
        <f t="shared" si="20"/>
        <v>0</v>
      </c>
      <c r="BO40" s="208">
        <f t="shared" si="21"/>
        <v>0</v>
      </c>
      <c r="BR40" s="208">
        <f t="shared" si="22"/>
        <v>0</v>
      </c>
      <c r="BU40" s="208">
        <f t="shared" si="23"/>
        <v>0</v>
      </c>
      <c r="BX40" s="208">
        <f t="shared" si="24"/>
        <v>0</v>
      </c>
      <c r="CA40" s="208">
        <f t="shared" si="25"/>
        <v>0</v>
      </c>
      <c r="CD40" s="208">
        <f t="shared" si="26"/>
        <v>0</v>
      </c>
      <c r="CG40" s="208">
        <f t="shared" si="27"/>
        <v>0</v>
      </c>
      <c r="CJ40" s="208">
        <f t="shared" si="28"/>
        <v>0</v>
      </c>
      <c r="CM40" s="208">
        <f t="shared" si="29"/>
        <v>0</v>
      </c>
      <c r="CP40" s="208">
        <f t="shared" si="30"/>
        <v>0</v>
      </c>
      <c r="CS40" s="208">
        <f t="shared" si="31"/>
        <v>0</v>
      </c>
      <c r="CV40" s="208">
        <f t="shared" si="32"/>
        <v>0</v>
      </c>
      <c r="CY40" s="208">
        <f t="shared" si="33"/>
        <v>0</v>
      </c>
      <c r="DB40" s="208">
        <f t="shared" si="34"/>
        <v>0</v>
      </c>
      <c r="DE40" s="208">
        <f t="shared" si="35"/>
        <v>0</v>
      </c>
      <c r="DH40" s="208">
        <f t="shared" si="36"/>
        <v>0</v>
      </c>
      <c r="DK40" s="208">
        <f t="shared" si="37"/>
        <v>0</v>
      </c>
      <c r="DN40" s="208">
        <f t="shared" si="38"/>
        <v>0</v>
      </c>
      <c r="DQ40" s="208">
        <f t="shared" si="39"/>
        <v>0</v>
      </c>
      <c r="DT40" s="208">
        <f t="shared" si="40"/>
        <v>0</v>
      </c>
      <c r="DW40" s="208">
        <f t="shared" si="41"/>
        <v>0</v>
      </c>
      <c r="DZ40" s="208"/>
      <c r="EA40" s="208"/>
      <c r="EB40" s="228">
        <f t="shared" si="42"/>
        <v>310075000</v>
      </c>
      <c r="EC40" s="228">
        <f t="shared" si="43"/>
        <v>51050000</v>
      </c>
      <c r="ED40" s="208">
        <f t="shared" si="44"/>
        <v>36409.783466666668</v>
      </c>
      <c r="EE40" s="209">
        <f t="shared" si="45"/>
        <v>4.2272102065629286E-2</v>
      </c>
      <c r="EG40" s="228">
        <f t="shared" si="46"/>
        <v>0</v>
      </c>
      <c r="EH40" s="208">
        <f t="shared" si="47"/>
        <v>0</v>
      </c>
      <c r="EI40" s="209">
        <f t="shared" si="48"/>
        <v>0</v>
      </c>
      <c r="EJ40" s="209"/>
      <c r="EK40" s="228">
        <f t="shared" si="49"/>
        <v>259025000</v>
      </c>
      <c r="EL40" s="228">
        <f t="shared" si="50"/>
        <v>0</v>
      </c>
      <c r="EM40" s="228">
        <f t="shared" si="51"/>
        <v>30579.340277777777</v>
      </c>
      <c r="EN40" s="209">
        <f t="shared" si="52"/>
        <v>4.2500000000000003E-2</v>
      </c>
      <c r="EP40" s="208"/>
    </row>
    <row r="41" spans="1:146" x14ac:dyDescent="0.25">
      <c r="A41" s="243" t="s">
        <v>35</v>
      </c>
      <c r="D41" s="225">
        <f>SUM(D11:D40)</f>
        <v>13184.623861805556</v>
      </c>
      <c r="G41" s="225">
        <f>SUM(G11:G40)</f>
        <v>0</v>
      </c>
      <c r="J41" s="225">
        <f>SUM(J11:J40)</f>
        <v>0</v>
      </c>
      <c r="M41" s="225">
        <f>SUM(M11:M40)</f>
        <v>0</v>
      </c>
      <c r="P41" s="225">
        <f>SUM(P11:P40)</f>
        <v>0</v>
      </c>
      <c r="S41" s="225">
        <f>SUM(S11:S40)</f>
        <v>0</v>
      </c>
      <c r="V41" s="225">
        <f>SUM(V11:V40)</f>
        <v>0</v>
      </c>
      <c r="Y41" s="225">
        <f>SUM(Y11:Y40)</f>
        <v>0</v>
      </c>
      <c r="AB41" s="225">
        <f>SUM(AB11:AB40)</f>
        <v>0</v>
      </c>
      <c r="AE41" s="225">
        <f>SUM(AE11:AE40)</f>
        <v>0</v>
      </c>
      <c r="AH41" s="225">
        <f>SUM(AH11:AH40)</f>
        <v>0</v>
      </c>
      <c r="AK41" s="225">
        <f>SUM(AK11:AK40)</f>
        <v>511044.13194444438</v>
      </c>
      <c r="AN41" s="225">
        <f>SUM(AN11:AN40)</f>
        <v>144413.88888888888</v>
      </c>
      <c r="AQ41" s="225">
        <f>SUM(AQ11:AQ40)</f>
        <v>26833.333333333336</v>
      </c>
      <c r="AT41" s="225">
        <f>SUM(AT11:AT40)</f>
        <v>87888.888888888876</v>
      </c>
      <c r="AW41" s="225">
        <f>SUM(AW11:AW40)</f>
        <v>0</v>
      </c>
      <c r="AZ41" s="225">
        <f>SUM(AZ11:AZ40)</f>
        <v>0</v>
      </c>
      <c r="BC41" s="225">
        <f>SUM(BC11:BC40)</f>
        <v>0</v>
      </c>
      <c r="BF41" s="225">
        <f>SUM(BF11:BF40)</f>
        <v>0</v>
      </c>
      <c r="BI41" s="225">
        <f>SUM(BI11:BI40)</f>
        <v>0</v>
      </c>
      <c r="BL41" s="225">
        <f>SUM(BL11:BL40)</f>
        <v>0</v>
      </c>
      <c r="BO41" s="225">
        <f>SUM(BO11:BO40)</f>
        <v>0</v>
      </c>
      <c r="BR41" s="225">
        <f>SUM(BR11:BR40)</f>
        <v>0</v>
      </c>
      <c r="BU41" s="225">
        <f>SUM(BU11:BU40)</f>
        <v>0</v>
      </c>
      <c r="BX41" s="225">
        <f>SUM(BX11:BX40)</f>
        <v>0</v>
      </c>
      <c r="CA41" s="225">
        <f>SUM(CA11:CA40)</f>
        <v>0</v>
      </c>
      <c r="CD41" s="225">
        <f>SUM(CD11:CD40)</f>
        <v>0</v>
      </c>
      <c r="CG41" s="225">
        <f>SUM(CG11:CG40)</f>
        <v>0</v>
      </c>
      <c r="CJ41" s="225">
        <f>SUM(CJ11:CJ40)</f>
        <v>0</v>
      </c>
      <c r="CM41" s="225">
        <f>SUM(CM11:CM40)</f>
        <v>0</v>
      </c>
      <c r="CP41" s="225">
        <f>SUM(CP11:CP40)</f>
        <v>0</v>
      </c>
      <c r="CS41" s="225">
        <f>SUM(CS11:CS40)</f>
        <v>0</v>
      </c>
      <c r="CV41" s="225">
        <f>SUM(CV11:CV40)</f>
        <v>0</v>
      </c>
      <c r="CY41" s="225">
        <f>SUM(CY11:CY40)</f>
        <v>0</v>
      </c>
      <c r="DB41" s="225">
        <f>SUM(DB11:DB40)</f>
        <v>0</v>
      </c>
      <c r="DE41" s="225">
        <f>SUM(DE11:DE40)</f>
        <v>0</v>
      </c>
      <c r="DH41" s="225">
        <f>SUM(DH11:DH40)</f>
        <v>0</v>
      </c>
      <c r="DK41" s="225">
        <f>SUM(DK11:DK40)</f>
        <v>0</v>
      </c>
      <c r="DN41" s="225">
        <f>SUM(DN11:DN40)</f>
        <v>0</v>
      </c>
      <c r="DQ41" s="225">
        <f>SUM(DQ11:DQ40)</f>
        <v>0</v>
      </c>
      <c r="DT41" s="225">
        <f>SUM(DT11:DT40)</f>
        <v>0</v>
      </c>
      <c r="DW41" s="225">
        <f>SUM(DW11:DW40)</f>
        <v>0</v>
      </c>
      <c r="DZ41" s="208"/>
      <c r="EA41" s="208"/>
      <c r="EB41" s="208"/>
      <c r="EC41" s="208"/>
      <c r="ED41" s="225">
        <f>SUM(ED11:ED40)</f>
        <v>783364.86691736116</v>
      </c>
      <c r="EE41" s="209"/>
      <c r="EG41" s="208"/>
      <c r="EH41" s="225">
        <f>SUM(EH11:EH40)</f>
        <v>0</v>
      </c>
      <c r="EI41" s="209"/>
      <c r="EJ41" s="209"/>
      <c r="EK41" s="208"/>
      <c r="EL41" s="208"/>
      <c r="EM41" s="225">
        <f>SUM(EM11:EM40)</f>
        <v>770180.2430555555</v>
      </c>
      <c r="EN41" s="209"/>
    </row>
    <row r="43" spans="1:146" x14ac:dyDescent="0.25">
      <c r="EM43" s="226"/>
    </row>
    <row r="44" spans="1:146" x14ac:dyDescent="0.25">
      <c r="EM44" s="208"/>
    </row>
    <row r="45" spans="1:146" x14ac:dyDescent="0.25">
      <c r="EM45" s="208"/>
    </row>
    <row r="47" spans="1:146" x14ac:dyDescent="0.25">
      <c r="EM47" s="208"/>
    </row>
  </sheetData>
  <pageMargins left="0.7" right="0.7" top="0.75" bottom="0.75" header="0.3" footer="0.3"/>
  <pageSetup scale="63" orientation="portrait" r:id="rId1"/>
  <headerFooter>
    <oddFooter>&amp;CSchedule RL-1</oddFooter>
  </headerFooter>
  <colBreaks count="5" manualBreakCount="5">
    <brk id="7" max="1048575" man="1"/>
    <brk id="43" max="1048575" man="1"/>
    <brk id="52" max="43" man="1"/>
    <brk id="64" max="1048575" man="1"/>
    <brk id="130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1"/>
  <dimension ref="A1:EQ47"/>
  <sheetViews>
    <sheetView zoomScaleNormal="100" workbookViewId="0">
      <selection activeCell="B1" sqref="B1"/>
    </sheetView>
  </sheetViews>
  <sheetFormatPr defaultRowHeight="15" x14ac:dyDescent="0.25"/>
  <cols>
    <col min="1" max="1" width="14.5703125" style="166" bestFit="1" customWidth="1"/>
    <col min="2" max="2" width="18.7109375" style="208" customWidth="1"/>
    <col min="3" max="3" width="15.42578125" style="209" bestFit="1" customWidth="1"/>
    <col min="4" max="4" width="15.42578125" style="166" bestFit="1" customWidth="1"/>
    <col min="5" max="5" width="15.5703125" style="208" bestFit="1" customWidth="1"/>
    <col min="6" max="6" width="12.28515625" style="209" bestFit="1" customWidth="1"/>
    <col min="7" max="7" width="18.42578125" style="166" bestFit="1" customWidth="1"/>
    <col min="8" max="8" width="15.42578125" style="208" hidden="1" customWidth="1"/>
    <col min="9" max="9" width="10.28515625" style="209" hidden="1" customWidth="1"/>
    <col min="10" max="10" width="13.42578125" style="166" hidden="1" customWidth="1"/>
    <col min="11" max="11" width="14.42578125" style="208" hidden="1" customWidth="1"/>
    <col min="12" max="12" width="10.28515625" style="209" hidden="1" customWidth="1"/>
    <col min="13" max="13" width="11.7109375" style="166" hidden="1" customWidth="1"/>
    <col min="14" max="14" width="14.42578125" style="208" hidden="1" customWidth="1"/>
    <col min="15" max="15" width="10.28515625" style="209" hidden="1" customWidth="1"/>
    <col min="16" max="16" width="11.7109375" style="166" hidden="1" customWidth="1"/>
    <col min="17" max="17" width="15.42578125" style="208" hidden="1" customWidth="1"/>
    <col min="18" max="18" width="10.28515625" style="209" hidden="1" customWidth="1"/>
    <col min="19" max="19" width="11.7109375" style="166" hidden="1" customWidth="1"/>
    <col min="20" max="20" width="15.42578125" style="208" hidden="1" customWidth="1"/>
    <col min="21" max="21" width="10.28515625" style="209" hidden="1" customWidth="1"/>
    <col min="22" max="22" width="11.7109375" style="166" hidden="1" customWidth="1"/>
    <col min="23" max="23" width="15.42578125" style="208" hidden="1" customWidth="1"/>
    <col min="24" max="24" width="10.28515625" style="209" hidden="1" customWidth="1"/>
    <col min="25" max="25" width="11.7109375" style="166" hidden="1" customWidth="1"/>
    <col min="26" max="26" width="15.42578125" style="208" hidden="1" customWidth="1"/>
    <col min="27" max="27" width="10.28515625" style="209" hidden="1" customWidth="1"/>
    <col min="28" max="28" width="11.7109375" style="166" hidden="1" customWidth="1"/>
    <col min="29" max="29" width="15.42578125" style="208" hidden="1" customWidth="1"/>
    <col min="30" max="30" width="10.28515625" style="209" hidden="1" customWidth="1"/>
    <col min="31" max="31" width="11.7109375" style="166" hidden="1" customWidth="1"/>
    <col min="32" max="32" width="14.42578125" style="208" hidden="1" customWidth="1"/>
    <col min="33" max="33" width="10.28515625" style="209" hidden="1" customWidth="1"/>
    <col min="34" max="34" width="10.7109375" style="166" hidden="1" customWidth="1"/>
    <col min="35" max="35" width="18.28515625" style="208" customWidth="1"/>
    <col min="36" max="36" width="11.7109375" style="209" customWidth="1"/>
    <col min="37" max="37" width="13.7109375" style="166" bestFit="1" customWidth="1"/>
    <col min="38" max="38" width="14.42578125" style="208" customWidth="1"/>
    <col min="39" max="39" width="13.140625" style="209" customWidth="1"/>
    <col min="40" max="40" width="13.7109375" style="166" bestFit="1" customWidth="1"/>
    <col min="41" max="41" width="15.42578125" style="208" bestFit="1" customWidth="1"/>
    <col min="42" max="42" width="12.28515625" style="209" bestFit="1" customWidth="1"/>
    <col min="43" max="43" width="12.5703125" style="166" bestFit="1" customWidth="1"/>
    <col min="44" max="44" width="15.42578125" style="208" bestFit="1" customWidth="1"/>
    <col min="45" max="45" width="10.28515625" style="209" bestFit="1" customWidth="1"/>
    <col min="46" max="46" width="11.7109375" style="166" bestFit="1" customWidth="1"/>
    <col min="47" max="47" width="14.42578125" style="208" customWidth="1"/>
    <col min="48" max="48" width="10.28515625" style="209" customWidth="1"/>
    <col min="49" max="49" width="10.7109375" style="166" customWidth="1"/>
    <col min="50" max="50" width="14.42578125" style="208" customWidth="1"/>
    <col min="51" max="51" width="10.28515625" style="209" customWidth="1"/>
    <col min="52" max="52" width="10.7109375" style="166" customWidth="1"/>
    <col min="53" max="53" width="14.42578125" style="208" customWidth="1"/>
    <col min="54" max="54" width="10.28515625" style="209" customWidth="1"/>
    <col min="55" max="55" width="10.7109375" style="166" customWidth="1"/>
    <col min="56" max="56" width="14.42578125" style="208" customWidth="1"/>
    <col min="57" max="57" width="10.28515625" style="209" customWidth="1"/>
    <col min="58" max="58" width="10.7109375" style="166" customWidth="1"/>
    <col min="59" max="59" width="14.42578125" style="208" customWidth="1"/>
    <col min="60" max="60" width="10.28515625" style="209" customWidth="1"/>
    <col min="61" max="61" width="10.7109375" style="166" customWidth="1"/>
    <col min="62" max="62" width="14.42578125" style="208" customWidth="1"/>
    <col min="63" max="63" width="10.28515625" style="209" customWidth="1"/>
    <col min="64" max="64" width="10.7109375" style="166" customWidth="1"/>
    <col min="65" max="65" width="14.42578125" style="208" hidden="1" customWidth="1"/>
    <col min="66" max="66" width="10.28515625" style="209" hidden="1" customWidth="1"/>
    <col min="67" max="67" width="10.7109375" style="166" hidden="1" customWidth="1"/>
    <col min="68" max="68" width="14.42578125" style="208" hidden="1" customWidth="1"/>
    <col min="69" max="69" width="10.28515625" style="209" hidden="1" customWidth="1"/>
    <col min="70" max="70" width="10.7109375" style="166" hidden="1" customWidth="1"/>
    <col min="71" max="71" width="14.42578125" style="208" hidden="1" customWidth="1"/>
    <col min="72" max="72" width="10.28515625" style="209" hidden="1" customWidth="1"/>
    <col min="73" max="73" width="10.7109375" style="166" hidden="1" customWidth="1"/>
    <col min="74" max="74" width="14.42578125" style="208" hidden="1" customWidth="1"/>
    <col min="75" max="75" width="10.28515625" style="209" hidden="1" customWidth="1"/>
    <col min="76" max="76" width="10.7109375" style="166" hidden="1" customWidth="1"/>
    <col min="77" max="77" width="14.42578125" style="208" hidden="1" customWidth="1"/>
    <col min="78" max="78" width="10.28515625" style="209" hidden="1" customWidth="1"/>
    <col min="79" max="79" width="10.7109375" style="166" hidden="1" customWidth="1"/>
    <col min="80" max="80" width="14.42578125" style="208" hidden="1" customWidth="1"/>
    <col min="81" max="81" width="10.28515625" style="209" hidden="1" customWidth="1"/>
    <col min="82" max="82" width="10.7109375" style="166" hidden="1" customWidth="1"/>
    <col min="83" max="83" width="14.42578125" style="208" hidden="1" customWidth="1"/>
    <col min="84" max="84" width="10.28515625" style="209" hidden="1" customWidth="1"/>
    <col min="85" max="85" width="10.7109375" style="166" hidden="1" customWidth="1"/>
    <col min="86" max="86" width="14.42578125" style="208" hidden="1" customWidth="1"/>
    <col min="87" max="87" width="10.28515625" style="209" hidden="1" customWidth="1"/>
    <col min="88" max="88" width="10.7109375" style="166" hidden="1" customWidth="1"/>
    <col min="89" max="89" width="14.42578125" style="208" hidden="1" customWidth="1"/>
    <col min="90" max="90" width="10.28515625" style="209" hidden="1" customWidth="1"/>
    <col min="91" max="91" width="10.7109375" style="166" hidden="1" customWidth="1"/>
    <col min="92" max="92" width="14.42578125" style="208" hidden="1" customWidth="1"/>
    <col min="93" max="93" width="10.28515625" style="209" hidden="1" customWidth="1"/>
    <col min="94" max="94" width="10.7109375" style="166" hidden="1" customWidth="1"/>
    <col min="95" max="95" width="14.42578125" style="208" hidden="1" customWidth="1"/>
    <col min="96" max="96" width="10.28515625" style="209" hidden="1" customWidth="1"/>
    <col min="97" max="97" width="10.7109375" style="166" hidden="1" customWidth="1"/>
    <col min="98" max="98" width="14.42578125" style="208" hidden="1" customWidth="1"/>
    <col min="99" max="99" width="10.28515625" style="209" hidden="1" customWidth="1"/>
    <col min="100" max="100" width="10.7109375" style="166" hidden="1" customWidth="1"/>
    <col min="101" max="101" width="14.42578125" style="208" hidden="1" customWidth="1"/>
    <col min="102" max="102" width="10.28515625" style="209" hidden="1" customWidth="1"/>
    <col min="103" max="103" width="10.7109375" style="166" hidden="1" customWidth="1"/>
    <col min="104" max="104" width="14.42578125" style="208" hidden="1" customWidth="1"/>
    <col min="105" max="105" width="10.28515625" style="209" hidden="1" customWidth="1"/>
    <col min="106" max="106" width="10.7109375" style="166" hidden="1" customWidth="1"/>
    <col min="107" max="107" width="14.42578125" style="208" hidden="1" customWidth="1"/>
    <col min="108" max="108" width="10.28515625" style="209" hidden="1" customWidth="1"/>
    <col min="109" max="109" width="10.7109375" style="166" hidden="1" customWidth="1"/>
    <col min="110" max="110" width="14.42578125" style="208" hidden="1" customWidth="1"/>
    <col min="111" max="111" width="10.28515625" style="209" hidden="1" customWidth="1"/>
    <col min="112" max="112" width="10.7109375" style="166" hidden="1" customWidth="1"/>
    <col min="113" max="113" width="14.42578125" style="208" hidden="1" customWidth="1"/>
    <col min="114" max="114" width="10.28515625" style="209" hidden="1" customWidth="1"/>
    <col min="115" max="115" width="10.7109375" style="166" hidden="1" customWidth="1"/>
    <col min="116" max="116" width="14.42578125" style="208" hidden="1" customWidth="1"/>
    <col min="117" max="117" width="10.28515625" style="209" hidden="1" customWidth="1"/>
    <col min="118" max="118" width="10.7109375" style="166" hidden="1" customWidth="1"/>
    <col min="119" max="119" width="14.42578125" style="208" hidden="1" customWidth="1"/>
    <col min="120" max="120" width="10.28515625" style="209" hidden="1" customWidth="1"/>
    <col min="121" max="121" width="10.7109375" style="166" hidden="1" customWidth="1"/>
    <col min="122" max="122" width="14.42578125" style="208" hidden="1" customWidth="1"/>
    <col min="123" max="123" width="10.28515625" style="209" hidden="1" customWidth="1"/>
    <col min="124" max="124" width="10.7109375" style="166" hidden="1" customWidth="1"/>
    <col min="125" max="125" width="14.42578125" style="208" hidden="1" customWidth="1"/>
    <col min="126" max="126" width="10.28515625" style="209" hidden="1" customWidth="1"/>
    <col min="127" max="127" width="10.7109375" style="166" hidden="1" customWidth="1"/>
    <col min="128" max="128" width="14.42578125" style="208" hidden="1" customWidth="1"/>
    <col min="129" max="129" width="10.28515625" style="209" hidden="1" customWidth="1"/>
    <col min="130" max="130" width="10.7109375" style="166" hidden="1" customWidth="1"/>
    <col min="131" max="131" width="2.7109375" style="166" customWidth="1"/>
    <col min="132" max="132" width="18.7109375" style="166" customWidth="1"/>
    <col min="133" max="133" width="15.42578125" style="166" hidden="1" customWidth="1"/>
    <col min="134" max="134" width="14.42578125" style="166" bestFit="1" customWidth="1"/>
    <col min="135" max="135" width="20.140625" style="166" customWidth="1"/>
    <col min="136" max="136" width="2.7109375" style="166" customWidth="1"/>
    <col min="137" max="137" width="15.42578125" style="166" hidden="1" customWidth="1"/>
    <col min="138" max="138" width="14.42578125" style="166" hidden="1" customWidth="1"/>
    <col min="139" max="139" width="12.42578125" style="166" hidden="1" customWidth="1"/>
    <col min="140" max="140" width="2.7109375" style="166" hidden="1" customWidth="1"/>
    <col min="141" max="141" width="18.5703125" style="166" customWidth="1"/>
    <col min="142" max="142" width="15.42578125" style="166" hidden="1" customWidth="1"/>
    <col min="143" max="143" width="14.42578125" style="166" bestFit="1" customWidth="1"/>
    <col min="144" max="144" width="18.42578125" style="166" bestFit="1" customWidth="1"/>
    <col min="145" max="145" width="42.85546875" style="166" bestFit="1" customWidth="1"/>
    <col min="146" max="146" width="19.42578125" style="166" bestFit="1" customWidth="1"/>
    <col min="147" max="147" width="23.140625" style="166" bestFit="1" customWidth="1"/>
    <col min="148" max="16384" width="9.140625" style="166"/>
  </cols>
  <sheetData>
    <row r="1" spans="1:147" s="175" customFormat="1" x14ac:dyDescent="0.25">
      <c r="A1" s="227" t="s">
        <v>0</v>
      </c>
      <c r="B1" s="228"/>
      <c r="C1" s="229"/>
      <c r="E1" s="228"/>
      <c r="F1" s="229"/>
      <c r="H1" s="228"/>
      <c r="I1" s="229"/>
      <c r="K1" s="228"/>
      <c r="L1" s="229"/>
      <c r="N1" s="228"/>
      <c r="O1" s="229"/>
      <c r="Q1" s="228"/>
      <c r="R1" s="229"/>
      <c r="T1" s="228"/>
      <c r="U1" s="229"/>
      <c r="W1" s="228"/>
      <c r="X1" s="229"/>
      <c r="Z1" s="228"/>
      <c r="AA1" s="229"/>
      <c r="AC1" s="228"/>
      <c r="AD1" s="229"/>
      <c r="AF1" s="228"/>
      <c r="AG1" s="229"/>
      <c r="AI1" s="228"/>
      <c r="AJ1" s="229"/>
      <c r="AL1" s="228"/>
      <c r="AM1" s="229"/>
      <c r="AO1" s="228"/>
      <c r="AP1" s="229"/>
      <c r="AR1" s="228"/>
      <c r="AS1" s="229"/>
      <c r="AU1" s="228"/>
      <c r="AV1" s="229"/>
      <c r="AX1" s="228"/>
      <c r="AY1" s="229"/>
      <c r="BA1" s="228"/>
      <c r="BB1" s="229"/>
      <c r="BD1" s="228"/>
      <c r="BE1" s="229"/>
      <c r="BG1" s="228"/>
      <c r="BH1" s="229"/>
      <c r="BJ1" s="228"/>
      <c r="BK1" s="229"/>
      <c r="BM1" s="228"/>
      <c r="BN1" s="229"/>
      <c r="BP1" s="228"/>
      <c r="BQ1" s="229"/>
      <c r="BS1" s="228"/>
      <c r="BT1" s="229"/>
      <c r="BV1" s="228"/>
      <c r="BW1" s="229"/>
      <c r="BY1" s="228"/>
      <c r="BZ1" s="229"/>
      <c r="CB1" s="228"/>
      <c r="CC1" s="229"/>
      <c r="CE1" s="228"/>
      <c r="CF1" s="229"/>
      <c r="CH1" s="228"/>
      <c r="CI1" s="229"/>
      <c r="CK1" s="228"/>
      <c r="CL1" s="229"/>
      <c r="CN1" s="228"/>
      <c r="CO1" s="229"/>
      <c r="CQ1" s="228"/>
      <c r="CR1" s="229"/>
      <c r="CT1" s="228"/>
      <c r="CU1" s="229"/>
      <c r="CW1" s="228"/>
      <c r="CX1" s="229"/>
      <c r="CZ1" s="228"/>
      <c r="DA1" s="229"/>
      <c r="DC1" s="228"/>
      <c r="DD1" s="229"/>
      <c r="DF1" s="228"/>
      <c r="DG1" s="229"/>
      <c r="DI1" s="228"/>
      <c r="DJ1" s="229"/>
      <c r="DL1" s="228"/>
      <c r="DM1" s="229"/>
      <c r="DO1" s="228"/>
      <c r="DP1" s="229"/>
      <c r="DR1" s="228"/>
      <c r="DS1" s="229"/>
      <c r="DU1" s="228"/>
      <c r="DV1" s="229"/>
      <c r="DX1" s="228"/>
      <c r="DY1" s="229"/>
      <c r="DZ1" s="230"/>
      <c r="ED1" s="169"/>
      <c r="EE1" s="231" t="s">
        <v>37</v>
      </c>
      <c r="EI1" s="169" t="s">
        <v>38</v>
      </c>
      <c r="EM1" s="169"/>
      <c r="EN1" s="169" t="s">
        <v>39</v>
      </c>
      <c r="EO1" s="227" t="s">
        <v>40</v>
      </c>
      <c r="EP1" s="227" t="s">
        <v>41</v>
      </c>
      <c r="EQ1" s="227" t="s">
        <v>42</v>
      </c>
    </row>
    <row r="2" spans="1:147" s="175" customFormat="1" ht="15.75" thickBot="1" x14ac:dyDescent="0.3">
      <c r="A2" s="227" t="s">
        <v>43</v>
      </c>
      <c r="B2" s="228"/>
      <c r="C2" s="229"/>
      <c r="E2" s="230"/>
      <c r="F2" s="229"/>
      <c r="G2" s="169"/>
      <c r="H2" s="228"/>
      <c r="I2" s="229"/>
      <c r="K2" s="228"/>
      <c r="L2" s="229"/>
      <c r="N2" s="228"/>
      <c r="O2" s="229"/>
      <c r="Q2" s="228"/>
      <c r="R2" s="229"/>
      <c r="T2" s="228"/>
      <c r="U2" s="229"/>
      <c r="W2" s="228"/>
      <c r="X2" s="229"/>
      <c r="Z2" s="228"/>
      <c r="AA2" s="229"/>
      <c r="AC2" s="228"/>
      <c r="AD2" s="229"/>
      <c r="AF2" s="228"/>
      <c r="AG2" s="229"/>
      <c r="AI2" s="228"/>
      <c r="AJ2" s="229"/>
      <c r="AL2" s="228"/>
      <c r="AM2" s="229"/>
      <c r="AO2" s="228"/>
      <c r="AP2" s="229"/>
      <c r="AR2" s="228"/>
      <c r="AS2" s="229"/>
      <c r="AU2" s="228"/>
      <c r="AV2" s="229"/>
      <c r="AX2" s="228"/>
      <c r="AY2" s="229"/>
      <c r="BA2" s="228"/>
      <c r="BB2" s="229"/>
      <c r="BD2" s="228"/>
      <c r="BE2" s="229"/>
      <c r="BG2" s="228"/>
      <c r="BH2" s="229"/>
      <c r="BJ2" s="228"/>
      <c r="BK2" s="229"/>
      <c r="BM2" s="228"/>
      <c r="BN2" s="229"/>
      <c r="BP2" s="228"/>
      <c r="BQ2" s="229"/>
      <c r="BS2" s="228"/>
      <c r="BT2" s="229"/>
      <c r="BV2" s="228"/>
      <c r="BW2" s="229"/>
      <c r="BY2" s="228"/>
      <c r="BZ2" s="229"/>
      <c r="CB2" s="228"/>
      <c r="CC2" s="229"/>
      <c r="CE2" s="228"/>
      <c r="CF2" s="229"/>
      <c r="CH2" s="228"/>
      <c r="CI2" s="229"/>
      <c r="CK2" s="228"/>
      <c r="CL2" s="229"/>
      <c r="CN2" s="228"/>
      <c r="CO2" s="229"/>
      <c r="CQ2" s="228"/>
      <c r="CR2" s="229"/>
      <c r="CT2" s="228"/>
      <c r="CU2" s="229"/>
      <c r="CW2" s="228"/>
      <c r="CX2" s="229"/>
      <c r="CZ2" s="228"/>
      <c r="DA2" s="229"/>
      <c r="DC2" s="228"/>
      <c r="DD2" s="229"/>
      <c r="DF2" s="228"/>
      <c r="DG2" s="229"/>
      <c r="DI2" s="228"/>
      <c r="DJ2" s="229"/>
      <c r="DL2" s="228"/>
      <c r="DM2" s="229"/>
      <c r="DO2" s="228"/>
      <c r="DP2" s="229"/>
      <c r="DR2" s="228"/>
      <c r="DS2" s="229"/>
      <c r="DU2" s="228"/>
      <c r="DV2" s="229"/>
      <c r="DX2" s="228"/>
      <c r="DY2" s="229"/>
      <c r="EB2" s="166" t="s">
        <v>44</v>
      </c>
      <c r="EC2" s="166"/>
      <c r="ED2" s="208"/>
      <c r="EE2" s="208">
        <f>EB41</f>
        <v>309375000</v>
      </c>
      <c r="EI2" s="208">
        <f>EG40</f>
        <v>0</v>
      </c>
      <c r="EM2" s="208"/>
      <c r="EN2" s="208">
        <f>EK41</f>
        <v>163225000</v>
      </c>
      <c r="EO2" s="232">
        <v>-36725.629999999997</v>
      </c>
      <c r="EP2" s="228">
        <f>EN2+EO2</f>
        <v>163188274.37</v>
      </c>
      <c r="EQ2" s="228">
        <f>EE2+EO2</f>
        <v>309338274.37</v>
      </c>
    </row>
    <row r="3" spans="1:147" ht="15.75" thickTop="1" x14ac:dyDescent="0.25">
      <c r="A3" s="233" t="s">
        <v>267</v>
      </c>
      <c r="E3" s="234" t="s">
        <v>45</v>
      </c>
      <c r="F3" s="210"/>
      <c r="G3" s="211"/>
      <c r="EB3" s="166" t="s">
        <v>46</v>
      </c>
      <c r="ED3" s="208"/>
      <c r="EE3" s="208">
        <f>AVERAGE(EB11:EB41)</f>
        <v>275900000</v>
      </c>
      <c r="EI3" s="208">
        <f>AVERAGE(EG11:EG40)</f>
        <v>0</v>
      </c>
      <c r="EM3" s="208"/>
      <c r="EN3" s="208">
        <f>AVERAGE(EK11:EK41)</f>
        <v>150656451.61290324</v>
      </c>
    </row>
    <row r="4" spans="1:147" x14ac:dyDescent="0.25">
      <c r="E4" s="212" t="s">
        <v>44</v>
      </c>
      <c r="F4" s="208"/>
      <c r="G4" s="213">
        <f>EQ2</f>
        <v>309338274.37</v>
      </c>
      <c r="AI4" s="227" t="s">
        <v>47</v>
      </c>
      <c r="EB4" s="166" t="s">
        <v>48</v>
      </c>
      <c r="ED4" s="209"/>
      <c r="EE4" s="209">
        <f>IF(EE3=0,0,360*(AVERAGE(ED11:ED41)/EE3))</f>
        <v>4.1449880281717304E-2</v>
      </c>
      <c r="EI4" s="209">
        <f>IF(EI3=0,0,360*(AVERAGE(EH11:EH40)/EI3))</f>
        <v>0</v>
      </c>
      <c r="EM4" s="209"/>
      <c r="EN4" s="209">
        <f>IF(EN3=0,0,360*(AVERAGE(EM11:EM41)/EN3))</f>
        <v>4.2369538685537493E-2</v>
      </c>
      <c r="EO4" s="175" t="s">
        <v>239</v>
      </c>
      <c r="EQ4" s="169" t="s">
        <v>47</v>
      </c>
    </row>
    <row r="5" spans="1:147" x14ac:dyDescent="0.25">
      <c r="E5" s="212" t="s">
        <v>46</v>
      </c>
      <c r="F5" s="208"/>
      <c r="G5" s="213">
        <f>EE3</f>
        <v>275900000</v>
      </c>
      <c r="AI5" s="235" t="s">
        <v>39</v>
      </c>
      <c r="EB5" s="166" t="s">
        <v>49</v>
      </c>
      <c r="ED5" s="208"/>
      <c r="EE5" s="208">
        <f>MAX(EB11:EB41)</f>
        <v>329900000</v>
      </c>
      <c r="EI5" s="208">
        <f>MAX(EG11:EG40)</f>
        <v>0</v>
      </c>
      <c r="EM5" s="208"/>
      <c r="EN5" s="208">
        <f>MAX(EK11:EK41)</f>
        <v>268575000</v>
      </c>
      <c r="EO5" s="166" t="s">
        <v>240</v>
      </c>
    </row>
    <row r="6" spans="1:147" x14ac:dyDescent="0.25">
      <c r="E6" s="212" t="s">
        <v>48</v>
      </c>
      <c r="F6" s="208"/>
      <c r="G6" s="214">
        <f>EE4</f>
        <v>4.1449880281717304E-2</v>
      </c>
    </row>
    <row r="7" spans="1:147" ht="15.75" thickBot="1" x14ac:dyDescent="0.3">
      <c r="E7" s="215" t="s">
        <v>49</v>
      </c>
      <c r="F7" s="216"/>
      <c r="G7" s="217">
        <f>EE5</f>
        <v>329900000</v>
      </c>
      <c r="AI7" s="235" t="s">
        <v>39</v>
      </c>
      <c r="EB7" s="236" t="s">
        <v>50</v>
      </c>
      <c r="EC7" s="236"/>
      <c r="ED7" s="218"/>
      <c r="EE7" s="218"/>
      <c r="EG7" s="236" t="s">
        <v>51</v>
      </c>
      <c r="EH7" s="218"/>
      <c r="EI7" s="218"/>
      <c r="EJ7" s="165"/>
      <c r="EK7" s="236" t="s">
        <v>52</v>
      </c>
      <c r="EL7" s="236"/>
      <c r="EM7" s="218"/>
      <c r="EN7" s="218"/>
    </row>
    <row r="8" spans="1:147" ht="15.75" thickTop="1" x14ac:dyDescent="0.25">
      <c r="AI8" s="230" t="s">
        <v>53</v>
      </c>
      <c r="AL8" s="230" t="s">
        <v>53</v>
      </c>
      <c r="AO8" s="230" t="s">
        <v>53</v>
      </c>
      <c r="AR8" s="230" t="s">
        <v>53</v>
      </c>
      <c r="AU8" s="230" t="s">
        <v>53</v>
      </c>
      <c r="AX8" s="230" t="s">
        <v>53</v>
      </c>
      <c r="BA8" s="230" t="s">
        <v>53</v>
      </c>
      <c r="BD8" s="230" t="s">
        <v>53</v>
      </c>
      <c r="BG8" s="230" t="s">
        <v>53</v>
      </c>
      <c r="BJ8" s="230" t="s">
        <v>53</v>
      </c>
      <c r="BM8" s="230" t="s">
        <v>53</v>
      </c>
      <c r="BP8" s="230" t="s">
        <v>53</v>
      </c>
      <c r="BS8" s="230" t="s">
        <v>53</v>
      </c>
      <c r="BV8" s="230" t="s">
        <v>53</v>
      </c>
      <c r="BY8" s="230" t="s">
        <v>53</v>
      </c>
      <c r="CB8" s="230" t="s">
        <v>53</v>
      </c>
      <c r="CE8" s="230" t="s">
        <v>53</v>
      </c>
      <c r="CH8" s="230" t="s">
        <v>53</v>
      </c>
      <c r="CK8" s="230" t="s">
        <v>53</v>
      </c>
      <c r="CN8" s="230" t="s">
        <v>53</v>
      </c>
      <c r="CQ8" s="230" t="s">
        <v>53</v>
      </c>
      <c r="CT8" s="230" t="s">
        <v>53</v>
      </c>
      <c r="CW8" s="230" t="s">
        <v>53</v>
      </c>
      <c r="CZ8" s="230" t="s">
        <v>53</v>
      </c>
      <c r="DC8" s="230" t="s">
        <v>53</v>
      </c>
      <c r="DF8" s="230" t="s">
        <v>53</v>
      </c>
      <c r="DI8" s="230" t="s">
        <v>53</v>
      </c>
      <c r="DL8" s="230" t="s">
        <v>53</v>
      </c>
      <c r="DO8" s="230" t="s">
        <v>53</v>
      </c>
      <c r="DR8" s="230" t="s">
        <v>53</v>
      </c>
      <c r="EB8" s="219"/>
      <c r="EC8" s="219"/>
      <c r="ED8" s="219"/>
      <c r="EE8" s="219" t="s">
        <v>54</v>
      </c>
      <c r="EG8" s="219"/>
      <c r="EH8" s="237" t="s">
        <v>38</v>
      </c>
      <c r="EI8" s="219" t="s">
        <v>54</v>
      </c>
      <c r="EJ8" s="219"/>
      <c r="EK8" s="169" t="s">
        <v>55</v>
      </c>
      <c r="EL8" s="169" t="s">
        <v>56</v>
      </c>
      <c r="EM8" s="237" t="s">
        <v>57</v>
      </c>
      <c r="EN8" s="219" t="s">
        <v>54</v>
      </c>
    </row>
    <row r="9" spans="1:147" x14ac:dyDescent="0.25">
      <c r="B9" s="220" t="s">
        <v>58</v>
      </c>
      <c r="C9" s="221"/>
      <c r="D9" s="218"/>
      <c r="E9" s="220" t="s">
        <v>59</v>
      </c>
      <c r="F9" s="221"/>
      <c r="G9" s="218"/>
      <c r="H9" s="220" t="s">
        <v>60</v>
      </c>
      <c r="I9" s="221"/>
      <c r="J9" s="218"/>
      <c r="K9" s="220" t="s">
        <v>61</v>
      </c>
      <c r="L9" s="221"/>
      <c r="M9" s="218"/>
      <c r="N9" s="220" t="s">
        <v>62</v>
      </c>
      <c r="O9" s="221"/>
      <c r="P9" s="218"/>
      <c r="Q9" s="220" t="s">
        <v>63</v>
      </c>
      <c r="R9" s="221"/>
      <c r="S9" s="218"/>
      <c r="T9" s="220" t="s">
        <v>64</v>
      </c>
      <c r="U9" s="221"/>
      <c r="V9" s="218"/>
      <c r="W9" s="220" t="s">
        <v>65</v>
      </c>
      <c r="X9" s="221"/>
      <c r="Y9" s="218"/>
      <c r="Z9" s="220" t="s">
        <v>66</v>
      </c>
      <c r="AA9" s="221"/>
      <c r="AB9" s="218"/>
      <c r="AC9" s="238" t="s">
        <v>67</v>
      </c>
      <c r="AD9" s="221"/>
      <c r="AE9" s="218"/>
      <c r="AF9" s="238" t="s">
        <v>68</v>
      </c>
      <c r="AG9" s="221"/>
      <c r="AH9" s="218"/>
      <c r="AI9" s="220" t="s">
        <v>69</v>
      </c>
      <c r="AJ9" s="221"/>
      <c r="AK9" s="218"/>
      <c r="AL9" s="220" t="s">
        <v>70</v>
      </c>
      <c r="AM9" s="221"/>
      <c r="AN9" s="218"/>
      <c r="AO9" s="220" t="s">
        <v>71</v>
      </c>
      <c r="AP9" s="221"/>
      <c r="AQ9" s="218"/>
      <c r="AR9" s="220" t="s">
        <v>72</v>
      </c>
      <c r="AS9" s="221"/>
      <c r="AT9" s="218"/>
      <c r="AU9" s="220" t="s">
        <v>73</v>
      </c>
      <c r="AV9" s="221"/>
      <c r="AW9" s="218"/>
      <c r="AX9" s="220" t="s">
        <v>74</v>
      </c>
      <c r="AY9" s="221"/>
      <c r="AZ9" s="218"/>
      <c r="BA9" s="220" t="s">
        <v>75</v>
      </c>
      <c r="BB9" s="221"/>
      <c r="BC9" s="218"/>
      <c r="BD9" s="220" t="s">
        <v>76</v>
      </c>
      <c r="BE9" s="221"/>
      <c r="BF9" s="218"/>
      <c r="BG9" s="220" t="s">
        <v>77</v>
      </c>
      <c r="BH9" s="221"/>
      <c r="BI9" s="218"/>
      <c r="BJ9" s="220" t="s">
        <v>78</v>
      </c>
      <c r="BK9" s="221"/>
      <c r="BL9" s="218"/>
      <c r="BM9" s="220" t="s">
        <v>79</v>
      </c>
      <c r="BN9" s="221"/>
      <c r="BO9" s="218"/>
      <c r="BP9" s="220" t="s">
        <v>80</v>
      </c>
      <c r="BQ9" s="221"/>
      <c r="BR9" s="218"/>
      <c r="BS9" s="220" t="s">
        <v>81</v>
      </c>
      <c r="BT9" s="221"/>
      <c r="BU9" s="218"/>
      <c r="BV9" s="220" t="s">
        <v>82</v>
      </c>
      <c r="BW9" s="221"/>
      <c r="BX9" s="218"/>
      <c r="BY9" s="220" t="s">
        <v>83</v>
      </c>
      <c r="BZ9" s="221"/>
      <c r="CA9" s="218"/>
      <c r="CB9" s="220" t="s">
        <v>84</v>
      </c>
      <c r="CC9" s="221"/>
      <c r="CD9" s="218"/>
      <c r="CE9" s="220" t="s">
        <v>85</v>
      </c>
      <c r="CF9" s="221"/>
      <c r="CG9" s="218"/>
      <c r="CH9" s="220" t="s">
        <v>86</v>
      </c>
      <c r="CI9" s="221"/>
      <c r="CJ9" s="218"/>
      <c r="CK9" s="220" t="s">
        <v>87</v>
      </c>
      <c r="CL9" s="221"/>
      <c r="CM9" s="218"/>
      <c r="CN9" s="220" t="s">
        <v>88</v>
      </c>
      <c r="CO9" s="221"/>
      <c r="CP9" s="218"/>
      <c r="CQ9" s="220" t="s">
        <v>89</v>
      </c>
      <c r="CR9" s="221"/>
      <c r="CS9" s="218"/>
      <c r="CT9" s="220" t="s">
        <v>90</v>
      </c>
      <c r="CU9" s="221"/>
      <c r="CV9" s="218"/>
      <c r="CW9" s="220" t="s">
        <v>91</v>
      </c>
      <c r="CX9" s="221"/>
      <c r="CY9" s="218"/>
      <c r="CZ9" s="220" t="s">
        <v>92</v>
      </c>
      <c r="DA9" s="221"/>
      <c r="DB9" s="218"/>
      <c r="DC9" s="220" t="s">
        <v>93</v>
      </c>
      <c r="DD9" s="221"/>
      <c r="DE9" s="218"/>
      <c r="DF9" s="220" t="s">
        <v>94</v>
      </c>
      <c r="DG9" s="221"/>
      <c r="DH9" s="218"/>
      <c r="DI9" s="220" t="s">
        <v>95</v>
      </c>
      <c r="DJ9" s="221"/>
      <c r="DK9" s="218"/>
      <c r="DL9" s="220" t="s">
        <v>96</v>
      </c>
      <c r="DM9" s="221"/>
      <c r="DN9" s="218"/>
      <c r="DO9" s="220" t="s">
        <v>97</v>
      </c>
      <c r="DP9" s="221"/>
      <c r="DQ9" s="218"/>
      <c r="DR9" s="220" t="s">
        <v>98</v>
      </c>
      <c r="DS9" s="221"/>
      <c r="DT9" s="218"/>
      <c r="DU9" s="220" t="s">
        <v>99</v>
      </c>
      <c r="DV9" s="221"/>
      <c r="DW9" s="218"/>
      <c r="DX9" s="239" t="s">
        <v>100</v>
      </c>
      <c r="DY9" s="221"/>
      <c r="DZ9" s="218"/>
      <c r="EA9" s="165"/>
      <c r="EB9" s="169" t="s">
        <v>101</v>
      </c>
      <c r="EC9" s="169" t="s">
        <v>102</v>
      </c>
      <c r="ED9" s="219" t="s">
        <v>103</v>
      </c>
      <c r="EE9" s="219" t="s">
        <v>104</v>
      </c>
      <c r="EG9" s="237" t="s">
        <v>105</v>
      </c>
      <c r="EH9" s="219" t="s">
        <v>103</v>
      </c>
      <c r="EI9" s="219" t="s">
        <v>104</v>
      </c>
      <c r="EJ9" s="219"/>
      <c r="EK9" s="237" t="s">
        <v>57</v>
      </c>
      <c r="EL9" s="237" t="s">
        <v>57</v>
      </c>
      <c r="EM9" s="219" t="s">
        <v>103</v>
      </c>
      <c r="EN9" s="219" t="s">
        <v>104</v>
      </c>
    </row>
    <row r="10" spans="1:147" x14ac:dyDescent="0.25">
      <c r="A10" s="219" t="s">
        <v>106</v>
      </c>
      <c r="B10" s="240" t="s">
        <v>107</v>
      </c>
      <c r="C10" s="241" t="s">
        <v>108</v>
      </c>
      <c r="D10" s="242" t="s">
        <v>12</v>
      </c>
      <c r="E10" s="240" t="s">
        <v>107</v>
      </c>
      <c r="F10" s="241" t="s">
        <v>108</v>
      </c>
      <c r="G10" s="242" t="s">
        <v>12</v>
      </c>
      <c r="H10" s="240" t="s">
        <v>107</v>
      </c>
      <c r="I10" s="241" t="s">
        <v>108</v>
      </c>
      <c r="J10" s="242" t="s">
        <v>12</v>
      </c>
      <c r="K10" s="240" t="s">
        <v>107</v>
      </c>
      <c r="L10" s="241" t="s">
        <v>108</v>
      </c>
      <c r="M10" s="242" t="s">
        <v>12</v>
      </c>
      <c r="N10" s="240" t="s">
        <v>107</v>
      </c>
      <c r="O10" s="241" t="s">
        <v>108</v>
      </c>
      <c r="P10" s="242" t="s">
        <v>12</v>
      </c>
      <c r="Q10" s="240" t="s">
        <v>107</v>
      </c>
      <c r="R10" s="241" t="s">
        <v>108</v>
      </c>
      <c r="S10" s="242" t="s">
        <v>12</v>
      </c>
      <c r="T10" s="240" t="s">
        <v>107</v>
      </c>
      <c r="U10" s="241" t="s">
        <v>108</v>
      </c>
      <c r="V10" s="242" t="s">
        <v>12</v>
      </c>
      <c r="W10" s="240" t="s">
        <v>107</v>
      </c>
      <c r="X10" s="241" t="s">
        <v>108</v>
      </c>
      <c r="Y10" s="242" t="s">
        <v>12</v>
      </c>
      <c r="Z10" s="240" t="s">
        <v>107</v>
      </c>
      <c r="AA10" s="241" t="s">
        <v>108</v>
      </c>
      <c r="AB10" s="242" t="s">
        <v>12</v>
      </c>
      <c r="AC10" s="240" t="s">
        <v>107</v>
      </c>
      <c r="AD10" s="241" t="s">
        <v>108</v>
      </c>
      <c r="AE10" s="242" t="s">
        <v>12</v>
      </c>
      <c r="AF10" s="240" t="s">
        <v>107</v>
      </c>
      <c r="AG10" s="241" t="s">
        <v>108</v>
      </c>
      <c r="AH10" s="242" t="s">
        <v>12</v>
      </c>
      <c r="AI10" s="240" t="s">
        <v>107</v>
      </c>
      <c r="AJ10" s="241" t="s">
        <v>108</v>
      </c>
      <c r="AK10" s="242" t="s">
        <v>12</v>
      </c>
      <c r="AL10" s="240" t="s">
        <v>107</v>
      </c>
      <c r="AM10" s="241" t="s">
        <v>108</v>
      </c>
      <c r="AN10" s="242" t="s">
        <v>12</v>
      </c>
      <c r="AO10" s="240" t="s">
        <v>107</v>
      </c>
      <c r="AP10" s="241" t="s">
        <v>108</v>
      </c>
      <c r="AQ10" s="242" t="s">
        <v>12</v>
      </c>
      <c r="AR10" s="240" t="s">
        <v>107</v>
      </c>
      <c r="AS10" s="241" t="s">
        <v>108</v>
      </c>
      <c r="AT10" s="242" t="s">
        <v>12</v>
      </c>
      <c r="AU10" s="240" t="s">
        <v>107</v>
      </c>
      <c r="AV10" s="241" t="s">
        <v>108</v>
      </c>
      <c r="AW10" s="242" t="s">
        <v>12</v>
      </c>
      <c r="AX10" s="240" t="s">
        <v>107</v>
      </c>
      <c r="AY10" s="241" t="s">
        <v>108</v>
      </c>
      <c r="AZ10" s="242" t="s">
        <v>12</v>
      </c>
      <c r="BA10" s="240" t="s">
        <v>107</v>
      </c>
      <c r="BB10" s="241" t="s">
        <v>108</v>
      </c>
      <c r="BC10" s="242" t="s">
        <v>12</v>
      </c>
      <c r="BD10" s="240" t="s">
        <v>107</v>
      </c>
      <c r="BE10" s="241" t="s">
        <v>108</v>
      </c>
      <c r="BF10" s="242" t="s">
        <v>12</v>
      </c>
      <c r="BG10" s="240" t="s">
        <v>107</v>
      </c>
      <c r="BH10" s="241" t="s">
        <v>108</v>
      </c>
      <c r="BI10" s="242" t="s">
        <v>12</v>
      </c>
      <c r="BJ10" s="240" t="s">
        <v>107</v>
      </c>
      <c r="BK10" s="241" t="s">
        <v>108</v>
      </c>
      <c r="BL10" s="242" t="s">
        <v>12</v>
      </c>
      <c r="BM10" s="240" t="s">
        <v>107</v>
      </c>
      <c r="BN10" s="241" t="s">
        <v>108</v>
      </c>
      <c r="BO10" s="242" t="s">
        <v>12</v>
      </c>
      <c r="BP10" s="240" t="s">
        <v>107</v>
      </c>
      <c r="BQ10" s="241" t="s">
        <v>108</v>
      </c>
      <c r="BR10" s="242" t="s">
        <v>12</v>
      </c>
      <c r="BS10" s="240" t="s">
        <v>107</v>
      </c>
      <c r="BT10" s="241" t="s">
        <v>108</v>
      </c>
      <c r="BU10" s="242" t="s">
        <v>12</v>
      </c>
      <c r="BV10" s="240" t="s">
        <v>107</v>
      </c>
      <c r="BW10" s="241" t="s">
        <v>108</v>
      </c>
      <c r="BX10" s="242" t="s">
        <v>12</v>
      </c>
      <c r="BY10" s="240" t="s">
        <v>107</v>
      </c>
      <c r="BZ10" s="241" t="s">
        <v>108</v>
      </c>
      <c r="CA10" s="242" t="s">
        <v>12</v>
      </c>
      <c r="CB10" s="240" t="s">
        <v>107</v>
      </c>
      <c r="CC10" s="241" t="s">
        <v>108</v>
      </c>
      <c r="CD10" s="242" t="s">
        <v>12</v>
      </c>
      <c r="CE10" s="240" t="s">
        <v>107</v>
      </c>
      <c r="CF10" s="241" t="s">
        <v>108</v>
      </c>
      <c r="CG10" s="242" t="s">
        <v>12</v>
      </c>
      <c r="CH10" s="240" t="s">
        <v>107</v>
      </c>
      <c r="CI10" s="241" t="s">
        <v>108</v>
      </c>
      <c r="CJ10" s="242" t="s">
        <v>12</v>
      </c>
      <c r="CK10" s="240" t="s">
        <v>107</v>
      </c>
      <c r="CL10" s="241" t="s">
        <v>108</v>
      </c>
      <c r="CM10" s="242" t="s">
        <v>12</v>
      </c>
      <c r="CN10" s="240" t="s">
        <v>107</v>
      </c>
      <c r="CO10" s="241" t="s">
        <v>108</v>
      </c>
      <c r="CP10" s="242" t="s">
        <v>12</v>
      </c>
      <c r="CQ10" s="240" t="s">
        <v>107</v>
      </c>
      <c r="CR10" s="241" t="s">
        <v>108</v>
      </c>
      <c r="CS10" s="242" t="s">
        <v>12</v>
      </c>
      <c r="CT10" s="240" t="s">
        <v>107</v>
      </c>
      <c r="CU10" s="241" t="s">
        <v>108</v>
      </c>
      <c r="CV10" s="242" t="s">
        <v>12</v>
      </c>
      <c r="CW10" s="240" t="s">
        <v>107</v>
      </c>
      <c r="CX10" s="241" t="s">
        <v>108</v>
      </c>
      <c r="CY10" s="242" t="s">
        <v>12</v>
      </c>
      <c r="CZ10" s="240" t="s">
        <v>107</v>
      </c>
      <c r="DA10" s="241" t="s">
        <v>108</v>
      </c>
      <c r="DB10" s="242" t="s">
        <v>12</v>
      </c>
      <c r="DC10" s="240" t="s">
        <v>107</v>
      </c>
      <c r="DD10" s="241" t="s">
        <v>108</v>
      </c>
      <c r="DE10" s="242" t="s">
        <v>12</v>
      </c>
      <c r="DF10" s="240" t="s">
        <v>107</v>
      </c>
      <c r="DG10" s="241" t="s">
        <v>108</v>
      </c>
      <c r="DH10" s="242" t="s">
        <v>12</v>
      </c>
      <c r="DI10" s="240" t="s">
        <v>107</v>
      </c>
      <c r="DJ10" s="241" t="s">
        <v>108</v>
      </c>
      <c r="DK10" s="242" t="s">
        <v>12</v>
      </c>
      <c r="DL10" s="240" t="s">
        <v>107</v>
      </c>
      <c r="DM10" s="241" t="s">
        <v>108</v>
      </c>
      <c r="DN10" s="242" t="s">
        <v>12</v>
      </c>
      <c r="DO10" s="240" t="s">
        <v>107</v>
      </c>
      <c r="DP10" s="241" t="s">
        <v>108</v>
      </c>
      <c r="DQ10" s="242" t="s">
        <v>12</v>
      </c>
      <c r="DR10" s="240" t="s">
        <v>107</v>
      </c>
      <c r="DS10" s="241" t="s">
        <v>108</v>
      </c>
      <c r="DT10" s="242" t="s">
        <v>12</v>
      </c>
      <c r="DU10" s="240" t="s">
        <v>107</v>
      </c>
      <c r="DV10" s="241" t="s">
        <v>108</v>
      </c>
      <c r="DW10" s="242" t="s">
        <v>12</v>
      </c>
      <c r="DX10" s="240" t="s">
        <v>107</v>
      </c>
      <c r="DY10" s="241"/>
      <c r="DZ10" s="242"/>
      <c r="EA10" s="242"/>
      <c r="EB10" s="242" t="s">
        <v>109</v>
      </c>
      <c r="EC10" s="242" t="s">
        <v>109</v>
      </c>
      <c r="ED10" s="242" t="s">
        <v>12</v>
      </c>
      <c r="EE10" s="242" t="s">
        <v>108</v>
      </c>
      <c r="EG10" s="242" t="s">
        <v>109</v>
      </c>
      <c r="EH10" s="242" t="s">
        <v>12</v>
      </c>
      <c r="EI10" s="242" t="s">
        <v>108</v>
      </c>
      <c r="EJ10" s="242"/>
      <c r="EK10" s="242" t="s">
        <v>109</v>
      </c>
      <c r="EL10" s="242" t="s">
        <v>109</v>
      </c>
      <c r="EM10" s="242" t="s">
        <v>12</v>
      </c>
      <c r="EN10" s="242" t="s">
        <v>108</v>
      </c>
    </row>
    <row r="11" spans="1:147" x14ac:dyDescent="0.25">
      <c r="A11" s="222">
        <v>45931</v>
      </c>
      <c r="B11" s="208">
        <v>61325000</v>
      </c>
      <c r="C11" s="209">
        <v>4.1086640000000001E-2</v>
      </c>
      <c r="D11" s="208">
        <f>(B11*C11)/360</f>
        <v>6998.9949944444443</v>
      </c>
      <c r="G11" s="208">
        <f>(E11*F11)/360</f>
        <v>0</v>
      </c>
      <c r="J11" s="208">
        <f>(H11*I11)/360</f>
        <v>0</v>
      </c>
      <c r="M11" s="208">
        <f>(K11*L11)/360</f>
        <v>0</v>
      </c>
      <c r="P11" s="208">
        <f>(N11*O11)/360</f>
        <v>0</v>
      </c>
      <c r="S11" s="208">
        <f>(Q11*R11)/360</f>
        <v>0</v>
      </c>
      <c r="V11" s="208">
        <f>(T11*U11)/360</f>
        <v>0</v>
      </c>
      <c r="Y11" s="208">
        <f>(W11*X11)/360</f>
        <v>0</v>
      </c>
      <c r="AB11" s="208">
        <f>(Z11*AA11)/360</f>
        <v>0</v>
      </c>
      <c r="AE11" s="208">
        <v>0</v>
      </c>
      <c r="AH11" s="208">
        <v>0</v>
      </c>
      <c r="AI11" s="223">
        <f>150000000+118575000</f>
        <v>268575000</v>
      </c>
      <c r="AJ11" s="224">
        <v>4.2500000000000003E-2</v>
      </c>
      <c r="AK11" s="208">
        <f>(AI11*AJ11)/360</f>
        <v>31706.770833333332</v>
      </c>
      <c r="AL11" s="223"/>
      <c r="AM11" s="224"/>
      <c r="AN11" s="208">
        <f>(AL11*AM11)/360</f>
        <v>0</v>
      </c>
      <c r="AO11" s="223"/>
      <c r="AP11" s="224"/>
      <c r="AQ11" s="208">
        <f>(AO11*AP11)/360</f>
        <v>0</v>
      </c>
      <c r="AR11" s="223"/>
      <c r="AS11" s="224"/>
      <c r="AT11" s="208">
        <f>(AR11*AS11)/360</f>
        <v>0</v>
      </c>
      <c r="AW11" s="208">
        <f>(AU11*AV11)/360</f>
        <v>0</v>
      </c>
      <c r="AZ11" s="208">
        <f>(AX11*AY11)/360</f>
        <v>0</v>
      </c>
      <c r="BC11" s="208">
        <f>(BA11*BB11)/360</f>
        <v>0</v>
      </c>
      <c r="BF11" s="208">
        <f>(BD11*BE11)/360</f>
        <v>0</v>
      </c>
      <c r="BI11" s="208">
        <f>(BG11*BH11)/360</f>
        <v>0</v>
      </c>
      <c r="BL11" s="208">
        <f>(BJ11*BK11)/360</f>
        <v>0</v>
      </c>
      <c r="BO11" s="208">
        <f>(BM11*BN11)/360</f>
        <v>0</v>
      </c>
      <c r="BR11" s="208">
        <f>(BP11*BQ11)/360</f>
        <v>0</v>
      </c>
      <c r="BU11" s="208">
        <f>(BS11*BT11)/360</f>
        <v>0</v>
      </c>
      <c r="BX11" s="208">
        <f>(BV11*BW11)/360</f>
        <v>0</v>
      </c>
      <c r="CA11" s="208">
        <f>(BY11*BZ11)/360</f>
        <v>0</v>
      </c>
      <c r="CD11" s="208">
        <f>(CB11*CC11)/360</f>
        <v>0</v>
      </c>
      <c r="CG11" s="208">
        <f>(CE11*CF11)/360</f>
        <v>0</v>
      </c>
      <c r="CJ11" s="208">
        <f>(CH11*CI11)/360</f>
        <v>0</v>
      </c>
      <c r="CM11" s="208">
        <f>(CK11*CL11)/360</f>
        <v>0</v>
      </c>
      <c r="CP11" s="208">
        <f>(CN11*CO11)/360</f>
        <v>0</v>
      </c>
      <c r="CS11" s="208">
        <f>(CQ11*CR11)/360</f>
        <v>0</v>
      </c>
      <c r="CV11" s="208">
        <f>(CT11*CU11)/360</f>
        <v>0</v>
      </c>
      <c r="CY11" s="208">
        <f>(CW11*CX11)/360</f>
        <v>0</v>
      </c>
      <c r="DB11" s="208">
        <f>(CZ11*DA11)/360</f>
        <v>0</v>
      </c>
      <c r="DE11" s="208">
        <f>(DC11*DD11)/360</f>
        <v>0</v>
      </c>
      <c r="DH11" s="208">
        <f>(DF11*DG11)/360</f>
        <v>0</v>
      </c>
      <c r="DK11" s="208">
        <f>(DI11*DJ11)/360</f>
        <v>0</v>
      </c>
      <c r="DN11" s="208">
        <f>(DL11*DM11)/360</f>
        <v>0</v>
      </c>
      <c r="DQ11" s="208">
        <f>(DO11*DP11)/360</f>
        <v>0</v>
      </c>
      <c r="DT11" s="208">
        <f>(DR11*DS11)/360</f>
        <v>0</v>
      </c>
      <c r="DW11" s="208">
        <f>(DU11*DV11)/360</f>
        <v>0</v>
      </c>
      <c r="DZ11" s="208"/>
      <c r="EA11" s="208"/>
      <c r="EB11" s="228">
        <f>B11+E11+H11+K11+N11+Q11+T11+W11+Z11+AC11+AF11+AL11+AO11+AR11+AU11+AX11+BA11+BD11+BG11+DU11+AI11+DR11+DO11+DL11+DI11+DF11+DC11+CZ11+CW11+CT11+CQ11+CN11+CK11+CH11+CE11+CB11+BY11+BV11+BS11+BP11+BM11+BJ11</f>
        <v>329900000</v>
      </c>
      <c r="EC11" s="228">
        <f>EB11-EK11+EL11</f>
        <v>61325000</v>
      </c>
      <c r="ED11" s="208">
        <f>D11+G11+J11+M11+P11+S11+V11+Y11+AB11+AE11+AH11+AK11+AN11+AQ11+AT11+AW11+AZ11+BC11+BF11+BI11+DW11+DT11+DQ11+DN11+DK11+DH11+DE11+DB11+CY11+CV11+CS11+CP11+CM11+CJ11+CG11+CD11+CA11+BX11+BU11+BR11+BO11+BL11</f>
        <v>38705.765827777774</v>
      </c>
      <c r="EE11" s="209">
        <f>IF(EB11&lt;&gt;0,((ED11/EB11)*360),0)</f>
        <v>4.2237270985147006E-2</v>
      </c>
      <c r="EG11" s="228">
        <f>Q11+T11+W11+Z11+AC11+AF11</f>
        <v>0</v>
      </c>
      <c r="EH11" s="208">
        <f>S11+V11+Y11+AB11+AE11+AH11</f>
        <v>0</v>
      </c>
      <c r="EI11" s="209">
        <f>IF(EG11&lt;&gt;0,((EH11/EG11)*360),0)</f>
        <v>0</v>
      </c>
      <c r="EJ11" s="209"/>
      <c r="EK11" s="228">
        <f>DR11+DL11+DI11+DF11+DC11+CZ11+CW11+CT11+CQ11+CN11+CK11+CH11+CE11+CB11+BY11+BV11+BS11+BP11+BM11+BJ11+BG11+BD11+BA11+AX11+AU11+AR11+AO11+AL11+AI11+DO11</f>
        <v>268575000</v>
      </c>
      <c r="EL11" s="228">
        <f>DX11</f>
        <v>0</v>
      </c>
      <c r="EM11" s="228">
        <f>DT11+DQ11+DN11+DK11+DH11+DE11+DB11+CY11+CV11+CS11+CP11+CM11+CJ11+CG11+CD11+CA11+BX11+BU11+BR11+BO11+BL11+BI11+BF11+BC11+AZ11+AW11+AT11+AQ11+AN11+AK11</f>
        <v>31706.770833333332</v>
      </c>
      <c r="EN11" s="209">
        <f>IF(EK11&lt;&gt;0,((EM11/EK11)*360),0)</f>
        <v>4.2499999999999996E-2</v>
      </c>
      <c r="EP11" s="208"/>
    </row>
    <row r="12" spans="1:147" x14ac:dyDescent="0.25">
      <c r="A12" s="222">
        <f>1+A11</f>
        <v>45932</v>
      </c>
      <c r="B12" s="208">
        <v>71050000</v>
      </c>
      <c r="C12" s="209">
        <v>4.1114530000000003E-2</v>
      </c>
      <c r="D12" s="208">
        <f t="shared" ref="D12:D41" si="0">(B12*C12)/360</f>
        <v>8114.4093236111121</v>
      </c>
      <c r="G12" s="208">
        <f t="shared" ref="G12:G41" si="1">(E12*F12)/360</f>
        <v>0</v>
      </c>
      <c r="J12" s="208">
        <f t="shared" ref="J12:J41" si="2">(H12*I12)/360</f>
        <v>0</v>
      </c>
      <c r="M12" s="208">
        <f t="shared" ref="M12:M41" si="3">(K12*L12)/360</f>
        <v>0</v>
      </c>
      <c r="P12" s="208">
        <f t="shared" ref="P12:P41" si="4">(N12*O12)/360</f>
        <v>0</v>
      </c>
      <c r="S12" s="208">
        <f t="shared" ref="S12:S41" si="5">(Q12*R12)/360</f>
        <v>0</v>
      </c>
      <c r="V12" s="208">
        <f t="shared" ref="V12:V41" si="6">(T12*U12)/360</f>
        <v>0</v>
      </c>
      <c r="Y12" s="208">
        <f t="shared" ref="Y12:Y41" si="7">(W12*X12)/360</f>
        <v>0</v>
      </c>
      <c r="AB12" s="208">
        <f t="shared" ref="AB12:AB41" si="8">(Z12*AA12)/360</f>
        <v>0</v>
      </c>
      <c r="AE12" s="208">
        <v>0</v>
      </c>
      <c r="AH12" s="208">
        <v>0</v>
      </c>
      <c r="AI12" s="223">
        <f>150000000+101650000</f>
        <v>251650000</v>
      </c>
      <c r="AJ12" s="224">
        <v>4.2500000000000003E-2</v>
      </c>
      <c r="AK12" s="208">
        <f t="shared" ref="AK12:AK41" si="9">(AI12*AJ12)/360</f>
        <v>29708.680555555555</v>
      </c>
      <c r="AL12" s="223"/>
      <c r="AM12" s="224"/>
      <c r="AN12" s="208">
        <f t="shared" ref="AN12:AN41" si="10">(AL12*AM12)/360</f>
        <v>0</v>
      </c>
      <c r="AO12" s="223"/>
      <c r="AP12" s="224"/>
      <c r="AQ12" s="208">
        <f t="shared" ref="AQ12:AQ41" si="11">(AO12*AP12)/360</f>
        <v>0</v>
      </c>
      <c r="AR12" s="223"/>
      <c r="AS12" s="224"/>
      <c r="AT12" s="208">
        <f t="shared" ref="AT12:AT41" si="12">(AR12*AS12)/360</f>
        <v>0</v>
      </c>
      <c r="AW12" s="208">
        <f t="shared" ref="AW12:AW41" si="13">(AU12*AV12)/360</f>
        <v>0</v>
      </c>
      <c r="AZ12" s="208">
        <f t="shared" ref="AZ12:AZ41" si="14">(AX12*AY12)/360</f>
        <v>0</v>
      </c>
      <c r="BC12" s="208">
        <f t="shared" ref="BC12:BC41" si="15">(BA12*BB12)/360</f>
        <v>0</v>
      </c>
      <c r="BF12" s="208">
        <f t="shared" ref="BF12:BF41" si="16">(BD12*BE12)/360</f>
        <v>0</v>
      </c>
      <c r="BI12" s="208">
        <f t="shared" ref="BI12:BI41" si="17">(BG12*BH12)/360</f>
        <v>0</v>
      </c>
      <c r="BL12" s="208">
        <f t="shared" ref="BL12:BL41" si="18">(BJ12*BK12)/360</f>
        <v>0</v>
      </c>
      <c r="BO12" s="208">
        <f t="shared" ref="BO12:BO41" si="19">(BM12*BN12)/360</f>
        <v>0</v>
      </c>
      <c r="BR12" s="208">
        <f t="shared" ref="BR12:BR41" si="20">(BP12*BQ12)/360</f>
        <v>0</v>
      </c>
      <c r="BU12" s="208">
        <f t="shared" ref="BU12:BU41" si="21">(BS12*BT12)/360</f>
        <v>0</v>
      </c>
      <c r="BX12" s="208">
        <f t="shared" ref="BX12:BX41" si="22">(BV12*BW12)/360</f>
        <v>0</v>
      </c>
      <c r="CA12" s="208">
        <f t="shared" ref="CA12:CA41" si="23">(BY12*BZ12)/360</f>
        <v>0</v>
      </c>
      <c r="CD12" s="208">
        <f t="shared" ref="CD12:CD41" si="24">(CB12*CC12)/360</f>
        <v>0</v>
      </c>
      <c r="CG12" s="208">
        <f t="shared" ref="CG12:CG41" si="25">(CE12*CF12)/360</f>
        <v>0</v>
      </c>
      <c r="CJ12" s="208">
        <f t="shared" ref="CJ12:CJ41" si="26">(CH12*CI12)/360</f>
        <v>0</v>
      </c>
      <c r="CM12" s="208">
        <f t="shared" ref="CM12:CM41" si="27">(CK12*CL12)/360</f>
        <v>0</v>
      </c>
      <c r="CP12" s="208">
        <f t="shared" ref="CP12:CP41" si="28">(CN12*CO12)/360</f>
        <v>0</v>
      </c>
      <c r="CS12" s="208">
        <f t="shared" ref="CS12:CS41" si="29">(CQ12*CR12)/360</f>
        <v>0</v>
      </c>
      <c r="CV12" s="208">
        <f t="shared" ref="CV12:CV41" si="30">(CT12*CU12)/360</f>
        <v>0</v>
      </c>
      <c r="CY12" s="208">
        <f t="shared" ref="CY12:CY41" si="31">(CW12*CX12)/360</f>
        <v>0</v>
      </c>
      <c r="DB12" s="208">
        <f t="shared" ref="DB12:DB41" si="32">(CZ12*DA12)/360</f>
        <v>0</v>
      </c>
      <c r="DE12" s="208">
        <f t="shared" ref="DE12:DE41" si="33">(DC12*DD12)/360</f>
        <v>0</v>
      </c>
      <c r="DH12" s="208">
        <f t="shared" ref="DH12:DH41" si="34">(DF12*DG12)/360</f>
        <v>0</v>
      </c>
      <c r="DK12" s="208">
        <f t="shared" ref="DK12:DK41" si="35">(DI12*DJ12)/360</f>
        <v>0</v>
      </c>
      <c r="DN12" s="208">
        <f t="shared" ref="DN12:DN41" si="36">(DL12*DM12)/360</f>
        <v>0</v>
      </c>
      <c r="DQ12" s="208">
        <f t="shared" ref="DQ12:DQ41" si="37">(DO12*DP12)/360</f>
        <v>0</v>
      </c>
      <c r="DT12" s="208">
        <f t="shared" ref="DT12:DT41" si="38">(DR12*DS12)/360</f>
        <v>0</v>
      </c>
      <c r="DW12" s="208">
        <f t="shared" ref="DW12:DW41" si="39">(DU12*DV12)/360</f>
        <v>0</v>
      </c>
      <c r="DZ12" s="208"/>
      <c r="EA12" s="208"/>
      <c r="EB12" s="228">
        <f t="shared" ref="EB12:EB41" si="40">B12+E12+H12+K12+N12+Q12+T12+W12+Z12+AC12+AF12+AL12+AO12+AR12+AU12+AX12+BA12+BD12+BG12+DU12+AI12+DR12+DO12+DL12+DI12+DF12+DC12+CZ12+CW12+CT12+CQ12+CN12+CK12+CH12+CE12+CB12+BY12+BV12+BS12+BP12+BM12+BJ12</f>
        <v>322700000</v>
      </c>
      <c r="EC12" s="228">
        <f t="shared" ref="EC12:EC41" si="41">EB12-EK12+EL12</f>
        <v>71050000</v>
      </c>
      <c r="ED12" s="208">
        <f t="shared" ref="ED12:ED41" si="42">D12+G12+J12+M12+P12+S12+V12+Y12+AB12+AE12+AH12+AK12+AN12+AQ12+AT12+AW12+AZ12+BC12+BF12+BI12+DW12+DT12+DQ12+DN12+DK12+DH12+DE12+DB12+CY12+CV12+CS12+CP12+CM12+CJ12+CG12+CD12+CA12+BX12+BU12+BR12+BO12+BL12</f>
        <v>37823.08987916667</v>
      </c>
      <c r="EE12" s="209">
        <f t="shared" ref="EE12:EE41" si="43">IF(EB12&lt;&gt;0,((ED12/EB12)*360),0)</f>
        <v>4.21949561713666E-2</v>
      </c>
      <c r="EG12" s="228">
        <f t="shared" ref="EG12:EG41" si="44">Q12+T12+W12+Z12+AC12+AF12</f>
        <v>0</v>
      </c>
      <c r="EH12" s="208">
        <f t="shared" ref="EH12:EH41" si="45">S12+V12+Y12+AB12+AE12+AH12</f>
        <v>0</v>
      </c>
      <c r="EI12" s="209">
        <f t="shared" ref="EI12:EI41" si="46">IF(EG12&lt;&gt;0,((EH12/EG12)*360),0)</f>
        <v>0</v>
      </c>
      <c r="EJ12" s="209"/>
      <c r="EK12" s="228">
        <f t="shared" ref="EK12:EK41" si="47">DR12+DL12+DI12+DF12+DC12+CZ12+CW12+CT12+CQ12+CN12+CK12+CH12+CE12+CB12+BY12+BV12+BS12+BP12+BM12+BJ12+BG12+BD12+BA12+AX12+AU12+AR12+AO12+AL12+AI12+DO12</f>
        <v>251650000</v>
      </c>
      <c r="EL12" s="228">
        <f t="shared" ref="EL12:EL41" si="48">DX12</f>
        <v>0</v>
      </c>
      <c r="EM12" s="228">
        <f t="shared" ref="EM12:EM41" si="49">DT12+DQ12+DN12+DK12+DH12+DE12+DB12+CY12+CV12+CS12+CP12+CM12+CJ12+CG12+CD12+CA12+BX12+BU12+BR12+BO12+BL12+BI12+BF12+BC12+AZ12+AW12+AT12+AQ12+AN12+AK12</f>
        <v>29708.680555555555</v>
      </c>
      <c r="EN12" s="209">
        <f t="shared" ref="EN12:EN41" si="50">IF(EK12&lt;&gt;0,((EM12/EK12)*360),0)</f>
        <v>4.2499999999999996E-2</v>
      </c>
      <c r="EP12" s="208"/>
    </row>
    <row r="13" spans="1:147" x14ac:dyDescent="0.25">
      <c r="A13" s="222">
        <f t="shared" ref="A13:A41" si="51">1+A12</f>
        <v>45933</v>
      </c>
      <c r="B13" s="208">
        <v>78550000</v>
      </c>
      <c r="C13" s="209">
        <v>4.0762159999999999E-2</v>
      </c>
      <c r="D13" s="208">
        <f t="shared" si="0"/>
        <v>8894.0768555555551</v>
      </c>
      <c r="G13" s="208">
        <f t="shared" si="1"/>
        <v>0</v>
      </c>
      <c r="J13" s="208">
        <f t="shared" si="2"/>
        <v>0</v>
      </c>
      <c r="M13" s="208">
        <f t="shared" si="3"/>
        <v>0</v>
      </c>
      <c r="P13" s="208">
        <f t="shared" si="4"/>
        <v>0</v>
      </c>
      <c r="S13" s="208">
        <f t="shared" si="5"/>
        <v>0</v>
      </c>
      <c r="V13" s="208">
        <f t="shared" si="6"/>
        <v>0</v>
      </c>
      <c r="Y13" s="208">
        <f t="shared" si="7"/>
        <v>0</v>
      </c>
      <c r="AB13" s="208">
        <f t="shared" si="8"/>
        <v>0</v>
      </c>
      <c r="AE13" s="208">
        <v>0</v>
      </c>
      <c r="AH13" s="208">
        <v>0</v>
      </c>
      <c r="AI13" s="223">
        <f>64725000+100000000</f>
        <v>164725000</v>
      </c>
      <c r="AJ13" s="224">
        <v>4.2500000000000003E-2</v>
      </c>
      <c r="AK13" s="208">
        <f t="shared" si="9"/>
        <v>19446.701388888891</v>
      </c>
      <c r="AL13" s="223">
        <f t="shared" ref="AL13:AL19" si="52">80000000</f>
        <v>80000000</v>
      </c>
      <c r="AM13" s="224">
        <v>4.2700000000000002E-2</v>
      </c>
      <c r="AN13" s="208">
        <f t="shared" si="10"/>
        <v>9488.8888888888887</v>
      </c>
      <c r="AO13" s="223"/>
      <c r="AP13" s="224"/>
      <c r="AQ13" s="208">
        <f t="shared" si="11"/>
        <v>0</v>
      </c>
      <c r="AR13" s="223"/>
      <c r="AS13" s="224"/>
      <c r="AT13" s="208">
        <f t="shared" si="12"/>
        <v>0</v>
      </c>
      <c r="AW13" s="208">
        <f t="shared" si="13"/>
        <v>0</v>
      </c>
      <c r="AZ13" s="208">
        <f t="shared" si="14"/>
        <v>0</v>
      </c>
      <c r="BC13" s="208">
        <f t="shared" si="15"/>
        <v>0</v>
      </c>
      <c r="BF13" s="208">
        <f t="shared" si="16"/>
        <v>0</v>
      </c>
      <c r="BI13" s="208">
        <f t="shared" si="17"/>
        <v>0</v>
      </c>
      <c r="BL13" s="208">
        <f t="shared" si="18"/>
        <v>0</v>
      </c>
      <c r="BO13" s="208">
        <f t="shared" si="19"/>
        <v>0</v>
      </c>
      <c r="BR13" s="208">
        <f t="shared" si="20"/>
        <v>0</v>
      </c>
      <c r="BU13" s="208">
        <f t="shared" si="21"/>
        <v>0</v>
      </c>
      <c r="BX13" s="208">
        <f t="shared" si="22"/>
        <v>0</v>
      </c>
      <c r="CA13" s="208">
        <f t="shared" si="23"/>
        <v>0</v>
      </c>
      <c r="CD13" s="208">
        <f t="shared" si="24"/>
        <v>0</v>
      </c>
      <c r="CG13" s="208">
        <f t="shared" si="25"/>
        <v>0</v>
      </c>
      <c r="CJ13" s="208">
        <f t="shared" si="26"/>
        <v>0</v>
      </c>
      <c r="CM13" s="208">
        <f t="shared" si="27"/>
        <v>0</v>
      </c>
      <c r="CP13" s="208">
        <f t="shared" si="28"/>
        <v>0</v>
      </c>
      <c r="CS13" s="208">
        <f t="shared" si="29"/>
        <v>0</v>
      </c>
      <c r="CV13" s="208">
        <f t="shared" si="30"/>
        <v>0</v>
      </c>
      <c r="CY13" s="208">
        <f t="shared" si="31"/>
        <v>0</v>
      </c>
      <c r="DB13" s="208">
        <f t="shared" si="32"/>
        <v>0</v>
      </c>
      <c r="DE13" s="208">
        <f t="shared" si="33"/>
        <v>0</v>
      </c>
      <c r="DH13" s="208">
        <f t="shared" si="34"/>
        <v>0</v>
      </c>
      <c r="DK13" s="208">
        <f t="shared" si="35"/>
        <v>0</v>
      </c>
      <c r="DN13" s="208">
        <f t="shared" si="36"/>
        <v>0</v>
      </c>
      <c r="DQ13" s="208">
        <f t="shared" si="37"/>
        <v>0</v>
      </c>
      <c r="DT13" s="208">
        <f t="shared" si="38"/>
        <v>0</v>
      </c>
      <c r="DW13" s="208">
        <f t="shared" si="39"/>
        <v>0</v>
      </c>
      <c r="DZ13" s="208"/>
      <c r="EA13" s="208"/>
      <c r="EB13" s="228">
        <f t="shared" si="40"/>
        <v>323275000</v>
      </c>
      <c r="EC13" s="228">
        <f t="shared" si="41"/>
        <v>78550000</v>
      </c>
      <c r="ED13" s="208">
        <f t="shared" si="42"/>
        <v>37829.667133333336</v>
      </c>
      <c r="EE13" s="209">
        <f t="shared" si="43"/>
        <v>4.2127229658959091E-2</v>
      </c>
      <c r="EG13" s="228">
        <f t="shared" si="44"/>
        <v>0</v>
      </c>
      <c r="EH13" s="208">
        <f t="shared" si="45"/>
        <v>0</v>
      </c>
      <c r="EI13" s="209">
        <f t="shared" si="46"/>
        <v>0</v>
      </c>
      <c r="EJ13" s="209"/>
      <c r="EK13" s="228">
        <f t="shared" si="47"/>
        <v>244725000</v>
      </c>
      <c r="EL13" s="228">
        <f t="shared" si="48"/>
        <v>0</v>
      </c>
      <c r="EM13" s="228">
        <f t="shared" si="49"/>
        <v>28935.590277777781</v>
      </c>
      <c r="EN13" s="209">
        <f t="shared" si="50"/>
        <v>4.2565379507610586E-2</v>
      </c>
      <c r="EP13" s="208"/>
    </row>
    <row r="14" spans="1:147" x14ac:dyDescent="0.25">
      <c r="A14" s="222">
        <f t="shared" si="51"/>
        <v>45934</v>
      </c>
      <c r="B14" s="208">
        <v>78550000</v>
      </c>
      <c r="C14" s="209">
        <v>4.0762159999999999E-2</v>
      </c>
      <c r="D14" s="208">
        <f t="shared" si="0"/>
        <v>8894.0768555555551</v>
      </c>
      <c r="G14" s="208">
        <f t="shared" si="1"/>
        <v>0</v>
      </c>
      <c r="J14" s="208">
        <f t="shared" si="2"/>
        <v>0</v>
      </c>
      <c r="M14" s="208">
        <f t="shared" si="3"/>
        <v>0</v>
      </c>
      <c r="P14" s="208">
        <f t="shared" si="4"/>
        <v>0</v>
      </c>
      <c r="S14" s="208">
        <f t="shared" si="5"/>
        <v>0</v>
      </c>
      <c r="V14" s="208">
        <f t="shared" si="6"/>
        <v>0</v>
      </c>
      <c r="Y14" s="208">
        <f t="shared" si="7"/>
        <v>0</v>
      </c>
      <c r="AB14" s="208">
        <f t="shared" si="8"/>
        <v>0</v>
      </c>
      <c r="AE14" s="208">
        <v>0</v>
      </c>
      <c r="AH14" s="208">
        <v>0</v>
      </c>
      <c r="AI14" s="223">
        <f>64725000+100000000</f>
        <v>164725000</v>
      </c>
      <c r="AJ14" s="224">
        <v>4.2500000000000003E-2</v>
      </c>
      <c r="AK14" s="208">
        <f t="shared" si="9"/>
        <v>19446.701388888891</v>
      </c>
      <c r="AL14" s="223">
        <f t="shared" si="52"/>
        <v>80000000</v>
      </c>
      <c r="AM14" s="224">
        <v>4.2700000000000002E-2</v>
      </c>
      <c r="AN14" s="208">
        <f t="shared" si="10"/>
        <v>9488.8888888888887</v>
      </c>
      <c r="AO14" s="223"/>
      <c r="AP14" s="224"/>
      <c r="AQ14" s="208">
        <f t="shared" si="11"/>
        <v>0</v>
      </c>
      <c r="AR14" s="223"/>
      <c r="AS14" s="224"/>
      <c r="AT14" s="208">
        <f t="shared" si="12"/>
        <v>0</v>
      </c>
      <c r="AW14" s="208">
        <f t="shared" si="13"/>
        <v>0</v>
      </c>
      <c r="AZ14" s="208">
        <f t="shared" si="14"/>
        <v>0</v>
      </c>
      <c r="BC14" s="208">
        <f t="shared" si="15"/>
        <v>0</v>
      </c>
      <c r="BF14" s="208">
        <f t="shared" si="16"/>
        <v>0</v>
      </c>
      <c r="BI14" s="208">
        <f t="shared" si="17"/>
        <v>0</v>
      </c>
      <c r="BL14" s="208">
        <f t="shared" si="18"/>
        <v>0</v>
      </c>
      <c r="BO14" s="208">
        <f t="shared" si="19"/>
        <v>0</v>
      </c>
      <c r="BR14" s="208">
        <f t="shared" si="20"/>
        <v>0</v>
      </c>
      <c r="BU14" s="208">
        <f t="shared" si="21"/>
        <v>0</v>
      </c>
      <c r="BX14" s="208">
        <f t="shared" si="22"/>
        <v>0</v>
      </c>
      <c r="CA14" s="208">
        <f t="shared" si="23"/>
        <v>0</v>
      </c>
      <c r="CD14" s="208">
        <f t="shared" si="24"/>
        <v>0</v>
      </c>
      <c r="CG14" s="208">
        <f t="shared" si="25"/>
        <v>0</v>
      </c>
      <c r="CJ14" s="208">
        <f t="shared" si="26"/>
        <v>0</v>
      </c>
      <c r="CM14" s="208">
        <f t="shared" si="27"/>
        <v>0</v>
      </c>
      <c r="CP14" s="208">
        <f t="shared" si="28"/>
        <v>0</v>
      </c>
      <c r="CS14" s="208">
        <f t="shared" si="29"/>
        <v>0</v>
      </c>
      <c r="CV14" s="208">
        <f t="shared" si="30"/>
        <v>0</v>
      </c>
      <c r="CY14" s="208">
        <f t="shared" si="31"/>
        <v>0</v>
      </c>
      <c r="DB14" s="208">
        <f t="shared" si="32"/>
        <v>0</v>
      </c>
      <c r="DE14" s="208">
        <f t="shared" si="33"/>
        <v>0</v>
      </c>
      <c r="DH14" s="208">
        <f t="shared" si="34"/>
        <v>0</v>
      </c>
      <c r="DK14" s="208">
        <f t="shared" si="35"/>
        <v>0</v>
      </c>
      <c r="DN14" s="208">
        <f t="shared" si="36"/>
        <v>0</v>
      </c>
      <c r="DQ14" s="208">
        <f t="shared" si="37"/>
        <v>0</v>
      </c>
      <c r="DT14" s="208">
        <f t="shared" si="38"/>
        <v>0</v>
      </c>
      <c r="DW14" s="208">
        <f t="shared" si="39"/>
        <v>0</v>
      </c>
      <c r="DZ14" s="208"/>
      <c r="EA14" s="208"/>
      <c r="EB14" s="228">
        <f t="shared" si="40"/>
        <v>323275000</v>
      </c>
      <c r="EC14" s="228">
        <f t="shared" si="41"/>
        <v>78550000</v>
      </c>
      <c r="ED14" s="208">
        <f t="shared" si="42"/>
        <v>37829.667133333336</v>
      </c>
      <c r="EE14" s="209">
        <f t="shared" si="43"/>
        <v>4.2127229658959091E-2</v>
      </c>
      <c r="EG14" s="228">
        <f t="shared" si="44"/>
        <v>0</v>
      </c>
      <c r="EH14" s="208">
        <f t="shared" si="45"/>
        <v>0</v>
      </c>
      <c r="EI14" s="209">
        <f t="shared" si="46"/>
        <v>0</v>
      </c>
      <c r="EJ14" s="209"/>
      <c r="EK14" s="228">
        <f t="shared" si="47"/>
        <v>244725000</v>
      </c>
      <c r="EL14" s="228">
        <f t="shared" si="48"/>
        <v>0</v>
      </c>
      <c r="EM14" s="228">
        <f t="shared" si="49"/>
        <v>28935.590277777781</v>
      </c>
      <c r="EN14" s="209">
        <f t="shared" si="50"/>
        <v>4.2565379507610586E-2</v>
      </c>
      <c r="EP14" s="208"/>
    </row>
    <row r="15" spans="1:147" x14ac:dyDescent="0.25">
      <c r="A15" s="222">
        <f t="shared" si="51"/>
        <v>45935</v>
      </c>
      <c r="B15" s="208">
        <v>78550000</v>
      </c>
      <c r="C15" s="209">
        <v>4.0762159999999999E-2</v>
      </c>
      <c r="D15" s="208">
        <f t="shared" si="0"/>
        <v>8894.0768555555551</v>
      </c>
      <c r="G15" s="208">
        <f t="shared" si="1"/>
        <v>0</v>
      </c>
      <c r="J15" s="208">
        <f t="shared" si="2"/>
        <v>0</v>
      </c>
      <c r="M15" s="208">
        <f t="shared" si="3"/>
        <v>0</v>
      </c>
      <c r="P15" s="208">
        <f t="shared" si="4"/>
        <v>0</v>
      </c>
      <c r="S15" s="208">
        <f t="shared" si="5"/>
        <v>0</v>
      </c>
      <c r="V15" s="208">
        <f t="shared" si="6"/>
        <v>0</v>
      </c>
      <c r="Y15" s="208">
        <f t="shared" si="7"/>
        <v>0</v>
      </c>
      <c r="AB15" s="208">
        <f t="shared" si="8"/>
        <v>0</v>
      </c>
      <c r="AE15" s="208">
        <v>0</v>
      </c>
      <c r="AH15" s="208">
        <v>0</v>
      </c>
      <c r="AI15" s="223">
        <f>64725000+100000000</f>
        <v>164725000</v>
      </c>
      <c r="AJ15" s="224">
        <v>4.2500000000000003E-2</v>
      </c>
      <c r="AK15" s="208">
        <f t="shared" si="9"/>
        <v>19446.701388888891</v>
      </c>
      <c r="AL15" s="223">
        <f t="shared" si="52"/>
        <v>80000000</v>
      </c>
      <c r="AM15" s="224">
        <v>4.2700000000000002E-2</v>
      </c>
      <c r="AN15" s="208">
        <f t="shared" si="10"/>
        <v>9488.8888888888887</v>
      </c>
      <c r="AO15" s="223"/>
      <c r="AP15" s="224"/>
      <c r="AQ15" s="208">
        <f t="shared" si="11"/>
        <v>0</v>
      </c>
      <c r="AR15" s="223"/>
      <c r="AS15" s="224"/>
      <c r="AT15" s="208">
        <f t="shared" si="12"/>
        <v>0</v>
      </c>
      <c r="AW15" s="208">
        <f t="shared" si="13"/>
        <v>0</v>
      </c>
      <c r="AZ15" s="208">
        <f t="shared" si="14"/>
        <v>0</v>
      </c>
      <c r="BC15" s="208">
        <f t="shared" si="15"/>
        <v>0</v>
      </c>
      <c r="BF15" s="208">
        <f t="shared" si="16"/>
        <v>0</v>
      </c>
      <c r="BI15" s="208">
        <f t="shared" si="17"/>
        <v>0</v>
      </c>
      <c r="BL15" s="208">
        <f t="shared" si="18"/>
        <v>0</v>
      </c>
      <c r="BO15" s="208">
        <f t="shared" si="19"/>
        <v>0</v>
      </c>
      <c r="BR15" s="208">
        <f t="shared" si="20"/>
        <v>0</v>
      </c>
      <c r="BU15" s="208">
        <f t="shared" si="21"/>
        <v>0</v>
      </c>
      <c r="BX15" s="208">
        <f t="shared" si="22"/>
        <v>0</v>
      </c>
      <c r="CA15" s="208">
        <f t="shared" si="23"/>
        <v>0</v>
      </c>
      <c r="CD15" s="208">
        <f t="shared" si="24"/>
        <v>0</v>
      </c>
      <c r="CG15" s="208">
        <f t="shared" si="25"/>
        <v>0</v>
      </c>
      <c r="CJ15" s="208">
        <f t="shared" si="26"/>
        <v>0</v>
      </c>
      <c r="CM15" s="208">
        <f t="shared" si="27"/>
        <v>0</v>
      </c>
      <c r="CP15" s="208">
        <f t="shared" si="28"/>
        <v>0</v>
      </c>
      <c r="CS15" s="208">
        <f t="shared" si="29"/>
        <v>0</v>
      </c>
      <c r="CV15" s="208">
        <f t="shared" si="30"/>
        <v>0</v>
      </c>
      <c r="CY15" s="208">
        <f t="shared" si="31"/>
        <v>0</v>
      </c>
      <c r="DB15" s="208">
        <f t="shared" si="32"/>
        <v>0</v>
      </c>
      <c r="DE15" s="208">
        <f t="shared" si="33"/>
        <v>0</v>
      </c>
      <c r="DH15" s="208">
        <f t="shared" si="34"/>
        <v>0</v>
      </c>
      <c r="DK15" s="208">
        <f t="shared" si="35"/>
        <v>0</v>
      </c>
      <c r="DN15" s="208">
        <f t="shared" si="36"/>
        <v>0</v>
      </c>
      <c r="DQ15" s="208">
        <f t="shared" si="37"/>
        <v>0</v>
      </c>
      <c r="DT15" s="208">
        <f t="shared" si="38"/>
        <v>0</v>
      </c>
      <c r="DW15" s="208">
        <f t="shared" si="39"/>
        <v>0</v>
      </c>
      <c r="DZ15" s="208"/>
      <c r="EA15" s="208"/>
      <c r="EB15" s="228">
        <f t="shared" si="40"/>
        <v>323275000</v>
      </c>
      <c r="EC15" s="228">
        <f t="shared" si="41"/>
        <v>78550000</v>
      </c>
      <c r="ED15" s="208">
        <f t="shared" si="42"/>
        <v>37829.667133333336</v>
      </c>
      <c r="EE15" s="209">
        <f t="shared" si="43"/>
        <v>4.2127229658959091E-2</v>
      </c>
      <c r="EG15" s="228">
        <f t="shared" si="44"/>
        <v>0</v>
      </c>
      <c r="EH15" s="208">
        <f t="shared" si="45"/>
        <v>0</v>
      </c>
      <c r="EI15" s="209">
        <f t="shared" si="46"/>
        <v>0</v>
      </c>
      <c r="EJ15" s="209"/>
      <c r="EK15" s="228">
        <f t="shared" si="47"/>
        <v>244725000</v>
      </c>
      <c r="EL15" s="228">
        <f t="shared" si="48"/>
        <v>0</v>
      </c>
      <c r="EM15" s="228">
        <f t="shared" si="49"/>
        <v>28935.590277777781</v>
      </c>
      <c r="EN15" s="209">
        <f t="shared" si="50"/>
        <v>4.2565379507610586E-2</v>
      </c>
      <c r="EP15" s="208"/>
    </row>
    <row r="16" spans="1:147" x14ac:dyDescent="0.25">
      <c r="A16" s="222">
        <f t="shared" si="51"/>
        <v>45936</v>
      </c>
      <c r="B16" s="208">
        <v>75350000</v>
      </c>
      <c r="C16" s="209">
        <v>4.0866980000000004E-2</v>
      </c>
      <c r="D16" s="208">
        <f t="shared" si="0"/>
        <v>8553.6859527777797</v>
      </c>
      <c r="G16" s="208">
        <f t="shared" si="1"/>
        <v>0</v>
      </c>
      <c r="J16" s="208">
        <f t="shared" si="2"/>
        <v>0</v>
      </c>
      <c r="M16" s="208">
        <f t="shared" si="3"/>
        <v>0</v>
      </c>
      <c r="P16" s="208">
        <f t="shared" si="4"/>
        <v>0</v>
      </c>
      <c r="S16" s="208">
        <f t="shared" si="5"/>
        <v>0</v>
      </c>
      <c r="V16" s="208">
        <f t="shared" si="6"/>
        <v>0</v>
      </c>
      <c r="Y16" s="208">
        <f t="shared" si="7"/>
        <v>0</v>
      </c>
      <c r="AB16" s="208">
        <f t="shared" si="8"/>
        <v>0</v>
      </c>
      <c r="AE16" s="208">
        <v>0</v>
      </c>
      <c r="AH16" s="208">
        <v>0</v>
      </c>
      <c r="AI16" s="223">
        <f>85000000+78150000+5000000</f>
        <v>168150000</v>
      </c>
      <c r="AJ16" s="224">
        <v>4.2500000000000003E-2</v>
      </c>
      <c r="AK16" s="208">
        <f t="shared" si="9"/>
        <v>19851.041666666668</v>
      </c>
      <c r="AL16" s="223">
        <f t="shared" si="52"/>
        <v>80000000</v>
      </c>
      <c r="AM16" s="224">
        <v>4.2700000000000002E-2</v>
      </c>
      <c r="AN16" s="208">
        <f t="shared" si="10"/>
        <v>9488.8888888888887</v>
      </c>
      <c r="AO16" s="223"/>
      <c r="AP16" s="224"/>
      <c r="AQ16" s="208">
        <f t="shared" si="11"/>
        <v>0</v>
      </c>
      <c r="AR16" s="223"/>
      <c r="AS16" s="224"/>
      <c r="AT16" s="208">
        <f t="shared" si="12"/>
        <v>0</v>
      </c>
      <c r="AW16" s="208">
        <f t="shared" si="13"/>
        <v>0</v>
      </c>
      <c r="AZ16" s="208">
        <f t="shared" si="14"/>
        <v>0</v>
      </c>
      <c r="BC16" s="208">
        <f t="shared" si="15"/>
        <v>0</v>
      </c>
      <c r="BF16" s="208">
        <f t="shared" si="16"/>
        <v>0</v>
      </c>
      <c r="BI16" s="208">
        <f t="shared" si="17"/>
        <v>0</v>
      </c>
      <c r="BL16" s="208">
        <f t="shared" si="18"/>
        <v>0</v>
      </c>
      <c r="BO16" s="208">
        <f t="shared" si="19"/>
        <v>0</v>
      </c>
      <c r="BR16" s="208">
        <f t="shared" si="20"/>
        <v>0</v>
      </c>
      <c r="BU16" s="208">
        <f t="shared" si="21"/>
        <v>0</v>
      </c>
      <c r="BX16" s="208">
        <f t="shared" si="22"/>
        <v>0</v>
      </c>
      <c r="CA16" s="208">
        <f t="shared" si="23"/>
        <v>0</v>
      </c>
      <c r="CD16" s="208">
        <f t="shared" si="24"/>
        <v>0</v>
      </c>
      <c r="CG16" s="208">
        <f t="shared" si="25"/>
        <v>0</v>
      </c>
      <c r="CJ16" s="208">
        <f t="shared" si="26"/>
        <v>0</v>
      </c>
      <c r="CM16" s="208">
        <f t="shared" si="27"/>
        <v>0</v>
      </c>
      <c r="CP16" s="208">
        <f t="shared" si="28"/>
        <v>0</v>
      </c>
      <c r="CS16" s="208">
        <f t="shared" si="29"/>
        <v>0</v>
      </c>
      <c r="CV16" s="208">
        <f t="shared" si="30"/>
        <v>0</v>
      </c>
      <c r="CY16" s="208">
        <f t="shared" si="31"/>
        <v>0</v>
      </c>
      <c r="DB16" s="208">
        <f t="shared" si="32"/>
        <v>0</v>
      </c>
      <c r="DE16" s="208">
        <f t="shared" si="33"/>
        <v>0</v>
      </c>
      <c r="DH16" s="208">
        <f t="shared" si="34"/>
        <v>0</v>
      </c>
      <c r="DK16" s="208">
        <f t="shared" si="35"/>
        <v>0</v>
      </c>
      <c r="DN16" s="208">
        <f t="shared" si="36"/>
        <v>0</v>
      </c>
      <c r="DQ16" s="208">
        <f t="shared" si="37"/>
        <v>0</v>
      </c>
      <c r="DT16" s="208">
        <f t="shared" si="38"/>
        <v>0</v>
      </c>
      <c r="DW16" s="208">
        <f t="shared" si="39"/>
        <v>0</v>
      </c>
      <c r="DZ16" s="208"/>
      <c r="EA16" s="208"/>
      <c r="EB16" s="228">
        <f t="shared" si="40"/>
        <v>323500000</v>
      </c>
      <c r="EC16" s="228">
        <f t="shared" si="41"/>
        <v>75350000</v>
      </c>
      <c r="ED16" s="208">
        <f t="shared" si="42"/>
        <v>37893.61650833334</v>
      </c>
      <c r="EE16" s="209">
        <f t="shared" si="43"/>
        <v>4.2169094105100474E-2</v>
      </c>
      <c r="EG16" s="228">
        <f t="shared" si="44"/>
        <v>0</v>
      </c>
      <c r="EH16" s="208">
        <f t="shared" si="45"/>
        <v>0</v>
      </c>
      <c r="EI16" s="209">
        <f t="shared" si="46"/>
        <v>0</v>
      </c>
      <c r="EJ16" s="209"/>
      <c r="EK16" s="228">
        <f t="shared" si="47"/>
        <v>248150000</v>
      </c>
      <c r="EL16" s="228">
        <f t="shared" si="48"/>
        <v>0</v>
      </c>
      <c r="EM16" s="228">
        <f t="shared" si="49"/>
        <v>29339.930555555555</v>
      </c>
      <c r="EN16" s="209">
        <f t="shared" si="50"/>
        <v>4.2564477130767678E-2</v>
      </c>
      <c r="EP16" s="208"/>
    </row>
    <row r="17" spans="1:146" x14ac:dyDescent="0.25">
      <c r="A17" s="222">
        <f t="shared" si="51"/>
        <v>45937</v>
      </c>
      <c r="B17" s="208">
        <v>84750000</v>
      </c>
      <c r="C17" s="209">
        <v>4.0832830000000001E-2</v>
      </c>
      <c r="D17" s="208">
        <f t="shared" si="0"/>
        <v>9612.7287291666671</v>
      </c>
      <c r="G17" s="208">
        <f t="shared" si="1"/>
        <v>0</v>
      </c>
      <c r="J17" s="208">
        <f t="shared" si="2"/>
        <v>0</v>
      </c>
      <c r="M17" s="208">
        <f t="shared" si="3"/>
        <v>0</v>
      </c>
      <c r="P17" s="208">
        <f t="shared" si="4"/>
        <v>0</v>
      </c>
      <c r="S17" s="208">
        <f t="shared" si="5"/>
        <v>0</v>
      </c>
      <c r="V17" s="208">
        <f t="shared" si="6"/>
        <v>0</v>
      </c>
      <c r="Y17" s="208">
        <f t="shared" si="7"/>
        <v>0</v>
      </c>
      <c r="AB17" s="208">
        <f t="shared" si="8"/>
        <v>0</v>
      </c>
      <c r="AE17" s="208">
        <v>0</v>
      </c>
      <c r="AH17" s="208">
        <v>0</v>
      </c>
      <c r="AI17" s="223">
        <f>44188000+55812000+35025000</f>
        <v>135025000</v>
      </c>
      <c r="AJ17" s="224">
        <v>4.2500000000000003E-2</v>
      </c>
      <c r="AK17" s="208">
        <f t="shared" si="9"/>
        <v>15940.451388888889</v>
      </c>
      <c r="AL17" s="223">
        <f t="shared" si="52"/>
        <v>80000000</v>
      </c>
      <c r="AM17" s="224">
        <v>4.2700000000000002E-2</v>
      </c>
      <c r="AN17" s="208">
        <f t="shared" si="10"/>
        <v>9488.8888888888887</v>
      </c>
      <c r="AO17" s="223"/>
      <c r="AP17" s="224"/>
      <c r="AQ17" s="208">
        <f t="shared" si="11"/>
        <v>0</v>
      </c>
      <c r="AR17" s="223"/>
      <c r="AS17" s="224"/>
      <c r="AT17" s="208">
        <f t="shared" si="12"/>
        <v>0</v>
      </c>
      <c r="AW17" s="208">
        <f t="shared" si="13"/>
        <v>0</v>
      </c>
      <c r="AZ17" s="208">
        <f t="shared" si="14"/>
        <v>0</v>
      </c>
      <c r="BC17" s="208">
        <f t="shared" si="15"/>
        <v>0</v>
      </c>
      <c r="BF17" s="208">
        <f t="shared" si="16"/>
        <v>0</v>
      </c>
      <c r="BI17" s="208">
        <f t="shared" si="17"/>
        <v>0</v>
      </c>
      <c r="BL17" s="208">
        <f t="shared" si="18"/>
        <v>0</v>
      </c>
      <c r="BO17" s="208">
        <f t="shared" si="19"/>
        <v>0</v>
      </c>
      <c r="BR17" s="208">
        <f t="shared" si="20"/>
        <v>0</v>
      </c>
      <c r="BU17" s="208">
        <f t="shared" si="21"/>
        <v>0</v>
      </c>
      <c r="BX17" s="208">
        <f t="shared" si="22"/>
        <v>0</v>
      </c>
      <c r="CA17" s="208">
        <f t="shared" si="23"/>
        <v>0</v>
      </c>
      <c r="CD17" s="208">
        <f t="shared" si="24"/>
        <v>0</v>
      </c>
      <c r="CG17" s="208">
        <f t="shared" si="25"/>
        <v>0</v>
      </c>
      <c r="CJ17" s="208">
        <f t="shared" si="26"/>
        <v>0</v>
      </c>
      <c r="CM17" s="208">
        <f t="shared" si="27"/>
        <v>0</v>
      </c>
      <c r="CP17" s="208">
        <f t="shared" si="28"/>
        <v>0</v>
      </c>
      <c r="CS17" s="208">
        <f t="shared" si="29"/>
        <v>0</v>
      </c>
      <c r="CV17" s="208">
        <f t="shared" si="30"/>
        <v>0</v>
      </c>
      <c r="CY17" s="208">
        <f t="shared" si="31"/>
        <v>0</v>
      </c>
      <c r="DB17" s="208">
        <f t="shared" si="32"/>
        <v>0</v>
      </c>
      <c r="DE17" s="208">
        <f t="shared" si="33"/>
        <v>0</v>
      </c>
      <c r="DH17" s="208">
        <f t="shared" si="34"/>
        <v>0</v>
      </c>
      <c r="DK17" s="208">
        <f t="shared" si="35"/>
        <v>0</v>
      </c>
      <c r="DN17" s="208">
        <f t="shared" si="36"/>
        <v>0</v>
      </c>
      <c r="DQ17" s="208">
        <f t="shared" si="37"/>
        <v>0</v>
      </c>
      <c r="DT17" s="208">
        <f t="shared" si="38"/>
        <v>0</v>
      </c>
      <c r="DW17" s="208">
        <f t="shared" si="39"/>
        <v>0</v>
      </c>
      <c r="DZ17" s="208"/>
      <c r="EA17" s="208"/>
      <c r="EB17" s="228">
        <f t="shared" si="40"/>
        <v>299775000</v>
      </c>
      <c r="EC17" s="228">
        <f t="shared" si="41"/>
        <v>84750000</v>
      </c>
      <c r="ED17" s="208">
        <f t="shared" si="42"/>
        <v>35042.069006944446</v>
      </c>
      <c r="EE17" s="209">
        <f t="shared" si="43"/>
        <v>4.2082044341589527E-2</v>
      </c>
      <c r="EG17" s="228">
        <f t="shared" si="44"/>
        <v>0</v>
      </c>
      <c r="EH17" s="208">
        <f t="shared" si="45"/>
        <v>0</v>
      </c>
      <c r="EI17" s="209">
        <f t="shared" si="46"/>
        <v>0</v>
      </c>
      <c r="EJ17" s="209"/>
      <c r="EK17" s="228">
        <f t="shared" si="47"/>
        <v>215025000</v>
      </c>
      <c r="EL17" s="228">
        <f t="shared" si="48"/>
        <v>0</v>
      </c>
      <c r="EM17" s="228">
        <f t="shared" si="49"/>
        <v>25429.340277777777</v>
      </c>
      <c r="EN17" s="209">
        <f t="shared" si="50"/>
        <v>4.2574409952331124E-2</v>
      </c>
      <c r="EP17" s="208"/>
    </row>
    <row r="18" spans="1:146" x14ac:dyDescent="0.25">
      <c r="A18" s="222">
        <f t="shared" si="51"/>
        <v>45938</v>
      </c>
      <c r="B18" s="208">
        <v>91550000</v>
      </c>
      <c r="C18" s="209">
        <v>4.047506E-2</v>
      </c>
      <c r="D18" s="208">
        <f t="shared" si="0"/>
        <v>10293.032619444446</v>
      </c>
      <c r="G18" s="208">
        <f t="shared" si="1"/>
        <v>0</v>
      </c>
      <c r="J18" s="208">
        <f t="shared" si="2"/>
        <v>0</v>
      </c>
      <c r="M18" s="208">
        <f t="shared" si="3"/>
        <v>0</v>
      </c>
      <c r="P18" s="208">
        <f t="shared" si="4"/>
        <v>0</v>
      </c>
      <c r="S18" s="208">
        <f t="shared" si="5"/>
        <v>0</v>
      </c>
      <c r="V18" s="208">
        <f t="shared" si="6"/>
        <v>0</v>
      </c>
      <c r="Y18" s="208">
        <f t="shared" si="7"/>
        <v>0</v>
      </c>
      <c r="AB18" s="208">
        <f t="shared" si="8"/>
        <v>0</v>
      </c>
      <c r="AE18" s="208">
        <v>0</v>
      </c>
      <c r="AH18" s="208">
        <v>0</v>
      </c>
      <c r="AI18" s="223">
        <f>35650000+75000000</f>
        <v>110650000</v>
      </c>
      <c r="AJ18" s="224">
        <v>4.2500000000000003E-2</v>
      </c>
      <c r="AK18" s="208">
        <f t="shared" si="9"/>
        <v>13062.847222222223</v>
      </c>
      <c r="AL18" s="223">
        <f t="shared" si="52"/>
        <v>80000000</v>
      </c>
      <c r="AM18" s="224">
        <v>4.2700000000000002E-2</v>
      </c>
      <c r="AN18" s="208">
        <f t="shared" si="10"/>
        <v>9488.8888888888887</v>
      </c>
      <c r="AO18" s="223"/>
      <c r="AP18" s="224"/>
      <c r="AQ18" s="208">
        <f t="shared" si="11"/>
        <v>0</v>
      </c>
      <c r="AR18" s="223"/>
      <c r="AS18" s="224"/>
      <c r="AT18" s="208">
        <f t="shared" si="12"/>
        <v>0</v>
      </c>
      <c r="AW18" s="208">
        <f t="shared" si="13"/>
        <v>0</v>
      </c>
      <c r="AZ18" s="208">
        <f t="shared" si="14"/>
        <v>0</v>
      </c>
      <c r="BC18" s="208">
        <f t="shared" si="15"/>
        <v>0</v>
      </c>
      <c r="BF18" s="208">
        <f t="shared" si="16"/>
        <v>0</v>
      </c>
      <c r="BI18" s="208">
        <f t="shared" si="17"/>
        <v>0</v>
      </c>
      <c r="BL18" s="208">
        <f t="shared" si="18"/>
        <v>0</v>
      </c>
      <c r="BO18" s="208">
        <f t="shared" si="19"/>
        <v>0</v>
      </c>
      <c r="BR18" s="208">
        <f t="shared" si="20"/>
        <v>0</v>
      </c>
      <c r="BU18" s="208">
        <f t="shared" si="21"/>
        <v>0</v>
      </c>
      <c r="BX18" s="208">
        <f t="shared" si="22"/>
        <v>0</v>
      </c>
      <c r="CA18" s="208">
        <f t="shared" si="23"/>
        <v>0</v>
      </c>
      <c r="CD18" s="208">
        <f t="shared" si="24"/>
        <v>0</v>
      </c>
      <c r="CG18" s="208">
        <f t="shared" si="25"/>
        <v>0</v>
      </c>
      <c r="CJ18" s="208">
        <f t="shared" si="26"/>
        <v>0</v>
      </c>
      <c r="CM18" s="208">
        <f t="shared" si="27"/>
        <v>0</v>
      </c>
      <c r="CP18" s="208">
        <f t="shared" si="28"/>
        <v>0</v>
      </c>
      <c r="CS18" s="208">
        <f t="shared" si="29"/>
        <v>0</v>
      </c>
      <c r="CV18" s="208">
        <f t="shared" si="30"/>
        <v>0</v>
      </c>
      <c r="CY18" s="208">
        <f t="shared" si="31"/>
        <v>0</v>
      </c>
      <c r="DB18" s="208">
        <f t="shared" si="32"/>
        <v>0</v>
      </c>
      <c r="DE18" s="208">
        <f t="shared" si="33"/>
        <v>0</v>
      </c>
      <c r="DH18" s="208">
        <f t="shared" si="34"/>
        <v>0</v>
      </c>
      <c r="DK18" s="208">
        <f t="shared" si="35"/>
        <v>0</v>
      </c>
      <c r="DN18" s="208">
        <f t="shared" si="36"/>
        <v>0</v>
      </c>
      <c r="DQ18" s="208">
        <f t="shared" si="37"/>
        <v>0</v>
      </c>
      <c r="DT18" s="208">
        <f t="shared" si="38"/>
        <v>0</v>
      </c>
      <c r="DW18" s="208">
        <f t="shared" si="39"/>
        <v>0</v>
      </c>
      <c r="DZ18" s="208"/>
      <c r="EA18" s="208"/>
      <c r="EB18" s="228">
        <f t="shared" si="40"/>
        <v>282200000</v>
      </c>
      <c r="EC18" s="228">
        <f t="shared" si="41"/>
        <v>91550000</v>
      </c>
      <c r="ED18" s="208">
        <f t="shared" si="42"/>
        <v>32844.768730555559</v>
      </c>
      <c r="EE18" s="209">
        <f t="shared" si="43"/>
        <v>4.1899775843373503E-2</v>
      </c>
      <c r="EG18" s="228">
        <f t="shared" si="44"/>
        <v>0</v>
      </c>
      <c r="EH18" s="208">
        <f t="shared" si="45"/>
        <v>0</v>
      </c>
      <c r="EI18" s="209">
        <f t="shared" si="46"/>
        <v>0</v>
      </c>
      <c r="EJ18" s="209"/>
      <c r="EK18" s="228">
        <f t="shared" si="47"/>
        <v>190650000</v>
      </c>
      <c r="EL18" s="228">
        <f t="shared" si="48"/>
        <v>0</v>
      </c>
      <c r="EM18" s="228">
        <f t="shared" si="49"/>
        <v>22551.736111111109</v>
      </c>
      <c r="EN18" s="209">
        <f t="shared" si="50"/>
        <v>4.2583923419879356E-2</v>
      </c>
      <c r="EP18" s="208"/>
    </row>
    <row r="19" spans="1:146" x14ac:dyDescent="0.25">
      <c r="A19" s="222">
        <f t="shared" si="51"/>
        <v>45939</v>
      </c>
      <c r="B19" s="208">
        <v>93125000</v>
      </c>
      <c r="C19" s="209">
        <v>4.0960830000000004E-2</v>
      </c>
      <c r="D19" s="208">
        <f t="shared" si="0"/>
        <v>10595.770260416668</v>
      </c>
      <c r="G19" s="208">
        <f t="shared" si="1"/>
        <v>0</v>
      </c>
      <c r="J19" s="208">
        <f t="shared" si="2"/>
        <v>0</v>
      </c>
      <c r="M19" s="208">
        <f t="shared" si="3"/>
        <v>0</v>
      </c>
      <c r="P19" s="208">
        <f t="shared" si="4"/>
        <v>0</v>
      </c>
      <c r="S19" s="208">
        <f t="shared" si="5"/>
        <v>0</v>
      </c>
      <c r="V19" s="208">
        <f t="shared" si="6"/>
        <v>0</v>
      </c>
      <c r="Y19" s="208">
        <f t="shared" si="7"/>
        <v>0</v>
      </c>
      <c r="AB19" s="208">
        <f t="shared" si="8"/>
        <v>0</v>
      </c>
      <c r="AE19" s="208">
        <v>0</v>
      </c>
      <c r="AH19" s="208">
        <v>0</v>
      </c>
      <c r="AI19" s="223">
        <f>100500000</f>
        <v>100500000</v>
      </c>
      <c r="AJ19" s="224">
        <v>4.2500000000000003E-2</v>
      </c>
      <c r="AK19" s="208">
        <f t="shared" si="9"/>
        <v>11864.583333333334</v>
      </c>
      <c r="AL19" s="223">
        <f t="shared" si="52"/>
        <v>80000000</v>
      </c>
      <c r="AM19" s="224">
        <v>4.2700000000000002E-2</v>
      </c>
      <c r="AN19" s="208">
        <f t="shared" si="10"/>
        <v>9488.8888888888887</v>
      </c>
      <c r="AO19" s="223"/>
      <c r="AP19" s="224"/>
      <c r="AQ19" s="208">
        <f t="shared" si="11"/>
        <v>0</v>
      </c>
      <c r="AR19" s="223"/>
      <c r="AS19" s="224"/>
      <c r="AT19" s="208">
        <f t="shared" si="12"/>
        <v>0</v>
      </c>
      <c r="AW19" s="208">
        <f t="shared" si="13"/>
        <v>0</v>
      </c>
      <c r="AZ19" s="208">
        <f t="shared" si="14"/>
        <v>0</v>
      </c>
      <c r="BC19" s="208">
        <f t="shared" si="15"/>
        <v>0</v>
      </c>
      <c r="BF19" s="208">
        <f t="shared" si="16"/>
        <v>0</v>
      </c>
      <c r="BI19" s="208">
        <f t="shared" si="17"/>
        <v>0</v>
      </c>
      <c r="BL19" s="208">
        <f t="shared" si="18"/>
        <v>0</v>
      </c>
      <c r="BO19" s="208">
        <f t="shared" si="19"/>
        <v>0</v>
      </c>
      <c r="BR19" s="208">
        <f t="shared" si="20"/>
        <v>0</v>
      </c>
      <c r="BU19" s="208">
        <f t="shared" si="21"/>
        <v>0</v>
      </c>
      <c r="BX19" s="208">
        <f t="shared" si="22"/>
        <v>0</v>
      </c>
      <c r="CA19" s="208">
        <f t="shared" si="23"/>
        <v>0</v>
      </c>
      <c r="CD19" s="208">
        <f t="shared" si="24"/>
        <v>0</v>
      </c>
      <c r="CG19" s="208">
        <f t="shared" si="25"/>
        <v>0</v>
      </c>
      <c r="CJ19" s="208">
        <f t="shared" si="26"/>
        <v>0</v>
      </c>
      <c r="CM19" s="208">
        <f t="shared" si="27"/>
        <v>0</v>
      </c>
      <c r="CP19" s="208">
        <f t="shared" si="28"/>
        <v>0</v>
      </c>
      <c r="CS19" s="208">
        <f t="shared" si="29"/>
        <v>0</v>
      </c>
      <c r="CV19" s="208">
        <f t="shared" si="30"/>
        <v>0</v>
      </c>
      <c r="CY19" s="208">
        <f t="shared" si="31"/>
        <v>0</v>
      </c>
      <c r="DB19" s="208">
        <f t="shared" si="32"/>
        <v>0</v>
      </c>
      <c r="DE19" s="208">
        <f t="shared" si="33"/>
        <v>0</v>
      </c>
      <c r="DH19" s="208">
        <f t="shared" si="34"/>
        <v>0</v>
      </c>
      <c r="DK19" s="208">
        <f t="shared" si="35"/>
        <v>0</v>
      </c>
      <c r="DN19" s="208">
        <f t="shared" si="36"/>
        <v>0</v>
      </c>
      <c r="DQ19" s="208">
        <f t="shared" si="37"/>
        <v>0</v>
      </c>
      <c r="DT19" s="208">
        <f t="shared" si="38"/>
        <v>0</v>
      </c>
      <c r="DW19" s="208">
        <f t="shared" si="39"/>
        <v>0</v>
      </c>
      <c r="DZ19" s="208"/>
      <c r="EA19" s="208"/>
      <c r="EB19" s="228">
        <f t="shared" si="40"/>
        <v>273625000</v>
      </c>
      <c r="EC19" s="228">
        <f t="shared" si="41"/>
        <v>93125000</v>
      </c>
      <c r="ED19" s="208">
        <f t="shared" si="42"/>
        <v>31949.242482638889</v>
      </c>
      <c r="EE19" s="209">
        <f t="shared" si="43"/>
        <v>4.203463606669712E-2</v>
      </c>
      <c r="EG19" s="228">
        <f t="shared" si="44"/>
        <v>0</v>
      </c>
      <c r="EH19" s="208">
        <f t="shared" si="45"/>
        <v>0</v>
      </c>
      <c r="EI19" s="209">
        <f t="shared" si="46"/>
        <v>0</v>
      </c>
      <c r="EJ19" s="209"/>
      <c r="EK19" s="228">
        <f t="shared" si="47"/>
        <v>180500000</v>
      </c>
      <c r="EL19" s="228">
        <f t="shared" si="48"/>
        <v>0</v>
      </c>
      <c r="EM19" s="228">
        <f t="shared" si="49"/>
        <v>21353.472222222223</v>
      </c>
      <c r="EN19" s="209">
        <f t="shared" si="50"/>
        <v>4.258864265927978E-2</v>
      </c>
      <c r="EP19" s="208"/>
    </row>
    <row r="20" spans="1:146" x14ac:dyDescent="0.25">
      <c r="A20" s="222">
        <f t="shared" si="51"/>
        <v>45940</v>
      </c>
      <c r="B20" s="208">
        <v>83200000</v>
      </c>
      <c r="C20" s="209">
        <v>4.0896960000000003E-2</v>
      </c>
      <c r="D20" s="208">
        <f t="shared" si="0"/>
        <v>9451.7418666666672</v>
      </c>
      <c r="G20" s="208">
        <f t="shared" si="1"/>
        <v>0</v>
      </c>
      <c r="J20" s="208">
        <f t="shared" si="2"/>
        <v>0</v>
      </c>
      <c r="M20" s="208">
        <f t="shared" si="3"/>
        <v>0</v>
      </c>
      <c r="P20" s="208">
        <f t="shared" si="4"/>
        <v>0</v>
      </c>
      <c r="S20" s="208">
        <f t="shared" si="5"/>
        <v>0</v>
      </c>
      <c r="V20" s="208">
        <f t="shared" si="6"/>
        <v>0</v>
      </c>
      <c r="Y20" s="208">
        <f t="shared" si="7"/>
        <v>0</v>
      </c>
      <c r="AB20" s="208">
        <f t="shared" si="8"/>
        <v>0</v>
      </c>
      <c r="AE20" s="208">
        <v>0</v>
      </c>
      <c r="AH20" s="208">
        <v>0</v>
      </c>
      <c r="AI20" s="223">
        <f>204825000</f>
        <v>204825000</v>
      </c>
      <c r="AJ20" s="224">
        <v>4.2500000000000003E-2</v>
      </c>
      <c r="AK20" s="208">
        <f t="shared" si="9"/>
        <v>24180.729166666668</v>
      </c>
      <c r="AL20" s="223"/>
      <c r="AM20" s="224"/>
      <c r="AN20" s="208">
        <f t="shared" si="10"/>
        <v>0</v>
      </c>
      <c r="AO20" s="223"/>
      <c r="AP20" s="224"/>
      <c r="AQ20" s="208">
        <f t="shared" si="11"/>
        <v>0</v>
      </c>
      <c r="AR20" s="223"/>
      <c r="AS20" s="224"/>
      <c r="AT20" s="208">
        <f t="shared" si="12"/>
        <v>0</v>
      </c>
      <c r="AW20" s="208">
        <f t="shared" si="13"/>
        <v>0</v>
      </c>
      <c r="AZ20" s="208">
        <f t="shared" si="14"/>
        <v>0</v>
      </c>
      <c r="BC20" s="208">
        <f t="shared" si="15"/>
        <v>0</v>
      </c>
      <c r="BF20" s="208">
        <f t="shared" si="16"/>
        <v>0</v>
      </c>
      <c r="BI20" s="208">
        <f t="shared" si="17"/>
        <v>0</v>
      </c>
      <c r="BL20" s="208">
        <f t="shared" si="18"/>
        <v>0</v>
      </c>
      <c r="BO20" s="208">
        <f t="shared" si="19"/>
        <v>0</v>
      </c>
      <c r="BR20" s="208">
        <f t="shared" si="20"/>
        <v>0</v>
      </c>
      <c r="BU20" s="208">
        <f t="shared" si="21"/>
        <v>0</v>
      </c>
      <c r="BX20" s="208">
        <f t="shared" si="22"/>
        <v>0</v>
      </c>
      <c r="CA20" s="208">
        <f t="shared" si="23"/>
        <v>0</v>
      </c>
      <c r="CD20" s="208">
        <f t="shared" si="24"/>
        <v>0</v>
      </c>
      <c r="CG20" s="208">
        <f t="shared" si="25"/>
        <v>0</v>
      </c>
      <c r="CJ20" s="208">
        <f t="shared" si="26"/>
        <v>0</v>
      </c>
      <c r="CM20" s="208">
        <f t="shared" si="27"/>
        <v>0</v>
      </c>
      <c r="CP20" s="208">
        <f t="shared" si="28"/>
        <v>0</v>
      </c>
      <c r="CS20" s="208">
        <f t="shared" si="29"/>
        <v>0</v>
      </c>
      <c r="CV20" s="208">
        <f t="shared" si="30"/>
        <v>0</v>
      </c>
      <c r="CY20" s="208">
        <f t="shared" si="31"/>
        <v>0</v>
      </c>
      <c r="DB20" s="208">
        <f t="shared" si="32"/>
        <v>0</v>
      </c>
      <c r="DE20" s="208">
        <f t="shared" si="33"/>
        <v>0</v>
      </c>
      <c r="DH20" s="208">
        <f t="shared" si="34"/>
        <v>0</v>
      </c>
      <c r="DK20" s="208">
        <f t="shared" si="35"/>
        <v>0</v>
      </c>
      <c r="DN20" s="208">
        <f t="shared" si="36"/>
        <v>0</v>
      </c>
      <c r="DQ20" s="208">
        <f t="shared" si="37"/>
        <v>0</v>
      </c>
      <c r="DT20" s="208">
        <f t="shared" si="38"/>
        <v>0</v>
      </c>
      <c r="DW20" s="208">
        <f t="shared" si="39"/>
        <v>0</v>
      </c>
      <c r="DZ20" s="208"/>
      <c r="EA20" s="208"/>
      <c r="EB20" s="228">
        <f t="shared" si="40"/>
        <v>288025000</v>
      </c>
      <c r="EC20" s="228">
        <f t="shared" si="41"/>
        <v>83200000</v>
      </c>
      <c r="ED20" s="208">
        <f t="shared" si="42"/>
        <v>33632.471033333335</v>
      </c>
      <c r="EE20" s="209">
        <f t="shared" si="43"/>
        <v>4.2036939751757665E-2</v>
      </c>
      <c r="EG20" s="228">
        <f t="shared" si="44"/>
        <v>0</v>
      </c>
      <c r="EH20" s="208">
        <f t="shared" si="45"/>
        <v>0</v>
      </c>
      <c r="EI20" s="209">
        <f t="shared" si="46"/>
        <v>0</v>
      </c>
      <c r="EJ20" s="209"/>
      <c r="EK20" s="228">
        <f t="shared" si="47"/>
        <v>204825000</v>
      </c>
      <c r="EL20" s="228">
        <f t="shared" si="48"/>
        <v>0</v>
      </c>
      <c r="EM20" s="228">
        <f t="shared" si="49"/>
        <v>24180.729166666668</v>
      </c>
      <c r="EN20" s="209">
        <f t="shared" si="50"/>
        <v>4.2500000000000003E-2</v>
      </c>
      <c r="EP20" s="208"/>
    </row>
    <row r="21" spans="1:146" x14ac:dyDescent="0.25">
      <c r="A21" s="222">
        <f t="shared" si="51"/>
        <v>45941</v>
      </c>
      <c r="B21" s="208">
        <v>83200000</v>
      </c>
      <c r="C21" s="209">
        <v>4.0896960000000003E-2</v>
      </c>
      <c r="D21" s="208">
        <f t="shared" si="0"/>
        <v>9451.7418666666672</v>
      </c>
      <c r="G21" s="208">
        <f t="shared" si="1"/>
        <v>0</v>
      </c>
      <c r="J21" s="208">
        <f t="shared" si="2"/>
        <v>0</v>
      </c>
      <c r="M21" s="208">
        <f t="shared" si="3"/>
        <v>0</v>
      </c>
      <c r="P21" s="208">
        <f t="shared" si="4"/>
        <v>0</v>
      </c>
      <c r="S21" s="208">
        <f t="shared" si="5"/>
        <v>0</v>
      </c>
      <c r="V21" s="208">
        <f t="shared" si="6"/>
        <v>0</v>
      </c>
      <c r="Y21" s="208">
        <f t="shared" si="7"/>
        <v>0</v>
      </c>
      <c r="AB21" s="208">
        <f t="shared" si="8"/>
        <v>0</v>
      </c>
      <c r="AE21" s="208">
        <v>0</v>
      </c>
      <c r="AH21" s="208">
        <v>0</v>
      </c>
      <c r="AI21" s="223">
        <f>204825000</f>
        <v>204825000</v>
      </c>
      <c r="AJ21" s="224">
        <v>4.2500000000000003E-2</v>
      </c>
      <c r="AK21" s="208">
        <f t="shared" si="9"/>
        <v>24180.729166666668</v>
      </c>
      <c r="AL21" s="223"/>
      <c r="AM21" s="224"/>
      <c r="AN21" s="208">
        <f t="shared" si="10"/>
        <v>0</v>
      </c>
      <c r="AO21" s="223"/>
      <c r="AP21" s="224"/>
      <c r="AQ21" s="208">
        <f t="shared" si="11"/>
        <v>0</v>
      </c>
      <c r="AR21" s="223"/>
      <c r="AS21" s="224"/>
      <c r="AT21" s="208">
        <f t="shared" si="12"/>
        <v>0</v>
      </c>
      <c r="AW21" s="208">
        <f t="shared" si="13"/>
        <v>0</v>
      </c>
      <c r="AZ21" s="208">
        <f t="shared" si="14"/>
        <v>0</v>
      </c>
      <c r="BC21" s="208">
        <f t="shared" si="15"/>
        <v>0</v>
      </c>
      <c r="BF21" s="208">
        <f t="shared" si="16"/>
        <v>0</v>
      </c>
      <c r="BI21" s="208">
        <f t="shared" si="17"/>
        <v>0</v>
      </c>
      <c r="BL21" s="208">
        <f t="shared" si="18"/>
        <v>0</v>
      </c>
      <c r="BO21" s="208">
        <f t="shared" si="19"/>
        <v>0</v>
      </c>
      <c r="BR21" s="208">
        <f t="shared" si="20"/>
        <v>0</v>
      </c>
      <c r="BU21" s="208">
        <f t="shared" si="21"/>
        <v>0</v>
      </c>
      <c r="BX21" s="208">
        <f t="shared" si="22"/>
        <v>0</v>
      </c>
      <c r="CA21" s="208">
        <f t="shared" si="23"/>
        <v>0</v>
      </c>
      <c r="CD21" s="208">
        <f t="shared" si="24"/>
        <v>0</v>
      </c>
      <c r="CG21" s="208">
        <f t="shared" si="25"/>
        <v>0</v>
      </c>
      <c r="CJ21" s="208">
        <f t="shared" si="26"/>
        <v>0</v>
      </c>
      <c r="CM21" s="208">
        <f t="shared" si="27"/>
        <v>0</v>
      </c>
      <c r="CP21" s="208">
        <f t="shared" si="28"/>
        <v>0</v>
      </c>
      <c r="CS21" s="208">
        <f t="shared" si="29"/>
        <v>0</v>
      </c>
      <c r="CV21" s="208">
        <f t="shared" si="30"/>
        <v>0</v>
      </c>
      <c r="CY21" s="208">
        <f t="shared" si="31"/>
        <v>0</v>
      </c>
      <c r="DB21" s="208">
        <f t="shared" si="32"/>
        <v>0</v>
      </c>
      <c r="DE21" s="208">
        <f t="shared" si="33"/>
        <v>0</v>
      </c>
      <c r="DH21" s="208">
        <f t="shared" si="34"/>
        <v>0</v>
      </c>
      <c r="DK21" s="208">
        <f t="shared" si="35"/>
        <v>0</v>
      </c>
      <c r="DN21" s="208">
        <f t="shared" si="36"/>
        <v>0</v>
      </c>
      <c r="DQ21" s="208">
        <f t="shared" si="37"/>
        <v>0</v>
      </c>
      <c r="DT21" s="208">
        <f t="shared" si="38"/>
        <v>0</v>
      </c>
      <c r="DW21" s="208">
        <f t="shared" si="39"/>
        <v>0</v>
      </c>
      <c r="DZ21" s="208"/>
      <c r="EA21" s="208"/>
      <c r="EB21" s="228">
        <f t="shared" si="40"/>
        <v>288025000</v>
      </c>
      <c r="EC21" s="228">
        <f t="shared" si="41"/>
        <v>83200000</v>
      </c>
      <c r="ED21" s="208">
        <f t="shared" si="42"/>
        <v>33632.471033333335</v>
      </c>
      <c r="EE21" s="209">
        <f t="shared" si="43"/>
        <v>4.2036939751757665E-2</v>
      </c>
      <c r="EG21" s="228">
        <f t="shared" si="44"/>
        <v>0</v>
      </c>
      <c r="EH21" s="208">
        <f t="shared" si="45"/>
        <v>0</v>
      </c>
      <c r="EI21" s="209">
        <f t="shared" si="46"/>
        <v>0</v>
      </c>
      <c r="EJ21" s="209"/>
      <c r="EK21" s="228">
        <f t="shared" si="47"/>
        <v>204825000</v>
      </c>
      <c r="EL21" s="228">
        <f t="shared" si="48"/>
        <v>0</v>
      </c>
      <c r="EM21" s="228">
        <f t="shared" si="49"/>
        <v>24180.729166666668</v>
      </c>
      <c r="EN21" s="209">
        <f t="shared" si="50"/>
        <v>4.2500000000000003E-2</v>
      </c>
      <c r="EP21" s="208"/>
    </row>
    <row r="22" spans="1:146" x14ac:dyDescent="0.25">
      <c r="A22" s="222">
        <f t="shared" si="51"/>
        <v>45942</v>
      </c>
      <c r="B22" s="208">
        <v>83200000</v>
      </c>
      <c r="C22" s="209">
        <v>4.0896960000000003E-2</v>
      </c>
      <c r="D22" s="208">
        <f t="shared" si="0"/>
        <v>9451.7418666666672</v>
      </c>
      <c r="G22" s="208">
        <f t="shared" si="1"/>
        <v>0</v>
      </c>
      <c r="J22" s="208">
        <f t="shared" si="2"/>
        <v>0</v>
      </c>
      <c r="M22" s="208">
        <f t="shared" si="3"/>
        <v>0</v>
      </c>
      <c r="P22" s="208">
        <f t="shared" si="4"/>
        <v>0</v>
      </c>
      <c r="S22" s="208">
        <f t="shared" si="5"/>
        <v>0</v>
      </c>
      <c r="V22" s="208">
        <f t="shared" si="6"/>
        <v>0</v>
      </c>
      <c r="Y22" s="208">
        <f t="shared" si="7"/>
        <v>0</v>
      </c>
      <c r="AB22" s="208">
        <f t="shared" si="8"/>
        <v>0</v>
      </c>
      <c r="AE22" s="208">
        <v>0</v>
      </c>
      <c r="AH22" s="208">
        <v>0</v>
      </c>
      <c r="AI22" s="223">
        <f>204825000</f>
        <v>204825000</v>
      </c>
      <c r="AJ22" s="224">
        <v>4.2500000000000003E-2</v>
      </c>
      <c r="AK22" s="208">
        <f t="shared" si="9"/>
        <v>24180.729166666668</v>
      </c>
      <c r="AL22" s="223"/>
      <c r="AM22" s="224"/>
      <c r="AN22" s="208">
        <f t="shared" si="10"/>
        <v>0</v>
      </c>
      <c r="AO22" s="223"/>
      <c r="AP22" s="224"/>
      <c r="AQ22" s="208">
        <f t="shared" si="11"/>
        <v>0</v>
      </c>
      <c r="AR22" s="223"/>
      <c r="AS22" s="224"/>
      <c r="AT22" s="208">
        <f t="shared" si="12"/>
        <v>0</v>
      </c>
      <c r="AW22" s="208">
        <f t="shared" si="13"/>
        <v>0</v>
      </c>
      <c r="AZ22" s="208">
        <f t="shared" si="14"/>
        <v>0</v>
      </c>
      <c r="BC22" s="208">
        <f t="shared" si="15"/>
        <v>0</v>
      </c>
      <c r="BF22" s="208">
        <f t="shared" si="16"/>
        <v>0</v>
      </c>
      <c r="BI22" s="208">
        <f t="shared" si="17"/>
        <v>0</v>
      </c>
      <c r="BL22" s="208">
        <f t="shared" si="18"/>
        <v>0</v>
      </c>
      <c r="BO22" s="208">
        <f t="shared" si="19"/>
        <v>0</v>
      </c>
      <c r="BR22" s="208">
        <f t="shared" si="20"/>
        <v>0</v>
      </c>
      <c r="BU22" s="208">
        <f t="shared" si="21"/>
        <v>0</v>
      </c>
      <c r="BX22" s="208">
        <f t="shared" si="22"/>
        <v>0</v>
      </c>
      <c r="CA22" s="208">
        <f t="shared" si="23"/>
        <v>0</v>
      </c>
      <c r="CD22" s="208">
        <f t="shared" si="24"/>
        <v>0</v>
      </c>
      <c r="CG22" s="208">
        <f t="shared" si="25"/>
        <v>0</v>
      </c>
      <c r="CJ22" s="208">
        <f t="shared" si="26"/>
        <v>0</v>
      </c>
      <c r="CM22" s="208">
        <f t="shared" si="27"/>
        <v>0</v>
      </c>
      <c r="CP22" s="208">
        <f t="shared" si="28"/>
        <v>0</v>
      </c>
      <c r="CS22" s="208">
        <f t="shared" si="29"/>
        <v>0</v>
      </c>
      <c r="CV22" s="208">
        <f t="shared" si="30"/>
        <v>0</v>
      </c>
      <c r="CY22" s="208">
        <f t="shared" si="31"/>
        <v>0</v>
      </c>
      <c r="DB22" s="208">
        <f t="shared" si="32"/>
        <v>0</v>
      </c>
      <c r="DE22" s="208">
        <f t="shared" si="33"/>
        <v>0</v>
      </c>
      <c r="DH22" s="208">
        <f t="shared" si="34"/>
        <v>0</v>
      </c>
      <c r="DK22" s="208">
        <f t="shared" si="35"/>
        <v>0</v>
      </c>
      <c r="DN22" s="208">
        <f t="shared" si="36"/>
        <v>0</v>
      </c>
      <c r="DQ22" s="208">
        <f t="shared" si="37"/>
        <v>0</v>
      </c>
      <c r="DT22" s="208">
        <f t="shared" si="38"/>
        <v>0</v>
      </c>
      <c r="DW22" s="208">
        <f t="shared" si="39"/>
        <v>0</v>
      </c>
      <c r="DZ22" s="208"/>
      <c r="EA22" s="208"/>
      <c r="EB22" s="228">
        <f t="shared" si="40"/>
        <v>288025000</v>
      </c>
      <c r="EC22" s="228">
        <f t="shared" si="41"/>
        <v>83200000</v>
      </c>
      <c r="ED22" s="208">
        <f t="shared" si="42"/>
        <v>33632.471033333335</v>
      </c>
      <c r="EE22" s="209">
        <f t="shared" si="43"/>
        <v>4.2036939751757665E-2</v>
      </c>
      <c r="EG22" s="228">
        <f t="shared" si="44"/>
        <v>0</v>
      </c>
      <c r="EH22" s="208">
        <f t="shared" si="45"/>
        <v>0</v>
      </c>
      <c r="EI22" s="209">
        <f t="shared" si="46"/>
        <v>0</v>
      </c>
      <c r="EJ22" s="209"/>
      <c r="EK22" s="228">
        <f t="shared" si="47"/>
        <v>204825000</v>
      </c>
      <c r="EL22" s="228">
        <f t="shared" si="48"/>
        <v>0</v>
      </c>
      <c r="EM22" s="228">
        <f t="shared" si="49"/>
        <v>24180.729166666668</v>
      </c>
      <c r="EN22" s="209">
        <f t="shared" si="50"/>
        <v>4.2500000000000003E-2</v>
      </c>
      <c r="EP22" s="208"/>
    </row>
    <row r="23" spans="1:146" x14ac:dyDescent="0.25">
      <c r="A23" s="222">
        <f t="shared" si="51"/>
        <v>45943</v>
      </c>
      <c r="B23" s="208">
        <v>83200000</v>
      </c>
      <c r="C23" s="209">
        <v>4.0896960000000003E-2</v>
      </c>
      <c r="D23" s="208">
        <f t="shared" si="0"/>
        <v>9451.7418666666672</v>
      </c>
      <c r="G23" s="208">
        <f t="shared" si="1"/>
        <v>0</v>
      </c>
      <c r="J23" s="208">
        <f t="shared" si="2"/>
        <v>0</v>
      </c>
      <c r="M23" s="208">
        <f t="shared" si="3"/>
        <v>0</v>
      </c>
      <c r="P23" s="208">
        <f t="shared" si="4"/>
        <v>0</v>
      </c>
      <c r="S23" s="208">
        <f t="shared" si="5"/>
        <v>0</v>
      </c>
      <c r="V23" s="208">
        <f t="shared" si="6"/>
        <v>0</v>
      </c>
      <c r="Y23" s="208">
        <f t="shared" si="7"/>
        <v>0</v>
      </c>
      <c r="AB23" s="208">
        <f t="shared" si="8"/>
        <v>0</v>
      </c>
      <c r="AE23" s="208">
        <v>0</v>
      </c>
      <c r="AH23" s="208">
        <v>0</v>
      </c>
      <c r="AI23" s="223">
        <f>204825000</f>
        <v>204825000</v>
      </c>
      <c r="AJ23" s="224">
        <v>4.2500000000000003E-2</v>
      </c>
      <c r="AK23" s="208">
        <f t="shared" si="9"/>
        <v>24180.729166666668</v>
      </c>
      <c r="AL23" s="223"/>
      <c r="AM23" s="224"/>
      <c r="AN23" s="208">
        <f t="shared" si="10"/>
        <v>0</v>
      </c>
      <c r="AO23" s="223"/>
      <c r="AP23" s="224"/>
      <c r="AQ23" s="208">
        <f t="shared" si="11"/>
        <v>0</v>
      </c>
      <c r="AR23" s="223"/>
      <c r="AS23" s="224"/>
      <c r="AT23" s="208">
        <f t="shared" si="12"/>
        <v>0</v>
      </c>
      <c r="AW23" s="208">
        <f t="shared" si="13"/>
        <v>0</v>
      </c>
      <c r="AZ23" s="208">
        <f t="shared" si="14"/>
        <v>0</v>
      </c>
      <c r="BC23" s="208">
        <f t="shared" si="15"/>
        <v>0</v>
      </c>
      <c r="BF23" s="208">
        <f t="shared" si="16"/>
        <v>0</v>
      </c>
      <c r="BI23" s="208">
        <f t="shared" si="17"/>
        <v>0</v>
      </c>
      <c r="BL23" s="208">
        <f t="shared" si="18"/>
        <v>0</v>
      </c>
      <c r="BO23" s="208">
        <f t="shared" si="19"/>
        <v>0</v>
      </c>
      <c r="BR23" s="208">
        <f t="shared" si="20"/>
        <v>0</v>
      </c>
      <c r="BU23" s="208">
        <f t="shared" si="21"/>
        <v>0</v>
      </c>
      <c r="BX23" s="208">
        <f t="shared" si="22"/>
        <v>0</v>
      </c>
      <c r="CA23" s="208">
        <f t="shared" si="23"/>
        <v>0</v>
      </c>
      <c r="CD23" s="208">
        <f t="shared" si="24"/>
        <v>0</v>
      </c>
      <c r="CG23" s="208">
        <f t="shared" si="25"/>
        <v>0</v>
      </c>
      <c r="CJ23" s="208">
        <f t="shared" si="26"/>
        <v>0</v>
      </c>
      <c r="CM23" s="208">
        <f t="shared" si="27"/>
        <v>0</v>
      </c>
      <c r="CP23" s="208">
        <f t="shared" si="28"/>
        <v>0</v>
      </c>
      <c r="CS23" s="208">
        <f t="shared" si="29"/>
        <v>0</v>
      </c>
      <c r="CV23" s="208">
        <f t="shared" si="30"/>
        <v>0</v>
      </c>
      <c r="CY23" s="208">
        <f t="shared" si="31"/>
        <v>0</v>
      </c>
      <c r="DB23" s="208">
        <f t="shared" si="32"/>
        <v>0</v>
      </c>
      <c r="DE23" s="208">
        <f t="shared" si="33"/>
        <v>0</v>
      </c>
      <c r="DH23" s="208">
        <f t="shared" si="34"/>
        <v>0</v>
      </c>
      <c r="DK23" s="208">
        <f t="shared" si="35"/>
        <v>0</v>
      </c>
      <c r="DN23" s="208">
        <f t="shared" si="36"/>
        <v>0</v>
      </c>
      <c r="DQ23" s="208">
        <f t="shared" si="37"/>
        <v>0</v>
      </c>
      <c r="DT23" s="208">
        <f t="shared" si="38"/>
        <v>0</v>
      </c>
      <c r="DW23" s="208">
        <f t="shared" si="39"/>
        <v>0</v>
      </c>
      <c r="DZ23" s="208"/>
      <c r="EA23" s="208"/>
      <c r="EB23" s="228">
        <f t="shared" si="40"/>
        <v>288025000</v>
      </c>
      <c r="EC23" s="228">
        <f t="shared" si="41"/>
        <v>83200000</v>
      </c>
      <c r="ED23" s="208">
        <f t="shared" si="42"/>
        <v>33632.471033333335</v>
      </c>
      <c r="EE23" s="209">
        <f t="shared" si="43"/>
        <v>4.2036939751757665E-2</v>
      </c>
      <c r="EG23" s="228">
        <f t="shared" si="44"/>
        <v>0</v>
      </c>
      <c r="EH23" s="208">
        <f t="shared" si="45"/>
        <v>0</v>
      </c>
      <c r="EI23" s="209">
        <f t="shared" si="46"/>
        <v>0</v>
      </c>
      <c r="EJ23" s="209"/>
      <c r="EK23" s="228">
        <f t="shared" si="47"/>
        <v>204825000</v>
      </c>
      <c r="EL23" s="228">
        <f t="shared" si="48"/>
        <v>0</v>
      </c>
      <c r="EM23" s="228">
        <f t="shared" si="49"/>
        <v>24180.729166666668</v>
      </c>
      <c r="EN23" s="209">
        <f t="shared" si="50"/>
        <v>4.2500000000000003E-2</v>
      </c>
      <c r="EP23" s="208"/>
    </row>
    <row r="24" spans="1:146" x14ac:dyDescent="0.25">
      <c r="A24" s="222">
        <f t="shared" si="51"/>
        <v>45944</v>
      </c>
      <c r="B24" s="208">
        <v>89325000</v>
      </c>
      <c r="C24" s="209">
        <v>4.0886149999999996E-2</v>
      </c>
      <c r="D24" s="208">
        <f t="shared" si="0"/>
        <v>10144.875968749999</v>
      </c>
      <c r="G24" s="208">
        <f t="shared" si="1"/>
        <v>0</v>
      </c>
      <c r="J24" s="208">
        <f t="shared" si="2"/>
        <v>0</v>
      </c>
      <c r="M24" s="208">
        <f t="shared" si="3"/>
        <v>0</v>
      </c>
      <c r="P24" s="208">
        <f t="shared" si="4"/>
        <v>0</v>
      </c>
      <c r="S24" s="208">
        <f t="shared" si="5"/>
        <v>0</v>
      </c>
      <c r="V24" s="208">
        <f t="shared" si="6"/>
        <v>0</v>
      </c>
      <c r="Y24" s="208">
        <f t="shared" si="7"/>
        <v>0</v>
      </c>
      <c r="AB24" s="208">
        <f t="shared" si="8"/>
        <v>0</v>
      </c>
      <c r="AE24" s="208">
        <v>0</v>
      </c>
      <c r="AH24" s="208">
        <v>0</v>
      </c>
      <c r="AI24" s="223">
        <v>189325000</v>
      </c>
      <c r="AJ24" s="224">
        <v>4.2500000000000003E-2</v>
      </c>
      <c r="AK24" s="208">
        <f t="shared" si="9"/>
        <v>22350.868055555558</v>
      </c>
      <c r="AL24" s="223"/>
      <c r="AM24" s="224"/>
      <c r="AN24" s="208">
        <f t="shared" si="10"/>
        <v>0</v>
      </c>
      <c r="AO24" s="223"/>
      <c r="AP24" s="224"/>
      <c r="AQ24" s="208">
        <f t="shared" si="11"/>
        <v>0</v>
      </c>
      <c r="AR24" s="223"/>
      <c r="AS24" s="224"/>
      <c r="AT24" s="208">
        <f t="shared" si="12"/>
        <v>0</v>
      </c>
      <c r="AW24" s="208">
        <f t="shared" si="13"/>
        <v>0</v>
      </c>
      <c r="AZ24" s="208">
        <f t="shared" si="14"/>
        <v>0</v>
      </c>
      <c r="BC24" s="208">
        <f t="shared" si="15"/>
        <v>0</v>
      </c>
      <c r="BF24" s="208">
        <f t="shared" si="16"/>
        <v>0</v>
      </c>
      <c r="BI24" s="208">
        <f t="shared" si="17"/>
        <v>0</v>
      </c>
      <c r="BL24" s="208">
        <f t="shared" si="18"/>
        <v>0</v>
      </c>
      <c r="BO24" s="208">
        <f t="shared" si="19"/>
        <v>0</v>
      </c>
      <c r="BR24" s="208">
        <f t="shared" si="20"/>
        <v>0</v>
      </c>
      <c r="BU24" s="208">
        <f t="shared" si="21"/>
        <v>0</v>
      </c>
      <c r="BX24" s="208">
        <f t="shared" si="22"/>
        <v>0</v>
      </c>
      <c r="CA24" s="208">
        <f t="shared" si="23"/>
        <v>0</v>
      </c>
      <c r="CD24" s="208">
        <f t="shared" si="24"/>
        <v>0</v>
      </c>
      <c r="CG24" s="208">
        <f t="shared" si="25"/>
        <v>0</v>
      </c>
      <c r="CJ24" s="208">
        <f t="shared" si="26"/>
        <v>0</v>
      </c>
      <c r="CM24" s="208">
        <f t="shared" si="27"/>
        <v>0</v>
      </c>
      <c r="CP24" s="208">
        <f t="shared" si="28"/>
        <v>0</v>
      </c>
      <c r="CS24" s="208">
        <f t="shared" si="29"/>
        <v>0</v>
      </c>
      <c r="CV24" s="208">
        <f t="shared" si="30"/>
        <v>0</v>
      </c>
      <c r="CY24" s="208">
        <f t="shared" si="31"/>
        <v>0</v>
      </c>
      <c r="DB24" s="208">
        <f t="shared" si="32"/>
        <v>0</v>
      </c>
      <c r="DE24" s="208">
        <f t="shared" si="33"/>
        <v>0</v>
      </c>
      <c r="DH24" s="208">
        <f t="shared" si="34"/>
        <v>0</v>
      </c>
      <c r="DK24" s="208">
        <f t="shared" si="35"/>
        <v>0</v>
      </c>
      <c r="DN24" s="208">
        <f t="shared" si="36"/>
        <v>0</v>
      </c>
      <c r="DQ24" s="208">
        <f t="shared" si="37"/>
        <v>0</v>
      </c>
      <c r="DT24" s="208">
        <f t="shared" si="38"/>
        <v>0</v>
      </c>
      <c r="DW24" s="208">
        <f t="shared" si="39"/>
        <v>0</v>
      </c>
      <c r="DZ24" s="208"/>
      <c r="EA24" s="208"/>
      <c r="EB24" s="228">
        <f t="shared" si="40"/>
        <v>278650000</v>
      </c>
      <c r="EC24" s="228">
        <f t="shared" si="41"/>
        <v>89325000</v>
      </c>
      <c r="ED24" s="208">
        <f t="shared" si="42"/>
        <v>32495.744024305557</v>
      </c>
      <c r="EE24" s="209">
        <f t="shared" si="43"/>
        <v>4.1982658707159518E-2</v>
      </c>
      <c r="EG24" s="228">
        <f t="shared" si="44"/>
        <v>0</v>
      </c>
      <c r="EH24" s="208">
        <f t="shared" si="45"/>
        <v>0</v>
      </c>
      <c r="EI24" s="209">
        <f t="shared" si="46"/>
        <v>0</v>
      </c>
      <c r="EJ24" s="209"/>
      <c r="EK24" s="228">
        <f t="shared" si="47"/>
        <v>189325000</v>
      </c>
      <c r="EL24" s="228">
        <f t="shared" si="48"/>
        <v>0</v>
      </c>
      <c r="EM24" s="228">
        <f t="shared" si="49"/>
        <v>22350.868055555558</v>
      </c>
      <c r="EN24" s="209">
        <f t="shared" si="50"/>
        <v>4.2500000000000003E-2</v>
      </c>
      <c r="EP24" s="208"/>
    </row>
    <row r="25" spans="1:146" x14ac:dyDescent="0.25">
      <c r="A25" s="222">
        <f t="shared" si="51"/>
        <v>45945</v>
      </c>
      <c r="B25" s="208">
        <v>99850000</v>
      </c>
      <c r="C25" s="209">
        <v>4.0903090000000003E-2</v>
      </c>
      <c r="D25" s="208">
        <f t="shared" si="0"/>
        <v>11344.92649027778</v>
      </c>
      <c r="G25" s="208">
        <f t="shared" si="1"/>
        <v>0</v>
      </c>
      <c r="J25" s="208">
        <f t="shared" si="2"/>
        <v>0</v>
      </c>
      <c r="M25" s="208">
        <f t="shared" si="3"/>
        <v>0</v>
      </c>
      <c r="P25" s="208">
        <f t="shared" si="4"/>
        <v>0</v>
      </c>
      <c r="S25" s="208">
        <f t="shared" si="5"/>
        <v>0</v>
      </c>
      <c r="V25" s="208">
        <f t="shared" si="6"/>
        <v>0</v>
      </c>
      <c r="Y25" s="208">
        <f t="shared" si="7"/>
        <v>0</v>
      </c>
      <c r="AB25" s="208">
        <f t="shared" si="8"/>
        <v>0</v>
      </c>
      <c r="AE25" s="208">
        <v>0</v>
      </c>
      <c r="AH25" s="208">
        <v>0</v>
      </c>
      <c r="AI25" s="223">
        <v>184925000</v>
      </c>
      <c r="AJ25" s="224">
        <v>4.2500000000000003E-2</v>
      </c>
      <c r="AK25" s="208">
        <f t="shared" si="9"/>
        <v>21831.423611111113</v>
      </c>
      <c r="AL25" s="223"/>
      <c r="AM25" s="224"/>
      <c r="AN25" s="208">
        <f t="shared" si="10"/>
        <v>0</v>
      </c>
      <c r="AO25" s="223"/>
      <c r="AP25" s="224"/>
      <c r="AQ25" s="208">
        <f t="shared" si="11"/>
        <v>0</v>
      </c>
      <c r="AR25" s="223"/>
      <c r="AS25" s="224"/>
      <c r="AT25" s="208">
        <f t="shared" si="12"/>
        <v>0</v>
      </c>
      <c r="AW25" s="208">
        <f t="shared" si="13"/>
        <v>0</v>
      </c>
      <c r="AZ25" s="208">
        <f t="shared" si="14"/>
        <v>0</v>
      </c>
      <c r="BC25" s="208">
        <f t="shared" si="15"/>
        <v>0</v>
      </c>
      <c r="BF25" s="208">
        <f t="shared" si="16"/>
        <v>0</v>
      </c>
      <c r="BI25" s="208">
        <f t="shared" si="17"/>
        <v>0</v>
      </c>
      <c r="BL25" s="208">
        <f t="shared" si="18"/>
        <v>0</v>
      </c>
      <c r="BO25" s="208">
        <f t="shared" si="19"/>
        <v>0</v>
      </c>
      <c r="BR25" s="208">
        <f t="shared" si="20"/>
        <v>0</v>
      </c>
      <c r="BU25" s="208">
        <f t="shared" si="21"/>
        <v>0</v>
      </c>
      <c r="BX25" s="208">
        <f t="shared" si="22"/>
        <v>0</v>
      </c>
      <c r="CA25" s="208">
        <f t="shared" si="23"/>
        <v>0</v>
      </c>
      <c r="CD25" s="208">
        <f t="shared" si="24"/>
        <v>0</v>
      </c>
      <c r="CG25" s="208">
        <f t="shared" si="25"/>
        <v>0</v>
      </c>
      <c r="CJ25" s="208">
        <f t="shared" si="26"/>
        <v>0</v>
      </c>
      <c r="CM25" s="208">
        <f t="shared" si="27"/>
        <v>0</v>
      </c>
      <c r="CP25" s="208">
        <f t="shared" si="28"/>
        <v>0</v>
      </c>
      <c r="CS25" s="208">
        <f t="shared" si="29"/>
        <v>0</v>
      </c>
      <c r="CV25" s="208">
        <f t="shared" si="30"/>
        <v>0</v>
      </c>
      <c r="CY25" s="208">
        <f t="shared" si="31"/>
        <v>0</v>
      </c>
      <c r="DB25" s="208">
        <f t="shared" si="32"/>
        <v>0</v>
      </c>
      <c r="DE25" s="208">
        <f t="shared" si="33"/>
        <v>0</v>
      </c>
      <c r="DH25" s="208">
        <f t="shared" si="34"/>
        <v>0</v>
      </c>
      <c r="DK25" s="208">
        <f t="shared" si="35"/>
        <v>0</v>
      </c>
      <c r="DN25" s="208">
        <f t="shared" si="36"/>
        <v>0</v>
      </c>
      <c r="DQ25" s="208">
        <f t="shared" si="37"/>
        <v>0</v>
      </c>
      <c r="DT25" s="208">
        <f t="shared" si="38"/>
        <v>0</v>
      </c>
      <c r="DW25" s="208">
        <f t="shared" si="39"/>
        <v>0</v>
      </c>
      <c r="DZ25" s="208"/>
      <c r="EA25" s="208"/>
      <c r="EB25" s="228">
        <f t="shared" si="40"/>
        <v>284775000</v>
      </c>
      <c r="EC25" s="228">
        <f t="shared" si="41"/>
        <v>99850000</v>
      </c>
      <c r="ED25" s="208">
        <f t="shared" si="42"/>
        <v>33176.350101388889</v>
      </c>
      <c r="EE25" s="209">
        <f t="shared" si="43"/>
        <v>4.1940079137915899E-2</v>
      </c>
      <c r="EG25" s="228">
        <f t="shared" si="44"/>
        <v>0</v>
      </c>
      <c r="EH25" s="208">
        <f t="shared" si="45"/>
        <v>0</v>
      </c>
      <c r="EI25" s="209">
        <f t="shared" si="46"/>
        <v>0</v>
      </c>
      <c r="EJ25" s="209"/>
      <c r="EK25" s="228">
        <f t="shared" si="47"/>
        <v>184925000</v>
      </c>
      <c r="EL25" s="228">
        <f t="shared" si="48"/>
        <v>0</v>
      </c>
      <c r="EM25" s="228">
        <f t="shared" si="49"/>
        <v>21831.423611111113</v>
      </c>
      <c r="EN25" s="209">
        <f t="shared" si="50"/>
        <v>4.2500000000000003E-2</v>
      </c>
      <c r="EP25" s="208"/>
    </row>
    <row r="26" spans="1:146" x14ac:dyDescent="0.25">
      <c r="A26" s="222">
        <f t="shared" si="51"/>
        <v>45946</v>
      </c>
      <c r="B26" s="208">
        <v>162325000</v>
      </c>
      <c r="C26" s="209">
        <v>4.0402760000000003E-2</v>
      </c>
      <c r="D26" s="208">
        <f t="shared" si="0"/>
        <v>18217.716713888891</v>
      </c>
      <c r="G26" s="208">
        <f t="shared" si="1"/>
        <v>0</v>
      </c>
      <c r="J26" s="208">
        <f t="shared" si="2"/>
        <v>0</v>
      </c>
      <c r="M26" s="208">
        <f t="shared" si="3"/>
        <v>0</v>
      </c>
      <c r="P26" s="208">
        <f t="shared" si="4"/>
        <v>0</v>
      </c>
      <c r="S26" s="208">
        <f t="shared" si="5"/>
        <v>0</v>
      </c>
      <c r="V26" s="208">
        <f t="shared" si="6"/>
        <v>0</v>
      </c>
      <c r="Y26" s="208">
        <f t="shared" si="7"/>
        <v>0</v>
      </c>
      <c r="AB26" s="208">
        <f t="shared" si="8"/>
        <v>0</v>
      </c>
      <c r="AE26" s="208">
        <v>0</v>
      </c>
      <c r="AH26" s="208">
        <v>0</v>
      </c>
      <c r="AI26" s="223">
        <f>99900000</f>
        <v>99900000</v>
      </c>
      <c r="AJ26" s="224">
        <v>4.24E-2</v>
      </c>
      <c r="AK26" s="208">
        <f t="shared" si="9"/>
        <v>11766</v>
      </c>
      <c r="AL26" s="223"/>
      <c r="AM26" s="224"/>
      <c r="AN26" s="208">
        <f t="shared" si="10"/>
        <v>0</v>
      </c>
      <c r="AO26" s="223"/>
      <c r="AP26" s="224"/>
      <c r="AQ26" s="208">
        <f t="shared" si="11"/>
        <v>0</v>
      </c>
      <c r="AR26" s="223"/>
      <c r="AS26" s="224"/>
      <c r="AT26" s="208">
        <f t="shared" si="12"/>
        <v>0</v>
      </c>
      <c r="AW26" s="208">
        <f t="shared" si="13"/>
        <v>0</v>
      </c>
      <c r="AZ26" s="208">
        <f t="shared" si="14"/>
        <v>0</v>
      </c>
      <c r="BC26" s="208">
        <f t="shared" si="15"/>
        <v>0</v>
      </c>
      <c r="BF26" s="208">
        <f t="shared" si="16"/>
        <v>0</v>
      </c>
      <c r="BI26" s="208">
        <f t="shared" si="17"/>
        <v>0</v>
      </c>
      <c r="BL26" s="208">
        <f t="shared" si="18"/>
        <v>0</v>
      </c>
      <c r="BO26" s="208">
        <f t="shared" si="19"/>
        <v>0</v>
      </c>
      <c r="BR26" s="208">
        <f t="shared" si="20"/>
        <v>0</v>
      </c>
      <c r="BU26" s="208">
        <f t="shared" si="21"/>
        <v>0</v>
      </c>
      <c r="BX26" s="208">
        <f t="shared" si="22"/>
        <v>0</v>
      </c>
      <c r="CA26" s="208">
        <f t="shared" si="23"/>
        <v>0</v>
      </c>
      <c r="CD26" s="208">
        <f t="shared" si="24"/>
        <v>0</v>
      </c>
      <c r="CG26" s="208">
        <f t="shared" si="25"/>
        <v>0</v>
      </c>
      <c r="CJ26" s="208">
        <f t="shared" si="26"/>
        <v>0</v>
      </c>
      <c r="CM26" s="208">
        <f t="shared" si="27"/>
        <v>0</v>
      </c>
      <c r="CP26" s="208">
        <f t="shared" si="28"/>
        <v>0</v>
      </c>
      <c r="CS26" s="208">
        <f t="shared" si="29"/>
        <v>0</v>
      </c>
      <c r="CV26" s="208">
        <f t="shared" si="30"/>
        <v>0</v>
      </c>
      <c r="CY26" s="208">
        <f t="shared" si="31"/>
        <v>0</v>
      </c>
      <c r="DB26" s="208">
        <f t="shared" si="32"/>
        <v>0</v>
      </c>
      <c r="DE26" s="208">
        <f t="shared" si="33"/>
        <v>0</v>
      </c>
      <c r="DH26" s="208">
        <f t="shared" si="34"/>
        <v>0</v>
      </c>
      <c r="DK26" s="208">
        <f t="shared" si="35"/>
        <v>0</v>
      </c>
      <c r="DN26" s="208">
        <f t="shared" si="36"/>
        <v>0</v>
      </c>
      <c r="DQ26" s="208">
        <f t="shared" si="37"/>
        <v>0</v>
      </c>
      <c r="DT26" s="208">
        <f t="shared" si="38"/>
        <v>0</v>
      </c>
      <c r="DW26" s="208">
        <f t="shared" si="39"/>
        <v>0</v>
      </c>
      <c r="DZ26" s="208"/>
      <c r="EA26" s="208"/>
      <c r="EB26" s="228">
        <f t="shared" si="40"/>
        <v>262225000</v>
      </c>
      <c r="EC26" s="228">
        <f t="shared" si="41"/>
        <v>162325000</v>
      </c>
      <c r="ED26" s="208">
        <f t="shared" si="42"/>
        <v>29983.716713888891</v>
      </c>
      <c r="EE26" s="209">
        <f t="shared" si="43"/>
        <v>4.1163649602440656E-2</v>
      </c>
      <c r="EG26" s="228">
        <f t="shared" si="44"/>
        <v>0</v>
      </c>
      <c r="EH26" s="208">
        <f t="shared" si="45"/>
        <v>0</v>
      </c>
      <c r="EI26" s="209">
        <f t="shared" si="46"/>
        <v>0</v>
      </c>
      <c r="EJ26" s="209"/>
      <c r="EK26" s="228">
        <f t="shared" si="47"/>
        <v>99900000</v>
      </c>
      <c r="EL26" s="228">
        <f t="shared" si="48"/>
        <v>0</v>
      </c>
      <c r="EM26" s="228">
        <f t="shared" si="49"/>
        <v>11766</v>
      </c>
      <c r="EN26" s="209">
        <f t="shared" si="50"/>
        <v>4.24E-2</v>
      </c>
      <c r="EP26" s="208"/>
    </row>
    <row r="27" spans="1:146" x14ac:dyDescent="0.25">
      <c r="A27" s="222">
        <f t="shared" si="51"/>
        <v>45947</v>
      </c>
      <c r="B27" s="208">
        <v>175825000</v>
      </c>
      <c r="C27" s="209">
        <v>4.0301220000000006E-2</v>
      </c>
      <c r="D27" s="208">
        <f t="shared" si="0"/>
        <v>19683.227795833336</v>
      </c>
      <c r="G27" s="208">
        <f t="shared" si="1"/>
        <v>0</v>
      </c>
      <c r="J27" s="208">
        <f t="shared" si="2"/>
        <v>0</v>
      </c>
      <c r="M27" s="208">
        <f t="shared" si="3"/>
        <v>0</v>
      </c>
      <c r="P27" s="208">
        <f t="shared" si="4"/>
        <v>0</v>
      </c>
      <c r="S27" s="208">
        <f t="shared" si="5"/>
        <v>0</v>
      </c>
      <c r="V27" s="208">
        <f t="shared" si="6"/>
        <v>0</v>
      </c>
      <c r="Y27" s="208">
        <f t="shared" si="7"/>
        <v>0</v>
      </c>
      <c r="AB27" s="208">
        <f t="shared" si="8"/>
        <v>0</v>
      </c>
      <c r="AE27" s="208">
        <v>0</v>
      </c>
      <c r="AH27" s="208">
        <v>0</v>
      </c>
      <c r="AI27" s="223">
        <f>81300000</f>
        <v>81300000</v>
      </c>
      <c r="AJ27" s="224">
        <v>4.24E-2</v>
      </c>
      <c r="AK27" s="208">
        <f t="shared" si="9"/>
        <v>9575.3333333333339</v>
      </c>
      <c r="AL27" s="223"/>
      <c r="AM27" s="224"/>
      <c r="AN27" s="208">
        <f t="shared" si="10"/>
        <v>0</v>
      </c>
      <c r="AO27" s="223"/>
      <c r="AP27" s="224"/>
      <c r="AQ27" s="208">
        <f t="shared" si="11"/>
        <v>0</v>
      </c>
      <c r="AR27" s="223"/>
      <c r="AS27" s="224"/>
      <c r="AT27" s="208">
        <f t="shared" si="12"/>
        <v>0</v>
      </c>
      <c r="AW27" s="208">
        <f t="shared" si="13"/>
        <v>0</v>
      </c>
      <c r="AZ27" s="208">
        <f t="shared" si="14"/>
        <v>0</v>
      </c>
      <c r="BC27" s="208">
        <f t="shared" si="15"/>
        <v>0</v>
      </c>
      <c r="BF27" s="208">
        <f t="shared" si="16"/>
        <v>0</v>
      </c>
      <c r="BI27" s="208">
        <f t="shared" si="17"/>
        <v>0</v>
      </c>
      <c r="BL27" s="208">
        <f t="shared" si="18"/>
        <v>0</v>
      </c>
      <c r="BO27" s="208">
        <f t="shared" si="19"/>
        <v>0</v>
      </c>
      <c r="BR27" s="208">
        <f t="shared" si="20"/>
        <v>0</v>
      </c>
      <c r="BU27" s="208">
        <f t="shared" si="21"/>
        <v>0</v>
      </c>
      <c r="BX27" s="208">
        <f t="shared" si="22"/>
        <v>0</v>
      </c>
      <c r="CA27" s="208">
        <f t="shared" si="23"/>
        <v>0</v>
      </c>
      <c r="CD27" s="208">
        <f t="shared" si="24"/>
        <v>0</v>
      </c>
      <c r="CG27" s="208">
        <f t="shared" si="25"/>
        <v>0</v>
      </c>
      <c r="CJ27" s="208">
        <f t="shared" si="26"/>
        <v>0</v>
      </c>
      <c r="CM27" s="208">
        <f t="shared" si="27"/>
        <v>0</v>
      </c>
      <c r="CP27" s="208">
        <f t="shared" si="28"/>
        <v>0</v>
      </c>
      <c r="CS27" s="208">
        <f t="shared" si="29"/>
        <v>0</v>
      </c>
      <c r="CV27" s="208">
        <f t="shared" si="30"/>
        <v>0</v>
      </c>
      <c r="CY27" s="208">
        <f t="shared" si="31"/>
        <v>0</v>
      </c>
      <c r="DB27" s="208">
        <f t="shared" si="32"/>
        <v>0</v>
      </c>
      <c r="DE27" s="208">
        <f t="shared" si="33"/>
        <v>0</v>
      </c>
      <c r="DH27" s="208">
        <f t="shared" si="34"/>
        <v>0</v>
      </c>
      <c r="DK27" s="208">
        <f t="shared" si="35"/>
        <v>0</v>
      </c>
      <c r="DN27" s="208">
        <f t="shared" si="36"/>
        <v>0</v>
      </c>
      <c r="DQ27" s="208">
        <f t="shared" si="37"/>
        <v>0</v>
      </c>
      <c r="DT27" s="208">
        <f t="shared" si="38"/>
        <v>0</v>
      </c>
      <c r="DW27" s="208">
        <f t="shared" si="39"/>
        <v>0</v>
      </c>
      <c r="DZ27" s="208"/>
      <c r="EA27" s="208"/>
      <c r="EB27" s="228">
        <f t="shared" si="40"/>
        <v>257125000</v>
      </c>
      <c r="EC27" s="228">
        <f t="shared" si="41"/>
        <v>175825000</v>
      </c>
      <c r="ED27" s="208">
        <f t="shared" si="42"/>
        <v>29258.561129166672</v>
      </c>
      <c r="EE27" s="209">
        <f t="shared" si="43"/>
        <v>4.0964830360719497E-2</v>
      </c>
      <c r="EG27" s="228">
        <f t="shared" si="44"/>
        <v>0</v>
      </c>
      <c r="EH27" s="208">
        <f t="shared" si="45"/>
        <v>0</v>
      </c>
      <c r="EI27" s="209">
        <f t="shared" si="46"/>
        <v>0</v>
      </c>
      <c r="EJ27" s="209"/>
      <c r="EK27" s="228">
        <f t="shared" si="47"/>
        <v>81300000</v>
      </c>
      <c r="EL27" s="228">
        <f t="shared" si="48"/>
        <v>0</v>
      </c>
      <c r="EM27" s="228">
        <f t="shared" si="49"/>
        <v>9575.3333333333339</v>
      </c>
      <c r="EN27" s="209">
        <f t="shared" si="50"/>
        <v>4.2400000000000007E-2</v>
      </c>
      <c r="EP27" s="208"/>
    </row>
    <row r="28" spans="1:146" x14ac:dyDescent="0.25">
      <c r="A28" s="222">
        <f t="shared" si="51"/>
        <v>45948</v>
      </c>
      <c r="B28" s="208">
        <v>175825000</v>
      </c>
      <c r="C28" s="209">
        <v>4.0301220000000006E-2</v>
      </c>
      <c r="D28" s="208">
        <f t="shared" si="0"/>
        <v>19683.227795833336</v>
      </c>
      <c r="G28" s="208">
        <f t="shared" si="1"/>
        <v>0</v>
      </c>
      <c r="J28" s="208">
        <f t="shared" si="2"/>
        <v>0</v>
      </c>
      <c r="M28" s="208">
        <f t="shared" si="3"/>
        <v>0</v>
      </c>
      <c r="P28" s="208">
        <f t="shared" si="4"/>
        <v>0</v>
      </c>
      <c r="S28" s="208">
        <f t="shared" si="5"/>
        <v>0</v>
      </c>
      <c r="V28" s="208">
        <f t="shared" si="6"/>
        <v>0</v>
      </c>
      <c r="Y28" s="208">
        <f t="shared" si="7"/>
        <v>0</v>
      </c>
      <c r="AB28" s="208">
        <f t="shared" si="8"/>
        <v>0</v>
      </c>
      <c r="AE28" s="208">
        <v>0</v>
      </c>
      <c r="AH28" s="208">
        <v>0</v>
      </c>
      <c r="AI28" s="223">
        <f>81300000</f>
        <v>81300000</v>
      </c>
      <c r="AJ28" s="224">
        <v>4.24E-2</v>
      </c>
      <c r="AK28" s="208">
        <f t="shared" si="9"/>
        <v>9575.3333333333339</v>
      </c>
      <c r="AL28" s="223"/>
      <c r="AM28" s="224"/>
      <c r="AN28" s="208">
        <f t="shared" si="10"/>
        <v>0</v>
      </c>
      <c r="AO28" s="223"/>
      <c r="AP28" s="224"/>
      <c r="AQ28" s="208">
        <f t="shared" si="11"/>
        <v>0</v>
      </c>
      <c r="AR28" s="223"/>
      <c r="AS28" s="224"/>
      <c r="AT28" s="208">
        <f t="shared" si="12"/>
        <v>0</v>
      </c>
      <c r="AW28" s="208">
        <f t="shared" si="13"/>
        <v>0</v>
      </c>
      <c r="AZ28" s="208">
        <f t="shared" si="14"/>
        <v>0</v>
      </c>
      <c r="BC28" s="208">
        <f t="shared" si="15"/>
        <v>0</v>
      </c>
      <c r="BF28" s="208">
        <f t="shared" si="16"/>
        <v>0</v>
      </c>
      <c r="BI28" s="208">
        <f t="shared" si="17"/>
        <v>0</v>
      </c>
      <c r="BL28" s="208">
        <f t="shared" si="18"/>
        <v>0</v>
      </c>
      <c r="BO28" s="208">
        <f t="shared" si="19"/>
        <v>0</v>
      </c>
      <c r="BR28" s="208">
        <f t="shared" si="20"/>
        <v>0</v>
      </c>
      <c r="BU28" s="208">
        <f t="shared" si="21"/>
        <v>0</v>
      </c>
      <c r="BX28" s="208">
        <f t="shared" si="22"/>
        <v>0</v>
      </c>
      <c r="CA28" s="208">
        <f t="shared" si="23"/>
        <v>0</v>
      </c>
      <c r="CD28" s="208">
        <f t="shared" si="24"/>
        <v>0</v>
      </c>
      <c r="CG28" s="208">
        <f t="shared" si="25"/>
        <v>0</v>
      </c>
      <c r="CJ28" s="208">
        <f t="shared" si="26"/>
        <v>0</v>
      </c>
      <c r="CM28" s="208">
        <f t="shared" si="27"/>
        <v>0</v>
      </c>
      <c r="CP28" s="208">
        <f t="shared" si="28"/>
        <v>0</v>
      </c>
      <c r="CS28" s="208">
        <f t="shared" si="29"/>
        <v>0</v>
      </c>
      <c r="CV28" s="208">
        <f t="shared" si="30"/>
        <v>0</v>
      </c>
      <c r="CY28" s="208">
        <f t="shared" si="31"/>
        <v>0</v>
      </c>
      <c r="DB28" s="208">
        <f t="shared" si="32"/>
        <v>0</v>
      </c>
      <c r="DE28" s="208">
        <f t="shared" si="33"/>
        <v>0</v>
      </c>
      <c r="DH28" s="208">
        <f t="shared" si="34"/>
        <v>0</v>
      </c>
      <c r="DK28" s="208">
        <f t="shared" si="35"/>
        <v>0</v>
      </c>
      <c r="DN28" s="208">
        <f t="shared" si="36"/>
        <v>0</v>
      </c>
      <c r="DQ28" s="208">
        <f t="shared" si="37"/>
        <v>0</v>
      </c>
      <c r="DT28" s="208">
        <f t="shared" si="38"/>
        <v>0</v>
      </c>
      <c r="DW28" s="208">
        <f t="shared" si="39"/>
        <v>0</v>
      </c>
      <c r="DZ28" s="208"/>
      <c r="EA28" s="208"/>
      <c r="EB28" s="228">
        <f t="shared" si="40"/>
        <v>257125000</v>
      </c>
      <c r="EC28" s="228">
        <f t="shared" si="41"/>
        <v>175825000</v>
      </c>
      <c r="ED28" s="208">
        <f t="shared" si="42"/>
        <v>29258.561129166672</v>
      </c>
      <c r="EE28" s="209">
        <f t="shared" si="43"/>
        <v>4.0964830360719497E-2</v>
      </c>
      <c r="EG28" s="228">
        <f t="shared" si="44"/>
        <v>0</v>
      </c>
      <c r="EH28" s="208">
        <f t="shared" si="45"/>
        <v>0</v>
      </c>
      <c r="EI28" s="209">
        <f t="shared" si="46"/>
        <v>0</v>
      </c>
      <c r="EJ28" s="209"/>
      <c r="EK28" s="228">
        <f t="shared" si="47"/>
        <v>81300000</v>
      </c>
      <c r="EL28" s="228">
        <f t="shared" si="48"/>
        <v>0</v>
      </c>
      <c r="EM28" s="228">
        <f t="shared" si="49"/>
        <v>9575.3333333333339</v>
      </c>
      <c r="EN28" s="209">
        <f t="shared" si="50"/>
        <v>4.2400000000000007E-2</v>
      </c>
      <c r="EP28" s="208"/>
    </row>
    <row r="29" spans="1:146" x14ac:dyDescent="0.25">
      <c r="A29" s="222">
        <f t="shared" si="51"/>
        <v>45949</v>
      </c>
      <c r="B29" s="208">
        <v>175825000</v>
      </c>
      <c r="C29" s="209">
        <v>4.0301220000000006E-2</v>
      </c>
      <c r="D29" s="208">
        <f t="shared" si="0"/>
        <v>19683.227795833336</v>
      </c>
      <c r="G29" s="208">
        <f t="shared" si="1"/>
        <v>0</v>
      </c>
      <c r="J29" s="208">
        <f t="shared" si="2"/>
        <v>0</v>
      </c>
      <c r="M29" s="208">
        <f t="shared" si="3"/>
        <v>0</v>
      </c>
      <c r="P29" s="208">
        <f t="shared" si="4"/>
        <v>0</v>
      </c>
      <c r="S29" s="208">
        <f t="shared" si="5"/>
        <v>0</v>
      </c>
      <c r="V29" s="208">
        <f t="shared" si="6"/>
        <v>0</v>
      </c>
      <c r="Y29" s="208">
        <f t="shared" si="7"/>
        <v>0</v>
      </c>
      <c r="AB29" s="208">
        <f t="shared" si="8"/>
        <v>0</v>
      </c>
      <c r="AE29" s="208">
        <v>0</v>
      </c>
      <c r="AH29" s="208">
        <v>0</v>
      </c>
      <c r="AI29" s="223">
        <f>81300000</f>
        <v>81300000</v>
      </c>
      <c r="AJ29" s="224">
        <v>4.24E-2</v>
      </c>
      <c r="AK29" s="208">
        <f t="shared" si="9"/>
        <v>9575.3333333333339</v>
      </c>
      <c r="AL29" s="223"/>
      <c r="AM29" s="224"/>
      <c r="AN29" s="208">
        <f t="shared" si="10"/>
        <v>0</v>
      </c>
      <c r="AO29" s="223"/>
      <c r="AP29" s="224"/>
      <c r="AQ29" s="208">
        <f t="shared" si="11"/>
        <v>0</v>
      </c>
      <c r="AR29" s="223"/>
      <c r="AS29" s="224"/>
      <c r="AT29" s="208">
        <f t="shared" si="12"/>
        <v>0</v>
      </c>
      <c r="AW29" s="208">
        <f t="shared" si="13"/>
        <v>0</v>
      </c>
      <c r="AZ29" s="208">
        <f t="shared" si="14"/>
        <v>0</v>
      </c>
      <c r="BC29" s="208">
        <f t="shared" si="15"/>
        <v>0</v>
      </c>
      <c r="BF29" s="208">
        <f t="shared" si="16"/>
        <v>0</v>
      </c>
      <c r="BI29" s="208">
        <f t="shared" si="17"/>
        <v>0</v>
      </c>
      <c r="BL29" s="208">
        <f t="shared" si="18"/>
        <v>0</v>
      </c>
      <c r="BO29" s="208">
        <f t="shared" si="19"/>
        <v>0</v>
      </c>
      <c r="BR29" s="208">
        <f t="shared" si="20"/>
        <v>0</v>
      </c>
      <c r="BU29" s="208">
        <f t="shared" si="21"/>
        <v>0</v>
      </c>
      <c r="BX29" s="208">
        <f t="shared" si="22"/>
        <v>0</v>
      </c>
      <c r="CA29" s="208">
        <f t="shared" si="23"/>
        <v>0</v>
      </c>
      <c r="CD29" s="208">
        <f t="shared" si="24"/>
        <v>0</v>
      </c>
      <c r="CG29" s="208">
        <f t="shared" si="25"/>
        <v>0</v>
      </c>
      <c r="CJ29" s="208">
        <f t="shared" si="26"/>
        <v>0</v>
      </c>
      <c r="CM29" s="208">
        <f t="shared" si="27"/>
        <v>0</v>
      </c>
      <c r="CP29" s="208">
        <f t="shared" si="28"/>
        <v>0</v>
      </c>
      <c r="CS29" s="208">
        <f t="shared" si="29"/>
        <v>0</v>
      </c>
      <c r="CV29" s="208">
        <f t="shared" si="30"/>
        <v>0</v>
      </c>
      <c r="CY29" s="208">
        <f t="shared" si="31"/>
        <v>0</v>
      </c>
      <c r="DB29" s="208">
        <f t="shared" si="32"/>
        <v>0</v>
      </c>
      <c r="DE29" s="208">
        <f t="shared" si="33"/>
        <v>0</v>
      </c>
      <c r="DH29" s="208">
        <f t="shared" si="34"/>
        <v>0</v>
      </c>
      <c r="DK29" s="208">
        <f t="shared" si="35"/>
        <v>0</v>
      </c>
      <c r="DN29" s="208">
        <f t="shared" si="36"/>
        <v>0</v>
      </c>
      <c r="DQ29" s="208">
        <f t="shared" si="37"/>
        <v>0</v>
      </c>
      <c r="DT29" s="208">
        <f t="shared" si="38"/>
        <v>0</v>
      </c>
      <c r="DW29" s="208">
        <f t="shared" si="39"/>
        <v>0</v>
      </c>
      <c r="DZ29" s="208"/>
      <c r="EA29" s="208"/>
      <c r="EB29" s="228">
        <f t="shared" si="40"/>
        <v>257125000</v>
      </c>
      <c r="EC29" s="228">
        <f t="shared" si="41"/>
        <v>175825000</v>
      </c>
      <c r="ED29" s="208">
        <f t="shared" si="42"/>
        <v>29258.561129166672</v>
      </c>
      <c r="EE29" s="209">
        <f t="shared" si="43"/>
        <v>4.0964830360719497E-2</v>
      </c>
      <c r="EG29" s="228">
        <f t="shared" si="44"/>
        <v>0</v>
      </c>
      <c r="EH29" s="208">
        <f t="shared" si="45"/>
        <v>0</v>
      </c>
      <c r="EI29" s="209">
        <f t="shared" si="46"/>
        <v>0</v>
      </c>
      <c r="EJ29" s="209"/>
      <c r="EK29" s="228">
        <f t="shared" si="47"/>
        <v>81300000</v>
      </c>
      <c r="EL29" s="228">
        <f t="shared" si="48"/>
        <v>0</v>
      </c>
      <c r="EM29" s="228">
        <f t="shared" si="49"/>
        <v>9575.3333333333339</v>
      </c>
      <c r="EN29" s="209">
        <f t="shared" si="50"/>
        <v>4.2400000000000007E-2</v>
      </c>
      <c r="EP29" s="208"/>
    </row>
    <row r="30" spans="1:146" x14ac:dyDescent="0.25">
      <c r="A30" s="222">
        <f t="shared" si="51"/>
        <v>45950</v>
      </c>
      <c r="B30" s="208">
        <v>144600000</v>
      </c>
      <c r="C30" s="209">
        <v>4.0262149999999997E-2</v>
      </c>
      <c r="D30" s="208">
        <f t="shared" si="0"/>
        <v>16171.963583333332</v>
      </c>
      <c r="G30" s="208">
        <f t="shared" si="1"/>
        <v>0</v>
      </c>
      <c r="J30" s="208">
        <f t="shared" si="2"/>
        <v>0</v>
      </c>
      <c r="M30" s="208">
        <f t="shared" si="3"/>
        <v>0</v>
      </c>
      <c r="P30" s="208">
        <f t="shared" si="4"/>
        <v>0</v>
      </c>
      <c r="S30" s="208">
        <f t="shared" si="5"/>
        <v>0</v>
      </c>
      <c r="V30" s="208">
        <f t="shared" si="6"/>
        <v>0</v>
      </c>
      <c r="Y30" s="208">
        <f t="shared" si="7"/>
        <v>0</v>
      </c>
      <c r="AB30" s="208">
        <f t="shared" si="8"/>
        <v>0</v>
      </c>
      <c r="AE30" s="208">
        <v>0</v>
      </c>
      <c r="AH30" s="208">
        <v>0</v>
      </c>
      <c r="AI30" s="223">
        <v>122900000</v>
      </c>
      <c r="AJ30" s="224">
        <v>4.24E-2</v>
      </c>
      <c r="AK30" s="208">
        <f t="shared" si="9"/>
        <v>14474.888888888889</v>
      </c>
      <c r="AL30" s="223"/>
      <c r="AM30" s="224"/>
      <c r="AN30" s="208">
        <f t="shared" si="10"/>
        <v>0</v>
      </c>
      <c r="AO30" s="223"/>
      <c r="AP30" s="224"/>
      <c r="AQ30" s="208">
        <f t="shared" si="11"/>
        <v>0</v>
      </c>
      <c r="AR30" s="223"/>
      <c r="AS30" s="224"/>
      <c r="AT30" s="208">
        <f t="shared" si="12"/>
        <v>0</v>
      </c>
      <c r="AW30" s="208">
        <f t="shared" si="13"/>
        <v>0</v>
      </c>
      <c r="AZ30" s="208">
        <f t="shared" si="14"/>
        <v>0</v>
      </c>
      <c r="BC30" s="208">
        <f t="shared" si="15"/>
        <v>0</v>
      </c>
      <c r="BF30" s="208">
        <f t="shared" si="16"/>
        <v>0</v>
      </c>
      <c r="BI30" s="208">
        <f t="shared" si="17"/>
        <v>0</v>
      </c>
      <c r="BL30" s="208">
        <f t="shared" si="18"/>
        <v>0</v>
      </c>
      <c r="BO30" s="208">
        <f t="shared" si="19"/>
        <v>0</v>
      </c>
      <c r="BR30" s="208">
        <f t="shared" si="20"/>
        <v>0</v>
      </c>
      <c r="BU30" s="208">
        <f t="shared" si="21"/>
        <v>0</v>
      </c>
      <c r="BX30" s="208">
        <f t="shared" si="22"/>
        <v>0</v>
      </c>
      <c r="CA30" s="208">
        <f t="shared" si="23"/>
        <v>0</v>
      </c>
      <c r="CD30" s="208">
        <f t="shared" si="24"/>
        <v>0</v>
      </c>
      <c r="CG30" s="208">
        <f t="shared" si="25"/>
        <v>0</v>
      </c>
      <c r="CJ30" s="208">
        <f t="shared" si="26"/>
        <v>0</v>
      </c>
      <c r="CM30" s="208">
        <f t="shared" si="27"/>
        <v>0</v>
      </c>
      <c r="CP30" s="208">
        <f t="shared" si="28"/>
        <v>0</v>
      </c>
      <c r="CS30" s="208">
        <f t="shared" si="29"/>
        <v>0</v>
      </c>
      <c r="CV30" s="208">
        <f t="shared" si="30"/>
        <v>0</v>
      </c>
      <c r="CY30" s="208">
        <f t="shared" si="31"/>
        <v>0</v>
      </c>
      <c r="DB30" s="208">
        <f t="shared" si="32"/>
        <v>0</v>
      </c>
      <c r="DE30" s="208">
        <f t="shared" si="33"/>
        <v>0</v>
      </c>
      <c r="DH30" s="208">
        <f t="shared" si="34"/>
        <v>0</v>
      </c>
      <c r="DK30" s="208">
        <f t="shared" si="35"/>
        <v>0</v>
      </c>
      <c r="DN30" s="208">
        <f t="shared" si="36"/>
        <v>0</v>
      </c>
      <c r="DQ30" s="208">
        <f t="shared" si="37"/>
        <v>0</v>
      </c>
      <c r="DT30" s="208">
        <f t="shared" si="38"/>
        <v>0</v>
      </c>
      <c r="DW30" s="208">
        <f t="shared" si="39"/>
        <v>0</v>
      </c>
      <c r="DZ30" s="208"/>
      <c r="EA30" s="208"/>
      <c r="EB30" s="228">
        <f t="shared" si="40"/>
        <v>267500000</v>
      </c>
      <c r="EC30" s="228">
        <f t="shared" si="41"/>
        <v>144600000</v>
      </c>
      <c r="ED30" s="208">
        <f t="shared" si="42"/>
        <v>30646.852472222221</v>
      </c>
      <c r="EE30" s="209">
        <f t="shared" si="43"/>
        <v>4.1244362205607475E-2</v>
      </c>
      <c r="EG30" s="228">
        <f t="shared" si="44"/>
        <v>0</v>
      </c>
      <c r="EH30" s="208">
        <f t="shared" si="45"/>
        <v>0</v>
      </c>
      <c r="EI30" s="209">
        <f t="shared" si="46"/>
        <v>0</v>
      </c>
      <c r="EJ30" s="209"/>
      <c r="EK30" s="228">
        <f t="shared" si="47"/>
        <v>122900000</v>
      </c>
      <c r="EL30" s="228">
        <f t="shared" si="48"/>
        <v>0</v>
      </c>
      <c r="EM30" s="228">
        <f t="shared" si="49"/>
        <v>14474.888888888889</v>
      </c>
      <c r="EN30" s="209">
        <f t="shared" si="50"/>
        <v>4.24E-2</v>
      </c>
      <c r="EP30" s="208"/>
    </row>
    <row r="31" spans="1:146" x14ac:dyDescent="0.25">
      <c r="A31" s="222">
        <f t="shared" si="51"/>
        <v>45951</v>
      </c>
      <c r="B31" s="208">
        <v>162350000</v>
      </c>
      <c r="C31" s="209">
        <v>4.006212E-2</v>
      </c>
      <c r="D31" s="208">
        <f t="shared" si="0"/>
        <v>18066.903283333333</v>
      </c>
      <c r="G31" s="208">
        <f t="shared" si="1"/>
        <v>0</v>
      </c>
      <c r="J31" s="208">
        <f t="shared" si="2"/>
        <v>0</v>
      </c>
      <c r="M31" s="208">
        <f t="shared" si="3"/>
        <v>0</v>
      </c>
      <c r="P31" s="208">
        <f t="shared" si="4"/>
        <v>0</v>
      </c>
      <c r="S31" s="208">
        <f t="shared" si="5"/>
        <v>0</v>
      </c>
      <c r="V31" s="208">
        <f t="shared" si="6"/>
        <v>0</v>
      </c>
      <c r="Y31" s="208">
        <f t="shared" si="7"/>
        <v>0</v>
      </c>
      <c r="AB31" s="208">
        <f t="shared" si="8"/>
        <v>0</v>
      </c>
      <c r="AE31" s="208">
        <v>0</v>
      </c>
      <c r="AH31" s="208">
        <v>0</v>
      </c>
      <c r="AI31" s="223">
        <v>85300000</v>
      </c>
      <c r="AJ31" s="224">
        <v>4.24E-2</v>
      </c>
      <c r="AK31" s="208">
        <f t="shared" si="9"/>
        <v>10046.444444444445</v>
      </c>
      <c r="AL31" s="223"/>
      <c r="AM31" s="224"/>
      <c r="AN31" s="208">
        <f t="shared" si="10"/>
        <v>0</v>
      </c>
      <c r="AO31" s="223"/>
      <c r="AP31" s="224"/>
      <c r="AQ31" s="208">
        <f t="shared" si="11"/>
        <v>0</v>
      </c>
      <c r="AR31" s="223"/>
      <c r="AS31" s="224"/>
      <c r="AT31" s="208">
        <f t="shared" si="12"/>
        <v>0</v>
      </c>
      <c r="AW31" s="208">
        <f t="shared" si="13"/>
        <v>0</v>
      </c>
      <c r="AZ31" s="208">
        <f t="shared" si="14"/>
        <v>0</v>
      </c>
      <c r="BC31" s="208">
        <f t="shared" si="15"/>
        <v>0</v>
      </c>
      <c r="BF31" s="208">
        <f t="shared" si="16"/>
        <v>0</v>
      </c>
      <c r="BI31" s="208">
        <f t="shared" si="17"/>
        <v>0</v>
      </c>
      <c r="BL31" s="208">
        <f t="shared" si="18"/>
        <v>0</v>
      </c>
      <c r="BO31" s="208">
        <f t="shared" si="19"/>
        <v>0</v>
      </c>
      <c r="BR31" s="208">
        <f t="shared" si="20"/>
        <v>0</v>
      </c>
      <c r="BU31" s="208">
        <f t="shared" si="21"/>
        <v>0</v>
      </c>
      <c r="BX31" s="208">
        <f t="shared" si="22"/>
        <v>0</v>
      </c>
      <c r="CA31" s="208">
        <f t="shared" si="23"/>
        <v>0</v>
      </c>
      <c r="CD31" s="208">
        <f t="shared" si="24"/>
        <v>0</v>
      </c>
      <c r="CG31" s="208">
        <f t="shared" si="25"/>
        <v>0</v>
      </c>
      <c r="CJ31" s="208">
        <f t="shared" si="26"/>
        <v>0</v>
      </c>
      <c r="CM31" s="208">
        <f t="shared" si="27"/>
        <v>0</v>
      </c>
      <c r="CP31" s="208">
        <f t="shared" si="28"/>
        <v>0</v>
      </c>
      <c r="CS31" s="208">
        <f t="shared" si="29"/>
        <v>0</v>
      </c>
      <c r="CV31" s="208">
        <f t="shared" si="30"/>
        <v>0</v>
      </c>
      <c r="CY31" s="208">
        <f t="shared" si="31"/>
        <v>0</v>
      </c>
      <c r="DB31" s="208">
        <f t="shared" si="32"/>
        <v>0</v>
      </c>
      <c r="DE31" s="208">
        <f t="shared" si="33"/>
        <v>0</v>
      </c>
      <c r="DH31" s="208">
        <f t="shared" si="34"/>
        <v>0</v>
      </c>
      <c r="DK31" s="208">
        <f t="shared" si="35"/>
        <v>0</v>
      </c>
      <c r="DN31" s="208">
        <f t="shared" si="36"/>
        <v>0</v>
      </c>
      <c r="DQ31" s="208">
        <f t="shared" si="37"/>
        <v>0</v>
      </c>
      <c r="DT31" s="208">
        <f t="shared" si="38"/>
        <v>0</v>
      </c>
      <c r="DW31" s="208">
        <f t="shared" si="39"/>
        <v>0</v>
      </c>
      <c r="DZ31" s="208"/>
      <c r="EA31" s="208"/>
      <c r="EB31" s="228">
        <f t="shared" si="40"/>
        <v>247650000</v>
      </c>
      <c r="EC31" s="228">
        <f t="shared" si="41"/>
        <v>162350000</v>
      </c>
      <c r="ED31" s="208">
        <f t="shared" si="42"/>
        <v>28113.347727777778</v>
      </c>
      <c r="EE31" s="209">
        <f t="shared" si="43"/>
        <v>4.0867374044013728E-2</v>
      </c>
      <c r="EG31" s="228">
        <f t="shared" si="44"/>
        <v>0</v>
      </c>
      <c r="EH31" s="208">
        <f t="shared" si="45"/>
        <v>0</v>
      </c>
      <c r="EI31" s="209">
        <f t="shared" si="46"/>
        <v>0</v>
      </c>
      <c r="EJ31" s="209"/>
      <c r="EK31" s="228">
        <f t="shared" si="47"/>
        <v>85300000</v>
      </c>
      <c r="EL31" s="228">
        <f t="shared" si="48"/>
        <v>0</v>
      </c>
      <c r="EM31" s="228">
        <f t="shared" si="49"/>
        <v>10046.444444444445</v>
      </c>
      <c r="EN31" s="209">
        <f t="shared" si="50"/>
        <v>4.2400000000000007E-2</v>
      </c>
      <c r="EP31" s="208"/>
    </row>
    <row r="32" spans="1:146" x14ac:dyDescent="0.25">
      <c r="A32" s="222">
        <f t="shared" si="51"/>
        <v>45952</v>
      </c>
      <c r="B32" s="208">
        <v>170650000</v>
      </c>
      <c r="C32" s="209">
        <v>4.023587E-2</v>
      </c>
      <c r="D32" s="208">
        <f t="shared" si="0"/>
        <v>19072.920043055554</v>
      </c>
      <c r="G32" s="208">
        <f t="shared" si="1"/>
        <v>0</v>
      </c>
      <c r="J32" s="208">
        <f t="shared" si="2"/>
        <v>0</v>
      </c>
      <c r="M32" s="208">
        <f t="shared" si="3"/>
        <v>0</v>
      </c>
      <c r="P32" s="208">
        <f t="shared" si="4"/>
        <v>0</v>
      </c>
      <c r="S32" s="208">
        <f t="shared" si="5"/>
        <v>0</v>
      </c>
      <c r="V32" s="208">
        <f t="shared" si="6"/>
        <v>0</v>
      </c>
      <c r="Y32" s="208">
        <f t="shared" si="7"/>
        <v>0</v>
      </c>
      <c r="AB32" s="208">
        <f t="shared" si="8"/>
        <v>0</v>
      </c>
      <c r="AE32" s="208">
        <v>0</v>
      </c>
      <c r="AH32" s="208">
        <v>0</v>
      </c>
      <c r="AI32" s="223">
        <v>66300000</v>
      </c>
      <c r="AJ32" s="224">
        <v>4.24E-2</v>
      </c>
      <c r="AK32" s="208">
        <f t="shared" si="9"/>
        <v>7808.666666666667</v>
      </c>
      <c r="AL32" s="223"/>
      <c r="AM32" s="224"/>
      <c r="AN32" s="208">
        <f t="shared" si="10"/>
        <v>0</v>
      </c>
      <c r="AO32" s="223"/>
      <c r="AP32" s="224"/>
      <c r="AQ32" s="208">
        <f t="shared" si="11"/>
        <v>0</v>
      </c>
      <c r="AR32" s="223"/>
      <c r="AS32" s="224"/>
      <c r="AT32" s="208">
        <f t="shared" si="12"/>
        <v>0</v>
      </c>
      <c r="AW32" s="208">
        <f t="shared" si="13"/>
        <v>0</v>
      </c>
      <c r="AZ32" s="208">
        <f t="shared" si="14"/>
        <v>0</v>
      </c>
      <c r="BC32" s="208">
        <f t="shared" si="15"/>
        <v>0</v>
      </c>
      <c r="BF32" s="208">
        <f t="shared" si="16"/>
        <v>0</v>
      </c>
      <c r="BI32" s="208">
        <f t="shared" si="17"/>
        <v>0</v>
      </c>
      <c r="BL32" s="208">
        <f t="shared" si="18"/>
        <v>0</v>
      </c>
      <c r="BO32" s="208">
        <f t="shared" si="19"/>
        <v>0</v>
      </c>
      <c r="BR32" s="208">
        <f t="shared" si="20"/>
        <v>0</v>
      </c>
      <c r="BU32" s="208">
        <f t="shared" si="21"/>
        <v>0</v>
      </c>
      <c r="BX32" s="208">
        <f t="shared" si="22"/>
        <v>0</v>
      </c>
      <c r="CA32" s="208">
        <f t="shared" si="23"/>
        <v>0</v>
      </c>
      <c r="CD32" s="208">
        <f t="shared" si="24"/>
        <v>0</v>
      </c>
      <c r="CG32" s="208">
        <f t="shared" si="25"/>
        <v>0</v>
      </c>
      <c r="CJ32" s="208">
        <f t="shared" si="26"/>
        <v>0</v>
      </c>
      <c r="CM32" s="208">
        <f t="shared" si="27"/>
        <v>0</v>
      </c>
      <c r="CP32" s="208">
        <f t="shared" si="28"/>
        <v>0</v>
      </c>
      <c r="CS32" s="208">
        <f t="shared" si="29"/>
        <v>0</v>
      </c>
      <c r="CV32" s="208">
        <f t="shared" si="30"/>
        <v>0</v>
      </c>
      <c r="CY32" s="208">
        <f t="shared" si="31"/>
        <v>0</v>
      </c>
      <c r="DB32" s="208">
        <f t="shared" si="32"/>
        <v>0</v>
      </c>
      <c r="DE32" s="208">
        <f t="shared" si="33"/>
        <v>0</v>
      </c>
      <c r="DH32" s="208">
        <f t="shared" si="34"/>
        <v>0</v>
      </c>
      <c r="DK32" s="208">
        <f t="shared" si="35"/>
        <v>0</v>
      </c>
      <c r="DN32" s="208">
        <f t="shared" si="36"/>
        <v>0</v>
      </c>
      <c r="DQ32" s="208">
        <f t="shared" si="37"/>
        <v>0</v>
      </c>
      <c r="DT32" s="208">
        <f t="shared" si="38"/>
        <v>0</v>
      </c>
      <c r="DW32" s="208">
        <f t="shared" si="39"/>
        <v>0</v>
      </c>
      <c r="DZ32" s="208"/>
      <c r="EA32" s="208"/>
      <c r="EB32" s="228">
        <f t="shared" si="40"/>
        <v>236950000</v>
      </c>
      <c r="EC32" s="228">
        <f t="shared" si="41"/>
        <v>170650000</v>
      </c>
      <c r="ED32" s="208">
        <f t="shared" si="42"/>
        <v>26881.586709722222</v>
      </c>
      <c r="EE32" s="209">
        <f t="shared" si="43"/>
        <v>4.0841406269255115E-2</v>
      </c>
      <c r="EG32" s="228">
        <f t="shared" si="44"/>
        <v>0</v>
      </c>
      <c r="EH32" s="208">
        <f t="shared" si="45"/>
        <v>0</v>
      </c>
      <c r="EI32" s="209">
        <f t="shared" si="46"/>
        <v>0</v>
      </c>
      <c r="EJ32" s="209"/>
      <c r="EK32" s="228">
        <f t="shared" si="47"/>
        <v>66300000</v>
      </c>
      <c r="EL32" s="228">
        <f t="shared" si="48"/>
        <v>0</v>
      </c>
      <c r="EM32" s="228">
        <f t="shared" si="49"/>
        <v>7808.666666666667</v>
      </c>
      <c r="EN32" s="209">
        <f t="shared" si="50"/>
        <v>4.24E-2</v>
      </c>
      <c r="EP32" s="208"/>
    </row>
    <row r="33" spans="1:146" x14ac:dyDescent="0.25">
      <c r="A33" s="222">
        <f t="shared" si="51"/>
        <v>45953</v>
      </c>
      <c r="B33" s="208">
        <v>174000000</v>
      </c>
      <c r="C33" s="209">
        <v>4.0324699999999998E-2</v>
      </c>
      <c r="D33" s="208">
        <f t="shared" si="0"/>
        <v>19490.271666666667</v>
      </c>
      <c r="G33" s="208">
        <f t="shared" si="1"/>
        <v>0</v>
      </c>
      <c r="J33" s="208">
        <f t="shared" si="2"/>
        <v>0</v>
      </c>
      <c r="M33" s="208">
        <f t="shared" si="3"/>
        <v>0</v>
      </c>
      <c r="P33" s="208">
        <f t="shared" si="4"/>
        <v>0</v>
      </c>
      <c r="S33" s="208">
        <f t="shared" si="5"/>
        <v>0</v>
      </c>
      <c r="V33" s="208">
        <f t="shared" si="6"/>
        <v>0</v>
      </c>
      <c r="Y33" s="208">
        <f t="shared" si="7"/>
        <v>0</v>
      </c>
      <c r="AB33" s="208">
        <f t="shared" si="8"/>
        <v>0</v>
      </c>
      <c r="AE33" s="208">
        <v>0</v>
      </c>
      <c r="AH33" s="208">
        <v>0</v>
      </c>
      <c r="AI33" s="223">
        <v>55200000</v>
      </c>
      <c r="AJ33" s="224">
        <v>4.24E-2</v>
      </c>
      <c r="AK33" s="208">
        <f t="shared" si="9"/>
        <v>6501.333333333333</v>
      </c>
      <c r="AL33" s="223"/>
      <c r="AM33" s="224"/>
      <c r="AN33" s="208">
        <f t="shared" si="10"/>
        <v>0</v>
      </c>
      <c r="AO33" s="223"/>
      <c r="AP33" s="224"/>
      <c r="AQ33" s="208">
        <f t="shared" si="11"/>
        <v>0</v>
      </c>
      <c r="AR33" s="223"/>
      <c r="AS33" s="224"/>
      <c r="AT33" s="208">
        <f t="shared" si="12"/>
        <v>0</v>
      </c>
      <c r="AW33" s="208">
        <f t="shared" si="13"/>
        <v>0</v>
      </c>
      <c r="AZ33" s="208">
        <f t="shared" si="14"/>
        <v>0</v>
      </c>
      <c r="BC33" s="208">
        <f t="shared" si="15"/>
        <v>0</v>
      </c>
      <c r="BF33" s="208">
        <f t="shared" si="16"/>
        <v>0</v>
      </c>
      <c r="BI33" s="208">
        <f t="shared" si="17"/>
        <v>0</v>
      </c>
      <c r="BL33" s="208">
        <f t="shared" si="18"/>
        <v>0</v>
      </c>
      <c r="BO33" s="208">
        <f t="shared" si="19"/>
        <v>0</v>
      </c>
      <c r="BR33" s="208">
        <f t="shared" si="20"/>
        <v>0</v>
      </c>
      <c r="BU33" s="208">
        <f t="shared" si="21"/>
        <v>0</v>
      </c>
      <c r="BX33" s="208">
        <f t="shared" si="22"/>
        <v>0</v>
      </c>
      <c r="CA33" s="208">
        <f t="shared" si="23"/>
        <v>0</v>
      </c>
      <c r="CD33" s="208">
        <f t="shared" si="24"/>
        <v>0</v>
      </c>
      <c r="CG33" s="208">
        <f t="shared" si="25"/>
        <v>0</v>
      </c>
      <c r="CJ33" s="208">
        <f t="shared" si="26"/>
        <v>0</v>
      </c>
      <c r="CM33" s="208">
        <f t="shared" si="27"/>
        <v>0</v>
      </c>
      <c r="CP33" s="208">
        <f t="shared" si="28"/>
        <v>0</v>
      </c>
      <c r="CS33" s="208">
        <f t="shared" si="29"/>
        <v>0</v>
      </c>
      <c r="CV33" s="208">
        <f t="shared" si="30"/>
        <v>0</v>
      </c>
      <c r="CY33" s="208">
        <f t="shared" si="31"/>
        <v>0</v>
      </c>
      <c r="DB33" s="208">
        <f t="shared" si="32"/>
        <v>0</v>
      </c>
      <c r="DE33" s="208">
        <f t="shared" si="33"/>
        <v>0</v>
      </c>
      <c r="DH33" s="208">
        <f t="shared" si="34"/>
        <v>0</v>
      </c>
      <c r="DK33" s="208">
        <f t="shared" si="35"/>
        <v>0</v>
      </c>
      <c r="DN33" s="208">
        <f t="shared" si="36"/>
        <v>0</v>
      </c>
      <c r="DQ33" s="208">
        <f t="shared" si="37"/>
        <v>0</v>
      </c>
      <c r="DT33" s="208">
        <f t="shared" si="38"/>
        <v>0</v>
      </c>
      <c r="DW33" s="208">
        <f t="shared" si="39"/>
        <v>0</v>
      </c>
      <c r="DZ33" s="208"/>
      <c r="EA33" s="208"/>
      <c r="EB33" s="228">
        <f t="shared" si="40"/>
        <v>229200000</v>
      </c>
      <c r="EC33" s="228">
        <f t="shared" si="41"/>
        <v>174000000</v>
      </c>
      <c r="ED33" s="208">
        <f t="shared" si="42"/>
        <v>25991.605</v>
      </c>
      <c r="EE33" s="209">
        <f t="shared" si="43"/>
        <v>4.0824510471204188E-2</v>
      </c>
      <c r="EG33" s="228">
        <f t="shared" si="44"/>
        <v>0</v>
      </c>
      <c r="EH33" s="208">
        <f t="shared" si="45"/>
        <v>0</v>
      </c>
      <c r="EI33" s="209">
        <f t="shared" si="46"/>
        <v>0</v>
      </c>
      <c r="EJ33" s="209"/>
      <c r="EK33" s="228">
        <f t="shared" si="47"/>
        <v>55200000</v>
      </c>
      <c r="EL33" s="228">
        <f t="shared" si="48"/>
        <v>0</v>
      </c>
      <c r="EM33" s="228">
        <f t="shared" si="49"/>
        <v>6501.333333333333</v>
      </c>
      <c r="EN33" s="209">
        <f t="shared" si="50"/>
        <v>4.24E-2</v>
      </c>
      <c r="EP33" s="208"/>
    </row>
    <row r="34" spans="1:146" x14ac:dyDescent="0.25">
      <c r="A34" s="222">
        <f t="shared" si="51"/>
        <v>45954</v>
      </c>
      <c r="B34" s="208">
        <v>176325000</v>
      </c>
      <c r="C34" s="209">
        <v>4.0230959999999996E-2</v>
      </c>
      <c r="D34" s="208">
        <f t="shared" si="0"/>
        <v>19704.788949999998</v>
      </c>
      <c r="G34" s="208">
        <f t="shared" si="1"/>
        <v>0</v>
      </c>
      <c r="J34" s="208">
        <f t="shared" si="2"/>
        <v>0</v>
      </c>
      <c r="M34" s="208">
        <f t="shared" si="3"/>
        <v>0</v>
      </c>
      <c r="P34" s="208">
        <f t="shared" si="4"/>
        <v>0</v>
      </c>
      <c r="S34" s="208">
        <f t="shared" si="5"/>
        <v>0</v>
      </c>
      <c r="V34" s="208">
        <f t="shared" si="6"/>
        <v>0</v>
      </c>
      <c r="Y34" s="208">
        <f t="shared" si="7"/>
        <v>0</v>
      </c>
      <c r="AB34" s="208">
        <f t="shared" si="8"/>
        <v>0</v>
      </c>
      <c r="AE34" s="208">
        <v>0</v>
      </c>
      <c r="AH34" s="208">
        <v>0</v>
      </c>
      <c r="AI34" s="223">
        <v>48275000</v>
      </c>
      <c r="AJ34" s="224">
        <v>4.24E-2</v>
      </c>
      <c r="AK34" s="208">
        <f t="shared" si="9"/>
        <v>5685.7222222222226</v>
      </c>
      <c r="AL34" s="223"/>
      <c r="AM34" s="224"/>
      <c r="AN34" s="208">
        <f t="shared" si="10"/>
        <v>0</v>
      </c>
      <c r="AO34" s="223"/>
      <c r="AP34" s="224"/>
      <c r="AQ34" s="208">
        <f t="shared" si="11"/>
        <v>0</v>
      </c>
      <c r="AR34" s="223"/>
      <c r="AS34" s="224"/>
      <c r="AT34" s="208">
        <f t="shared" si="12"/>
        <v>0</v>
      </c>
      <c r="AW34" s="208">
        <f t="shared" si="13"/>
        <v>0</v>
      </c>
      <c r="AZ34" s="208">
        <f t="shared" si="14"/>
        <v>0</v>
      </c>
      <c r="BC34" s="208">
        <f t="shared" si="15"/>
        <v>0</v>
      </c>
      <c r="BF34" s="208">
        <f t="shared" si="16"/>
        <v>0</v>
      </c>
      <c r="BI34" s="208">
        <f t="shared" si="17"/>
        <v>0</v>
      </c>
      <c r="BL34" s="208">
        <f t="shared" si="18"/>
        <v>0</v>
      </c>
      <c r="BO34" s="208">
        <f t="shared" si="19"/>
        <v>0</v>
      </c>
      <c r="BR34" s="208">
        <f t="shared" si="20"/>
        <v>0</v>
      </c>
      <c r="BU34" s="208">
        <f t="shared" si="21"/>
        <v>0</v>
      </c>
      <c r="BX34" s="208">
        <f t="shared" si="22"/>
        <v>0</v>
      </c>
      <c r="CA34" s="208">
        <f t="shared" si="23"/>
        <v>0</v>
      </c>
      <c r="CD34" s="208">
        <f t="shared" si="24"/>
        <v>0</v>
      </c>
      <c r="CG34" s="208">
        <f t="shared" si="25"/>
        <v>0</v>
      </c>
      <c r="CJ34" s="208">
        <f t="shared" si="26"/>
        <v>0</v>
      </c>
      <c r="CM34" s="208">
        <f t="shared" si="27"/>
        <v>0</v>
      </c>
      <c r="CP34" s="208">
        <f t="shared" si="28"/>
        <v>0</v>
      </c>
      <c r="CS34" s="208">
        <f t="shared" si="29"/>
        <v>0</v>
      </c>
      <c r="CV34" s="208">
        <f t="shared" si="30"/>
        <v>0</v>
      </c>
      <c r="CY34" s="208">
        <f t="shared" si="31"/>
        <v>0</v>
      </c>
      <c r="DB34" s="208">
        <f t="shared" si="32"/>
        <v>0</v>
      </c>
      <c r="DE34" s="208">
        <f t="shared" si="33"/>
        <v>0</v>
      </c>
      <c r="DH34" s="208">
        <f t="shared" si="34"/>
        <v>0</v>
      </c>
      <c r="DK34" s="208">
        <f t="shared" si="35"/>
        <v>0</v>
      </c>
      <c r="DN34" s="208">
        <f t="shared" si="36"/>
        <v>0</v>
      </c>
      <c r="DQ34" s="208">
        <f t="shared" si="37"/>
        <v>0</v>
      </c>
      <c r="DT34" s="208">
        <f t="shared" si="38"/>
        <v>0</v>
      </c>
      <c r="DW34" s="208">
        <f t="shared" si="39"/>
        <v>0</v>
      </c>
      <c r="DZ34" s="208"/>
      <c r="EA34" s="208"/>
      <c r="EB34" s="228">
        <f t="shared" si="40"/>
        <v>224600000</v>
      </c>
      <c r="EC34" s="228">
        <f t="shared" si="41"/>
        <v>176325000</v>
      </c>
      <c r="ED34" s="208">
        <f t="shared" si="42"/>
        <v>25390.511172222221</v>
      </c>
      <c r="EE34" s="209">
        <f t="shared" si="43"/>
        <v>4.0697168397150485E-2</v>
      </c>
      <c r="EG34" s="228">
        <f t="shared" si="44"/>
        <v>0</v>
      </c>
      <c r="EH34" s="208">
        <f t="shared" si="45"/>
        <v>0</v>
      </c>
      <c r="EI34" s="209">
        <f t="shared" si="46"/>
        <v>0</v>
      </c>
      <c r="EJ34" s="209"/>
      <c r="EK34" s="228">
        <f t="shared" si="47"/>
        <v>48275000</v>
      </c>
      <c r="EL34" s="228">
        <f t="shared" si="48"/>
        <v>0</v>
      </c>
      <c r="EM34" s="228">
        <f t="shared" si="49"/>
        <v>5685.7222222222226</v>
      </c>
      <c r="EN34" s="209">
        <f t="shared" si="50"/>
        <v>4.2400000000000007E-2</v>
      </c>
      <c r="EP34" s="208"/>
    </row>
    <row r="35" spans="1:146" x14ac:dyDescent="0.25">
      <c r="A35" s="222">
        <f t="shared" si="51"/>
        <v>45955</v>
      </c>
      <c r="B35" s="208">
        <v>176325000</v>
      </c>
      <c r="C35" s="209">
        <v>4.0230959999999996E-2</v>
      </c>
      <c r="D35" s="208">
        <f t="shared" si="0"/>
        <v>19704.788949999998</v>
      </c>
      <c r="G35" s="208">
        <f t="shared" si="1"/>
        <v>0</v>
      </c>
      <c r="J35" s="208">
        <f t="shared" si="2"/>
        <v>0</v>
      </c>
      <c r="M35" s="208">
        <f t="shared" si="3"/>
        <v>0</v>
      </c>
      <c r="P35" s="208">
        <f t="shared" si="4"/>
        <v>0</v>
      </c>
      <c r="S35" s="208">
        <f t="shared" si="5"/>
        <v>0</v>
      </c>
      <c r="V35" s="208">
        <f t="shared" si="6"/>
        <v>0</v>
      </c>
      <c r="Y35" s="208">
        <f t="shared" si="7"/>
        <v>0</v>
      </c>
      <c r="AB35" s="208">
        <f t="shared" si="8"/>
        <v>0</v>
      </c>
      <c r="AE35" s="208">
        <v>0</v>
      </c>
      <c r="AH35" s="208">
        <v>0</v>
      </c>
      <c r="AI35" s="223">
        <v>48275000</v>
      </c>
      <c r="AJ35" s="224">
        <v>4.24E-2</v>
      </c>
      <c r="AK35" s="208">
        <f t="shared" si="9"/>
        <v>5685.7222222222226</v>
      </c>
      <c r="AL35" s="223"/>
      <c r="AM35" s="224"/>
      <c r="AN35" s="208">
        <f t="shared" si="10"/>
        <v>0</v>
      </c>
      <c r="AO35" s="223"/>
      <c r="AP35" s="224"/>
      <c r="AQ35" s="208">
        <f t="shared" si="11"/>
        <v>0</v>
      </c>
      <c r="AR35" s="223"/>
      <c r="AS35" s="224"/>
      <c r="AT35" s="208">
        <f t="shared" si="12"/>
        <v>0</v>
      </c>
      <c r="AW35" s="208">
        <f t="shared" si="13"/>
        <v>0</v>
      </c>
      <c r="AZ35" s="208">
        <f t="shared" si="14"/>
        <v>0</v>
      </c>
      <c r="BC35" s="208">
        <f t="shared" si="15"/>
        <v>0</v>
      </c>
      <c r="BF35" s="208">
        <f t="shared" si="16"/>
        <v>0</v>
      </c>
      <c r="BI35" s="208">
        <f t="shared" si="17"/>
        <v>0</v>
      </c>
      <c r="BL35" s="208">
        <f t="shared" si="18"/>
        <v>0</v>
      </c>
      <c r="BO35" s="208">
        <f t="shared" si="19"/>
        <v>0</v>
      </c>
      <c r="BR35" s="208">
        <f t="shared" si="20"/>
        <v>0</v>
      </c>
      <c r="BU35" s="208">
        <f t="shared" si="21"/>
        <v>0</v>
      </c>
      <c r="BX35" s="208">
        <f t="shared" si="22"/>
        <v>0</v>
      </c>
      <c r="CA35" s="208">
        <f t="shared" si="23"/>
        <v>0</v>
      </c>
      <c r="CD35" s="208">
        <f t="shared" si="24"/>
        <v>0</v>
      </c>
      <c r="CG35" s="208">
        <f t="shared" si="25"/>
        <v>0</v>
      </c>
      <c r="CJ35" s="208">
        <f t="shared" si="26"/>
        <v>0</v>
      </c>
      <c r="CM35" s="208">
        <f t="shared" si="27"/>
        <v>0</v>
      </c>
      <c r="CP35" s="208">
        <f t="shared" si="28"/>
        <v>0</v>
      </c>
      <c r="CS35" s="208">
        <f t="shared" si="29"/>
        <v>0</v>
      </c>
      <c r="CV35" s="208">
        <f t="shared" si="30"/>
        <v>0</v>
      </c>
      <c r="CY35" s="208">
        <f t="shared" si="31"/>
        <v>0</v>
      </c>
      <c r="DB35" s="208">
        <f t="shared" si="32"/>
        <v>0</v>
      </c>
      <c r="DE35" s="208">
        <f t="shared" si="33"/>
        <v>0</v>
      </c>
      <c r="DH35" s="208">
        <f t="shared" si="34"/>
        <v>0</v>
      </c>
      <c r="DK35" s="208">
        <f t="shared" si="35"/>
        <v>0</v>
      </c>
      <c r="DN35" s="208">
        <f t="shared" si="36"/>
        <v>0</v>
      </c>
      <c r="DQ35" s="208">
        <f t="shared" si="37"/>
        <v>0</v>
      </c>
      <c r="DT35" s="208">
        <f t="shared" si="38"/>
        <v>0</v>
      </c>
      <c r="DW35" s="208">
        <f t="shared" si="39"/>
        <v>0</v>
      </c>
      <c r="DZ35" s="208"/>
      <c r="EA35" s="208"/>
      <c r="EB35" s="228">
        <f t="shared" si="40"/>
        <v>224600000</v>
      </c>
      <c r="EC35" s="228">
        <f t="shared" si="41"/>
        <v>176325000</v>
      </c>
      <c r="ED35" s="208">
        <f t="shared" si="42"/>
        <v>25390.511172222221</v>
      </c>
      <c r="EE35" s="209">
        <f t="shared" si="43"/>
        <v>4.0697168397150485E-2</v>
      </c>
      <c r="EG35" s="228">
        <f t="shared" si="44"/>
        <v>0</v>
      </c>
      <c r="EH35" s="208">
        <f t="shared" si="45"/>
        <v>0</v>
      </c>
      <c r="EI35" s="209">
        <f t="shared" si="46"/>
        <v>0</v>
      </c>
      <c r="EJ35" s="209"/>
      <c r="EK35" s="228">
        <f t="shared" si="47"/>
        <v>48275000</v>
      </c>
      <c r="EL35" s="228">
        <f t="shared" si="48"/>
        <v>0</v>
      </c>
      <c r="EM35" s="228">
        <f t="shared" si="49"/>
        <v>5685.7222222222226</v>
      </c>
      <c r="EN35" s="209">
        <f t="shared" si="50"/>
        <v>4.2400000000000007E-2</v>
      </c>
      <c r="EP35" s="208"/>
    </row>
    <row r="36" spans="1:146" x14ac:dyDescent="0.25">
      <c r="A36" s="222">
        <f t="shared" si="51"/>
        <v>45956</v>
      </c>
      <c r="B36" s="208">
        <v>176325000</v>
      </c>
      <c r="C36" s="209">
        <v>4.0230959999999996E-2</v>
      </c>
      <c r="D36" s="208">
        <f t="shared" si="0"/>
        <v>19704.788949999998</v>
      </c>
      <c r="G36" s="208">
        <f t="shared" si="1"/>
        <v>0</v>
      </c>
      <c r="J36" s="208">
        <f t="shared" si="2"/>
        <v>0</v>
      </c>
      <c r="M36" s="208">
        <f t="shared" si="3"/>
        <v>0</v>
      </c>
      <c r="P36" s="208">
        <f t="shared" si="4"/>
        <v>0</v>
      </c>
      <c r="S36" s="208">
        <f t="shared" si="5"/>
        <v>0</v>
      </c>
      <c r="V36" s="208">
        <f t="shared" si="6"/>
        <v>0</v>
      </c>
      <c r="Y36" s="208">
        <f t="shared" si="7"/>
        <v>0</v>
      </c>
      <c r="AB36" s="208">
        <f t="shared" si="8"/>
        <v>0</v>
      </c>
      <c r="AE36" s="208">
        <v>0</v>
      </c>
      <c r="AH36" s="208">
        <v>0</v>
      </c>
      <c r="AI36" s="223">
        <v>48275000</v>
      </c>
      <c r="AJ36" s="224">
        <v>4.24E-2</v>
      </c>
      <c r="AK36" s="208">
        <f t="shared" si="9"/>
        <v>5685.7222222222226</v>
      </c>
      <c r="AL36" s="223"/>
      <c r="AM36" s="224"/>
      <c r="AN36" s="208">
        <f t="shared" si="10"/>
        <v>0</v>
      </c>
      <c r="AO36" s="223"/>
      <c r="AP36" s="224"/>
      <c r="AQ36" s="208">
        <f t="shared" si="11"/>
        <v>0</v>
      </c>
      <c r="AR36" s="223"/>
      <c r="AS36" s="224"/>
      <c r="AT36" s="208">
        <f t="shared" si="12"/>
        <v>0</v>
      </c>
      <c r="AW36" s="208">
        <f t="shared" si="13"/>
        <v>0</v>
      </c>
      <c r="AZ36" s="208">
        <f t="shared" si="14"/>
        <v>0</v>
      </c>
      <c r="BC36" s="208">
        <f t="shared" si="15"/>
        <v>0</v>
      </c>
      <c r="BF36" s="208">
        <f t="shared" si="16"/>
        <v>0</v>
      </c>
      <c r="BI36" s="208">
        <f t="shared" si="17"/>
        <v>0</v>
      </c>
      <c r="BL36" s="208">
        <f t="shared" si="18"/>
        <v>0</v>
      </c>
      <c r="BO36" s="208">
        <f t="shared" si="19"/>
        <v>0</v>
      </c>
      <c r="BR36" s="208">
        <f t="shared" si="20"/>
        <v>0</v>
      </c>
      <c r="BU36" s="208">
        <f t="shared" si="21"/>
        <v>0</v>
      </c>
      <c r="BX36" s="208">
        <f t="shared" si="22"/>
        <v>0</v>
      </c>
      <c r="CA36" s="208">
        <f t="shared" si="23"/>
        <v>0</v>
      </c>
      <c r="CD36" s="208">
        <f t="shared" si="24"/>
        <v>0</v>
      </c>
      <c r="CG36" s="208">
        <f t="shared" si="25"/>
        <v>0</v>
      </c>
      <c r="CJ36" s="208">
        <f t="shared" si="26"/>
        <v>0</v>
      </c>
      <c r="CM36" s="208">
        <f t="shared" si="27"/>
        <v>0</v>
      </c>
      <c r="CP36" s="208">
        <f t="shared" si="28"/>
        <v>0</v>
      </c>
      <c r="CS36" s="208">
        <f t="shared" si="29"/>
        <v>0</v>
      </c>
      <c r="CV36" s="208">
        <f t="shared" si="30"/>
        <v>0</v>
      </c>
      <c r="CY36" s="208">
        <f t="shared" si="31"/>
        <v>0</v>
      </c>
      <c r="DB36" s="208">
        <f t="shared" si="32"/>
        <v>0</v>
      </c>
      <c r="DE36" s="208">
        <f t="shared" si="33"/>
        <v>0</v>
      </c>
      <c r="DH36" s="208">
        <f t="shared" si="34"/>
        <v>0</v>
      </c>
      <c r="DK36" s="208">
        <f t="shared" si="35"/>
        <v>0</v>
      </c>
      <c r="DN36" s="208">
        <f t="shared" si="36"/>
        <v>0</v>
      </c>
      <c r="DQ36" s="208">
        <f t="shared" si="37"/>
        <v>0</v>
      </c>
      <c r="DT36" s="208">
        <f t="shared" si="38"/>
        <v>0</v>
      </c>
      <c r="DW36" s="208">
        <f t="shared" si="39"/>
        <v>0</v>
      </c>
      <c r="DZ36" s="208"/>
      <c r="EA36" s="208"/>
      <c r="EB36" s="228">
        <f t="shared" si="40"/>
        <v>224600000</v>
      </c>
      <c r="EC36" s="228">
        <f t="shared" si="41"/>
        <v>176325000</v>
      </c>
      <c r="ED36" s="208">
        <f t="shared" si="42"/>
        <v>25390.511172222221</v>
      </c>
      <c r="EE36" s="209">
        <f t="shared" si="43"/>
        <v>4.0697168397150485E-2</v>
      </c>
      <c r="EG36" s="228">
        <f t="shared" si="44"/>
        <v>0</v>
      </c>
      <c r="EH36" s="208">
        <f t="shared" si="45"/>
        <v>0</v>
      </c>
      <c r="EI36" s="209">
        <f t="shared" si="46"/>
        <v>0</v>
      </c>
      <c r="EJ36" s="209"/>
      <c r="EK36" s="228">
        <f t="shared" si="47"/>
        <v>48275000</v>
      </c>
      <c r="EL36" s="228">
        <f t="shared" si="48"/>
        <v>0</v>
      </c>
      <c r="EM36" s="228">
        <f t="shared" si="49"/>
        <v>5685.7222222222226</v>
      </c>
      <c r="EN36" s="209">
        <f t="shared" si="50"/>
        <v>4.2400000000000007E-2</v>
      </c>
      <c r="EP36" s="208"/>
    </row>
    <row r="37" spans="1:146" x14ac:dyDescent="0.25">
      <c r="A37" s="222">
        <f t="shared" si="51"/>
        <v>45957</v>
      </c>
      <c r="B37" s="208">
        <v>159775000</v>
      </c>
      <c r="C37" s="209">
        <v>4.0099320000000001E-2</v>
      </c>
      <c r="D37" s="208">
        <f t="shared" si="0"/>
        <v>17796.857925</v>
      </c>
      <c r="G37" s="208">
        <f t="shared" si="1"/>
        <v>0</v>
      </c>
      <c r="J37" s="208">
        <f t="shared" si="2"/>
        <v>0</v>
      </c>
      <c r="M37" s="208">
        <f t="shared" si="3"/>
        <v>0</v>
      </c>
      <c r="P37" s="208">
        <f t="shared" si="4"/>
        <v>0</v>
      </c>
      <c r="S37" s="208">
        <f t="shared" si="5"/>
        <v>0</v>
      </c>
      <c r="V37" s="208">
        <f t="shared" si="6"/>
        <v>0</v>
      </c>
      <c r="Y37" s="208">
        <f t="shared" si="7"/>
        <v>0</v>
      </c>
      <c r="AB37" s="208">
        <f t="shared" si="8"/>
        <v>0</v>
      </c>
      <c r="AE37" s="208">
        <v>0</v>
      </c>
      <c r="AH37" s="208">
        <v>0</v>
      </c>
      <c r="AI37" s="223">
        <f>71900000</f>
        <v>71900000</v>
      </c>
      <c r="AJ37" s="224">
        <v>4.24E-2</v>
      </c>
      <c r="AK37" s="208">
        <f t="shared" si="9"/>
        <v>8468.2222222222226</v>
      </c>
      <c r="AL37" s="223"/>
      <c r="AM37" s="224"/>
      <c r="AN37" s="208">
        <f t="shared" si="10"/>
        <v>0</v>
      </c>
      <c r="AO37" s="223"/>
      <c r="AP37" s="224"/>
      <c r="AQ37" s="208">
        <f t="shared" si="11"/>
        <v>0</v>
      </c>
      <c r="AR37" s="223"/>
      <c r="AS37" s="224"/>
      <c r="AT37" s="208">
        <f t="shared" si="12"/>
        <v>0</v>
      </c>
      <c r="AW37" s="208">
        <f t="shared" si="13"/>
        <v>0</v>
      </c>
      <c r="AZ37" s="208">
        <f t="shared" si="14"/>
        <v>0</v>
      </c>
      <c r="BC37" s="208">
        <f t="shared" si="15"/>
        <v>0</v>
      </c>
      <c r="BF37" s="208">
        <f t="shared" si="16"/>
        <v>0</v>
      </c>
      <c r="BI37" s="208">
        <f t="shared" si="17"/>
        <v>0</v>
      </c>
      <c r="BL37" s="208">
        <f t="shared" si="18"/>
        <v>0</v>
      </c>
      <c r="BO37" s="208">
        <f t="shared" si="19"/>
        <v>0</v>
      </c>
      <c r="BR37" s="208">
        <f t="shared" si="20"/>
        <v>0</v>
      </c>
      <c r="BU37" s="208">
        <f t="shared" si="21"/>
        <v>0</v>
      </c>
      <c r="BX37" s="208">
        <f t="shared" si="22"/>
        <v>0</v>
      </c>
      <c r="CA37" s="208">
        <f t="shared" si="23"/>
        <v>0</v>
      </c>
      <c r="CD37" s="208">
        <f t="shared" si="24"/>
        <v>0</v>
      </c>
      <c r="CG37" s="208">
        <f t="shared" si="25"/>
        <v>0</v>
      </c>
      <c r="CJ37" s="208">
        <f t="shared" si="26"/>
        <v>0</v>
      </c>
      <c r="CM37" s="208">
        <f t="shared" si="27"/>
        <v>0</v>
      </c>
      <c r="CP37" s="208">
        <f t="shared" si="28"/>
        <v>0</v>
      </c>
      <c r="CS37" s="208">
        <f t="shared" si="29"/>
        <v>0</v>
      </c>
      <c r="CV37" s="208">
        <f t="shared" si="30"/>
        <v>0</v>
      </c>
      <c r="CY37" s="208">
        <f t="shared" si="31"/>
        <v>0</v>
      </c>
      <c r="DB37" s="208">
        <f t="shared" si="32"/>
        <v>0</v>
      </c>
      <c r="DE37" s="208">
        <f t="shared" si="33"/>
        <v>0</v>
      </c>
      <c r="DH37" s="208">
        <f t="shared" si="34"/>
        <v>0</v>
      </c>
      <c r="DK37" s="208">
        <f t="shared" si="35"/>
        <v>0</v>
      </c>
      <c r="DN37" s="208">
        <f t="shared" si="36"/>
        <v>0</v>
      </c>
      <c r="DQ37" s="208">
        <f t="shared" si="37"/>
        <v>0</v>
      </c>
      <c r="DT37" s="208">
        <f t="shared" si="38"/>
        <v>0</v>
      </c>
      <c r="DW37" s="208">
        <f t="shared" si="39"/>
        <v>0</v>
      </c>
      <c r="DZ37" s="208"/>
      <c r="EA37" s="208"/>
      <c r="EB37" s="228">
        <f t="shared" si="40"/>
        <v>231675000</v>
      </c>
      <c r="EC37" s="228">
        <f t="shared" si="41"/>
        <v>159775000</v>
      </c>
      <c r="ED37" s="208">
        <f t="shared" si="42"/>
        <v>26265.080147222223</v>
      </c>
      <c r="EE37" s="209">
        <f t="shared" si="43"/>
        <v>4.0813332698823784E-2</v>
      </c>
      <c r="EG37" s="228">
        <f t="shared" si="44"/>
        <v>0</v>
      </c>
      <c r="EH37" s="208">
        <f t="shared" si="45"/>
        <v>0</v>
      </c>
      <c r="EI37" s="209">
        <f t="shared" si="46"/>
        <v>0</v>
      </c>
      <c r="EJ37" s="209"/>
      <c r="EK37" s="228">
        <f t="shared" si="47"/>
        <v>71900000</v>
      </c>
      <c r="EL37" s="228">
        <f t="shared" si="48"/>
        <v>0</v>
      </c>
      <c r="EM37" s="228">
        <f t="shared" si="49"/>
        <v>8468.2222222222226</v>
      </c>
      <c r="EN37" s="209">
        <f t="shared" si="50"/>
        <v>4.24E-2</v>
      </c>
      <c r="EP37" s="208"/>
    </row>
    <row r="38" spans="1:146" x14ac:dyDescent="0.25">
      <c r="A38" s="222">
        <f t="shared" si="51"/>
        <v>45958</v>
      </c>
      <c r="B38" s="208">
        <v>170775000</v>
      </c>
      <c r="C38" s="209">
        <v>3.9909859999999998E-2</v>
      </c>
      <c r="D38" s="208">
        <f t="shared" si="0"/>
        <v>18932.239837500001</v>
      </c>
      <c r="G38" s="208">
        <f t="shared" si="1"/>
        <v>0</v>
      </c>
      <c r="J38" s="208">
        <f t="shared" si="2"/>
        <v>0</v>
      </c>
      <c r="M38" s="208">
        <f t="shared" si="3"/>
        <v>0</v>
      </c>
      <c r="P38" s="208">
        <f t="shared" si="4"/>
        <v>0</v>
      </c>
      <c r="S38" s="208">
        <f t="shared" si="5"/>
        <v>0</v>
      </c>
      <c r="V38" s="208">
        <f t="shared" si="6"/>
        <v>0</v>
      </c>
      <c r="Y38" s="208">
        <f t="shared" si="7"/>
        <v>0</v>
      </c>
      <c r="AB38" s="208">
        <f t="shared" si="8"/>
        <v>0</v>
      </c>
      <c r="AE38" s="208">
        <v>0</v>
      </c>
      <c r="AH38" s="208">
        <v>0</v>
      </c>
      <c r="AI38" s="223">
        <f>55900000</f>
        <v>55900000</v>
      </c>
      <c r="AJ38" s="224">
        <v>4.24E-2</v>
      </c>
      <c r="AK38" s="208">
        <f t="shared" si="9"/>
        <v>6583.7777777777774</v>
      </c>
      <c r="AL38" s="223"/>
      <c r="AM38" s="224"/>
      <c r="AN38" s="208">
        <f t="shared" si="10"/>
        <v>0</v>
      </c>
      <c r="AO38" s="223"/>
      <c r="AP38" s="224"/>
      <c r="AQ38" s="208">
        <f t="shared" si="11"/>
        <v>0</v>
      </c>
      <c r="AR38" s="223"/>
      <c r="AS38" s="224"/>
      <c r="AT38" s="208">
        <f t="shared" si="12"/>
        <v>0</v>
      </c>
      <c r="AW38" s="208">
        <f t="shared" si="13"/>
        <v>0</v>
      </c>
      <c r="AZ38" s="208">
        <f t="shared" si="14"/>
        <v>0</v>
      </c>
      <c r="BC38" s="208">
        <f t="shared" si="15"/>
        <v>0</v>
      </c>
      <c r="BF38" s="208">
        <f t="shared" si="16"/>
        <v>0</v>
      </c>
      <c r="BI38" s="208">
        <f t="shared" si="17"/>
        <v>0</v>
      </c>
      <c r="BL38" s="208">
        <f t="shared" si="18"/>
        <v>0</v>
      </c>
      <c r="BO38" s="208">
        <f t="shared" si="19"/>
        <v>0</v>
      </c>
      <c r="BR38" s="208">
        <f t="shared" si="20"/>
        <v>0</v>
      </c>
      <c r="BU38" s="208">
        <f t="shared" si="21"/>
        <v>0</v>
      </c>
      <c r="BX38" s="208">
        <f t="shared" si="22"/>
        <v>0</v>
      </c>
      <c r="CA38" s="208">
        <f t="shared" si="23"/>
        <v>0</v>
      </c>
      <c r="CD38" s="208">
        <f t="shared" si="24"/>
        <v>0</v>
      </c>
      <c r="CG38" s="208">
        <f t="shared" si="25"/>
        <v>0</v>
      </c>
      <c r="CJ38" s="208">
        <f t="shared" si="26"/>
        <v>0</v>
      </c>
      <c r="CM38" s="208">
        <f t="shared" si="27"/>
        <v>0</v>
      </c>
      <c r="CP38" s="208">
        <f t="shared" si="28"/>
        <v>0</v>
      </c>
      <c r="CS38" s="208">
        <f t="shared" si="29"/>
        <v>0</v>
      </c>
      <c r="CV38" s="208">
        <f t="shared" si="30"/>
        <v>0</v>
      </c>
      <c r="CY38" s="208">
        <f t="shared" si="31"/>
        <v>0</v>
      </c>
      <c r="DB38" s="208">
        <f t="shared" si="32"/>
        <v>0</v>
      </c>
      <c r="DE38" s="208">
        <f t="shared" si="33"/>
        <v>0</v>
      </c>
      <c r="DH38" s="208">
        <f t="shared" si="34"/>
        <v>0</v>
      </c>
      <c r="DK38" s="208">
        <f t="shared" si="35"/>
        <v>0</v>
      </c>
      <c r="DN38" s="208">
        <f t="shared" si="36"/>
        <v>0</v>
      </c>
      <c r="DQ38" s="208">
        <f t="shared" si="37"/>
        <v>0</v>
      </c>
      <c r="DT38" s="208">
        <f t="shared" si="38"/>
        <v>0</v>
      </c>
      <c r="DW38" s="208">
        <f t="shared" si="39"/>
        <v>0</v>
      </c>
      <c r="DZ38" s="208"/>
      <c r="EA38" s="208"/>
      <c r="EB38" s="228">
        <f t="shared" si="40"/>
        <v>226675000</v>
      </c>
      <c r="EC38" s="228">
        <f t="shared" si="41"/>
        <v>170775000</v>
      </c>
      <c r="ED38" s="208">
        <f t="shared" si="42"/>
        <v>25516.017615277779</v>
      </c>
      <c r="EE38" s="209">
        <f t="shared" si="43"/>
        <v>4.0523949890812837E-2</v>
      </c>
      <c r="EG38" s="228">
        <f t="shared" si="44"/>
        <v>0</v>
      </c>
      <c r="EH38" s="208">
        <f t="shared" si="45"/>
        <v>0</v>
      </c>
      <c r="EI38" s="209">
        <f t="shared" si="46"/>
        <v>0</v>
      </c>
      <c r="EJ38" s="209"/>
      <c r="EK38" s="228">
        <f t="shared" si="47"/>
        <v>55900000</v>
      </c>
      <c r="EL38" s="228">
        <f t="shared" si="48"/>
        <v>0</v>
      </c>
      <c r="EM38" s="228">
        <f t="shared" si="49"/>
        <v>6583.7777777777774</v>
      </c>
      <c r="EN38" s="209">
        <f t="shared" si="50"/>
        <v>4.2399999999999993E-2</v>
      </c>
      <c r="EP38" s="208"/>
    </row>
    <row r="39" spans="1:146" x14ac:dyDescent="0.25">
      <c r="A39" s="222">
        <f t="shared" si="51"/>
        <v>45959</v>
      </c>
      <c r="B39" s="208">
        <v>148700000</v>
      </c>
      <c r="C39" s="209">
        <v>3.9964079999999999E-2</v>
      </c>
      <c r="D39" s="208">
        <f t="shared" si="0"/>
        <v>16507.385266666664</v>
      </c>
      <c r="G39" s="208">
        <f t="shared" si="1"/>
        <v>0</v>
      </c>
      <c r="J39" s="208">
        <f t="shared" si="2"/>
        <v>0</v>
      </c>
      <c r="M39" s="208">
        <f t="shared" si="3"/>
        <v>0</v>
      </c>
      <c r="P39" s="208">
        <f t="shared" si="4"/>
        <v>0</v>
      </c>
      <c r="S39" s="208">
        <f t="shared" si="5"/>
        <v>0</v>
      </c>
      <c r="V39" s="208">
        <f t="shared" si="6"/>
        <v>0</v>
      </c>
      <c r="Y39" s="208">
        <f t="shared" si="7"/>
        <v>0</v>
      </c>
      <c r="AB39" s="208">
        <f t="shared" si="8"/>
        <v>0</v>
      </c>
      <c r="AE39" s="208">
        <v>0</v>
      </c>
      <c r="AH39" s="208">
        <v>0</v>
      </c>
      <c r="AI39" s="223">
        <f>135375000</f>
        <v>135375000</v>
      </c>
      <c r="AJ39" s="224">
        <v>4.24E-2</v>
      </c>
      <c r="AK39" s="208">
        <f t="shared" si="9"/>
        <v>15944.166666666666</v>
      </c>
      <c r="AL39" s="223"/>
      <c r="AM39" s="224"/>
      <c r="AN39" s="208">
        <f t="shared" si="10"/>
        <v>0</v>
      </c>
      <c r="AO39" s="223"/>
      <c r="AP39" s="224"/>
      <c r="AQ39" s="208">
        <f t="shared" si="11"/>
        <v>0</v>
      </c>
      <c r="AR39" s="223"/>
      <c r="AS39" s="224"/>
      <c r="AT39" s="208">
        <f t="shared" si="12"/>
        <v>0</v>
      </c>
      <c r="AW39" s="208">
        <f t="shared" si="13"/>
        <v>0</v>
      </c>
      <c r="AZ39" s="208">
        <f t="shared" si="14"/>
        <v>0</v>
      </c>
      <c r="BC39" s="208">
        <f t="shared" si="15"/>
        <v>0</v>
      </c>
      <c r="BF39" s="208">
        <f t="shared" si="16"/>
        <v>0</v>
      </c>
      <c r="BI39" s="208">
        <f t="shared" si="17"/>
        <v>0</v>
      </c>
      <c r="BL39" s="208">
        <f t="shared" si="18"/>
        <v>0</v>
      </c>
      <c r="BO39" s="208">
        <f t="shared" si="19"/>
        <v>0</v>
      </c>
      <c r="BR39" s="208">
        <f t="shared" si="20"/>
        <v>0</v>
      </c>
      <c r="BU39" s="208">
        <f t="shared" si="21"/>
        <v>0</v>
      </c>
      <c r="BX39" s="208">
        <f t="shared" si="22"/>
        <v>0</v>
      </c>
      <c r="CA39" s="208">
        <f t="shared" si="23"/>
        <v>0</v>
      </c>
      <c r="CD39" s="208">
        <f t="shared" si="24"/>
        <v>0</v>
      </c>
      <c r="CG39" s="208">
        <f t="shared" si="25"/>
        <v>0</v>
      </c>
      <c r="CJ39" s="208">
        <f t="shared" si="26"/>
        <v>0</v>
      </c>
      <c r="CM39" s="208">
        <f t="shared" si="27"/>
        <v>0</v>
      </c>
      <c r="CP39" s="208">
        <f t="shared" si="28"/>
        <v>0</v>
      </c>
      <c r="CS39" s="208">
        <f t="shared" si="29"/>
        <v>0</v>
      </c>
      <c r="CV39" s="208">
        <f t="shared" si="30"/>
        <v>0</v>
      </c>
      <c r="CY39" s="208">
        <f t="shared" si="31"/>
        <v>0</v>
      </c>
      <c r="DB39" s="208">
        <f t="shared" si="32"/>
        <v>0</v>
      </c>
      <c r="DE39" s="208">
        <f t="shared" si="33"/>
        <v>0</v>
      </c>
      <c r="DH39" s="208">
        <f t="shared" si="34"/>
        <v>0</v>
      </c>
      <c r="DK39" s="208">
        <f t="shared" si="35"/>
        <v>0</v>
      </c>
      <c r="DN39" s="208">
        <f t="shared" si="36"/>
        <v>0</v>
      </c>
      <c r="DQ39" s="208">
        <f t="shared" si="37"/>
        <v>0</v>
      </c>
      <c r="DT39" s="208">
        <f t="shared" si="38"/>
        <v>0</v>
      </c>
      <c r="DW39" s="208">
        <f t="shared" si="39"/>
        <v>0</v>
      </c>
      <c r="DZ39" s="208"/>
      <c r="EA39" s="208"/>
      <c r="EB39" s="228">
        <f t="shared" si="40"/>
        <v>284075000</v>
      </c>
      <c r="EC39" s="228">
        <f t="shared" si="41"/>
        <v>148700000</v>
      </c>
      <c r="ED39" s="208">
        <f t="shared" si="42"/>
        <v>32451.551933333329</v>
      </c>
      <c r="EE39" s="209">
        <f t="shared" si="43"/>
        <v>4.1124909604857866E-2</v>
      </c>
      <c r="EG39" s="228">
        <f t="shared" si="44"/>
        <v>0</v>
      </c>
      <c r="EH39" s="208">
        <f t="shared" si="45"/>
        <v>0</v>
      </c>
      <c r="EI39" s="209">
        <f t="shared" si="46"/>
        <v>0</v>
      </c>
      <c r="EJ39" s="209"/>
      <c r="EK39" s="228">
        <f t="shared" si="47"/>
        <v>135375000</v>
      </c>
      <c r="EL39" s="228">
        <f t="shared" si="48"/>
        <v>0</v>
      </c>
      <c r="EM39" s="228">
        <f t="shared" si="49"/>
        <v>15944.166666666666</v>
      </c>
      <c r="EN39" s="209">
        <f t="shared" si="50"/>
        <v>4.24E-2</v>
      </c>
      <c r="EP39" s="208"/>
    </row>
    <row r="40" spans="1:146" x14ac:dyDescent="0.25">
      <c r="A40" s="222">
        <f t="shared" si="51"/>
        <v>45960</v>
      </c>
      <c r="B40" s="208">
        <v>152000000</v>
      </c>
      <c r="C40" s="209">
        <v>3.9272309999999998E-2</v>
      </c>
      <c r="D40" s="208">
        <f t="shared" si="0"/>
        <v>16581.642</v>
      </c>
      <c r="G40" s="208">
        <f t="shared" si="1"/>
        <v>0</v>
      </c>
      <c r="J40" s="208">
        <f t="shared" si="2"/>
        <v>0</v>
      </c>
      <c r="M40" s="208">
        <f t="shared" si="3"/>
        <v>0</v>
      </c>
      <c r="P40" s="208">
        <f t="shared" si="4"/>
        <v>0</v>
      </c>
      <c r="S40" s="208">
        <f t="shared" si="5"/>
        <v>0</v>
      </c>
      <c r="V40" s="208">
        <f t="shared" si="6"/>
        <v>0</v>
      </c>
      <c r="Y40" s="208">
        <f t="shared" si="7"/>
        <v>0</v>
      </c>
      <c r="AB40" s="208">
        <f t="shared" si="8"/>
        <v>0</v>
      </c>
      <c r="AE40" s="208">
        <v>0</v>
      </c>
      <c r="AH40" s="208">
        <v>0</v>
      </c>
      <c r="AI40" s="223">
        <f>143350000</f>
        <v>143350000</v>
      </c>
      <c r="AJ40" s="224">
        <v>4.0500000000000001E-2</v>
      </c>
      <c r="AK40" s="208">
        <f t="shared" si="9"/>
        <v>16126.875</v>
      </c>
      <c r="AL40" s="223"/>
      <c r="AM40" s="224"/>
      <c r="AN40" s="208">
        <f t="shared" si="10"/>
        <v>0</v>
      </c>
      <c r="AO40" s="223"/>
      <c r="AP40" s="224"/>
      <c r="AQ40" s="208">
        <f t="shared" si="11"/>
        <v>0</v>
      </c>
      <c r="AR40" s="223"/>
      <c r="AS40" s="224"/>
      <c r="AT40" s="208">
        <f t="shared" si="12"/>
        <v>0</v>
      </c>
      <c r="AW40" s="208">
        <f t="shared" si="13"/>
        <v>0</v>
      </c>
      <c r="AZ40" s="208">
        <f t="shared" si="14"/>
        <v>0</v>
      </c>
      <c r="BC40" s="208">
        <f t="shared" si="15"/>
        <v>0</v>
      </c>
      <c r="BF40" s="208">
        <f t="shared" si="16"/>
        <v>0</v>
      </c>
      <c r="BI40" s="208">
        <f t="shared" si="17"/>
        <v>0</v>
      </c>
      <c r="BL40" s="208">
        <f t="shared" si="18"/>
        <v>0</v>
      </c>
      <c r="BO40" s="208">
        <f t="shared" si="19"/>
        <v>0</v>
      </c>
      <c r="BR40" s="208">
        <f t="shared" si="20"/>
        <v>0</v>
      </c>
      <c r="BU40" s="208">
        <f t="shared" si="21"/>
        <v>0</v>
      </c>
      <c r="BX40" s="208">
        <f t="shared" si="22"/>
        <v>0</v>
      </c>
      <c r="CA40" s="208">
        <f t="shared" si="23"/>
        <v>0</v>
      </c>
      <c r="CD40" s="208">
        <f t="shared" si="24"/>
        <v>0</v>
      </c>
      <c r="CG40" s="208">
        <f t="shared" si="25"/>
        <v>0</v>
      </c>
      <c r="CJ40" s="208">
        <f t="shared" si="26"/>
        <v>0</v>
      </c>
      <c r="CM40" s="208">
        <f t="shared" si="27"/>
        <v>0</v>
      </c>
      <c r="CP40" s="208">
        <f t="shared" si="28"/>
        <v>0</v>
      </c>
      <c r="CS40" s="208">
        <f t="shared" si="29"/>
        <v>0</v>
      </c>
      <c r="CV40" s="208">
        <f t="shared" si="30"/>
        <v>0</v>
      </c>
      <c r="CY40" s="208">
        <f t="shared" si="31"/>
        <v>0</v>
      </c>
      <c r="DB40" s="208">
        <f t="shared" si="32"/>
        <v>0</v>
      </c>
      <c r="DE40" s="208">
        <f t="shared" si="33"/>
        <v>0</v>
      </c>
      <c r="DH40" s="208">
        <f t="shared" si="34"/>
        <v>0</v>
      </c>
      <c r="DK40" s="208">
        <f t="shared" si="35"/>
        <v>0</v>
      </c>
      <c r="DN40" s="208">
        <f t="shared" si="36"/>
        <v>0</v>
      </c>
      <c r="DQ40" s="208">
        <f t="shared" si="37"/>
        <v>0</v>
      </c>
      <c r="DT40" s="208">
        <f t="shared" si="38"/>
        <v>0</v>
      </c>
      <c r="DW40" s="208">
        <f t="shared" si="39"/>
        <v>0</v>
      </c>
      <c r="DZ40" s="208"/>
      <c r="EA40" s="208"/>
      <c r="EB40" s="228">
        <f t="shared" si="40"/>
        <v>295350000</v>
      </c>
      <c r="EC40" s="228">
        <f t="shared" si="41"/>
        <v>152000000</v>
      </c>
      <c r="ED40" s="208">
        <f t="shared" si="42"/>
        <v>32708.517</v>
      </c>
      <c r="EE40" s="209">
        <f t="shared" si="43"/>
        <v>3.986817714575927E-2</v>
      </c>
      <c r="EG40" s="228">
        <f t="shared" si="44"/>
        <v>0</v>
      </c>
      <c r="EH40" s="208">
        <f t="shared" si="45"/>
        <v>0</v>
      </c>
      <c r="EI40" s="209">
        <f t="shared" si="46"/>
        <v>0</v>
      </c>
      <c r="EJ40" s="209"/>
      <c r="EK40" s="228">
        <f t="shared" si="47"/>
        <v>143350000</v>
      </c>
      <c r="EL40" s="228">
        <f t="shared" si="48"/>
        <v>0</v>
      </c>
      <c r="EM40" s="228">
        <f t="shared" si="49"/>
        <v>16126.875</v>
      </c>
      <c r="EN40" s="209">
        <f t="shared" si="50"/>
        <v>4.0500000000000001E-2</v>
      </c>
      <c r="EP40" s="208"/>
    </row>
    <row r="41" spans="1:146" x14ac:dyDescent="0.25">
      <c r="A41" s="222">
        <f t="shared" si="51"/>
        <v>45961</v>
      </c>
      <c r="B41" s="208">
        <v>146150000</v>
      </c>
      <c r="C41" s="209">
        <v>3.9290180000000001E-2</v>
      </c>
      <c r="D41" s="249">
        <f t="shared" si="0"/>
        <v>15950.721686111112</v>
      </c>
      <c r="G41" s="249">
        <f t="shared" si="1"/>
        <v>0</v>
      </c>
      <c r="J41" s="225">
        <f t="shared" si="2"/>
        <v>0</v>
      </c>
      <c r="M41" s="225">
        <f t="shared" si="3"/>
        <v>0</v>
      </c>
      <c r="P41" s="225">
        <f t="shared" si="4"/>
        <v>0</v>
      </c>
      <c r="S41" s="225">
        <f t="shared" si="5"/>
        <v>0</v>
      </c>
      <c r="V41" s="225">
        <f t="shared" si="6"/>
        <v>0</v>
      </c>
      <c r="Y41" s="225">
        <f t="shared" si="7"/>
        <v>0</v>
      </c>
      <c r="AB41" s="225">
        <f t="shared" si="8"/>
        <v>0</v>
      </c>
      <c r="AE41" s="225">
        <v>0</v>
      </c>
      <c r="AH41" s="225">
        <v>0</v>
      </c>
      <c r="AI41" s="208">
        <f>162100000+1125000</f>
        <v>163225000</v>
      </c>
      <c r="AJ41" s="209">
        <v>4.0500000000000001E-2</v>
      </c>
      <c r="AK41" s="249">
        <f t="shared" si="9"/>
        <v>18362.8125</v>
      </c>
      <c r="AN41" s="249">
        <f t="shared" si="10"/>
        <v>0</v>
      </c>
      <c r="AQ41" s="249">
        <f t="shared" si="11"/>
        <v>0</v>
      </c>
      <c r="AT41" s="249">
        <f t="shared" si="12"/>
        <v>0</v>
      </c>
      <c r="AW41" s="249">
        <f t="shared" si="13"/>
        <v>0</v>
      </c>
      <c r="AZ41" s="249">
        <f t="shared" si="14"/>
        <v>0</v>
      </c>
      <c r="BC41" s="249">
        <f t="shared" si="15"/>
        <v>0</v>
      </c>
      <c r="BF41" s="249">
        <f t="shared" si="16"/>
        <v>0</v>
      </c>
      <c r="BI41" s="249">
        <f t="shared" si="17"/>
        <v>0</v>
      </c>
      <c r="BL41" s="249">
        <f t="shared" si="18"/>
        <v>0</v>
      </c>
      <c r="BO41" s="225">
        <f t="shared" si="19"/>
        <v>0</v>
      </c>
      <c r="BR41" s="225">
        <f t="shared" si="20"/>
        <v>0</v>
      </c>
      <c r="BU41" s="225">
        <f t="shared" si="21"/>
        <v>0</v>
      </c>
      <c r="BX41" s="225">
        <f t="shared" si="22"/>
        <v>0</v>
      </c>
      <c r="CA41" s="225">
        <f t="shared" si="23"/>
        <v>0</v>
      </c>
      <c r="CD41" s="225">
        <f t="shared" si="24"/>
        <v>0</v>
      </c>
      <c r="CG41" s="225">
        <f t="shared" si="25"/>
        <v>0</v>
      </c>
      <c r="CJ41" s="225">
        <f t="shared" si="26"/>
        <v>0</v>
      </c>
      <c r="CM41" s="225">
        <f t="shared" si="27"/>
        <v>0</v>
      </c>
      <c r="CP41" s="225">
        <f t="shared" si="28"/>
        <v>0</v>
      </c>
      <c r="CS41" s="225">
        <f t="shared" si="29"/>
        <v>0</v>
      </c>
      <c r="CV41" s="225">
        <f t="shared" si="30"/>
        <v>0</v>
      </c>
      <c r="CY41" s="225">
        <f t="shared" si="31"/>
        <v>0</v>
      </c>
      <c r="DB41" s="225">
        <f t="shared" si="32"/>
        <v>0</v>
      </c>
      <c r="DE41" s="225">
        <f t="shared" si="33"/>
        <v>0</v>
      </c>
      <c r="DH41" s="225">
        <f t="shared" si="34"/>
        <v>0</v>
      </c>
      <c r="DK41" s="225">
        <f t="shared" si="35"/>
        <v>0</v>
      </c>
      <c r="DN41" s="225">
        <f t="shared" si="36"/>
        <v>0</v>
      </c>
      <c r="DQ41" s="225">
        <f t="shared" si="37"/>
        <v>0</v>
      </c>
      <c r="DT41" s="225">
        <f t="shared" si="38"/>
        <v>0</v>
      </c>
      <c r="DW41" s="225">
        <f t="shared" si="39"/>
        <v>0</v>
      </c>
      <c r="DZ41" s="208"/>
      <c r="EA41" s="208"/>
      <c r="EB41" s="208">
        <f t="shared" si="40"/>
        <v>309375000</v>
      </c>
      <c r="EC41" s="208">
        <f t="shared" si="41"/>
        <v>146150000</v>
      </c>
      <c r="ED41" s="249">
        <f t="shared" si="42"/>
        <v>34313.534186111108</v>
      </c>
      <c r="EE41" s="209">
        <f t="shared" si="43"/>
        <v>3.9928476143838383E-2</v>
      </c>
      <c r="EG41" s="208">
        <f t="shared" si="44"/>
        <v>0</v>
      </c>
      <c r="EH41" s="225">
        <f t="shared" si="45"/>
        <v>0</v>
      </c>
      <c r="EI41" s="209">
        <f t="shared" si="46"/>
        <v>0</v>
      </c>
      <c r="EJ41" s="209"/>
      <c r="EK41" s="208">
        <f t="shared" si="47"/>
        <v>163225000</v>
      </c>
      <c r="EL41" s="208">
        <f t="shared" si="48"/>
        <v>0</v>
      </c>
      <c r="EM41" s="249">
        <f t="shared" si="49"/>
        <v>18362.8125</v>
      </c>
      <c r="EN41" s="209">
        <f t="shared" si="50"/>
        <v>4.0500000000000001E-2</v>
      </c>
    </row>
    <row r="42" spans="1:146" x14ac:dyDescent="0.25">
      <c r="A42" s="166" t="s">
        <v>35</v>
      </c>
      <c r="C42" s="208"/>
      <c r="D42" s="208">
        <f>SUM(D11:D41)</f>
        <v>435100.29461527785</v>
      </c>
      <c r="F42" s="208"/>
      <c r="G42" s="208">
        <f>SUM(G11:G41)</f>
        <v>0</v>
      </c>
      <c r="I42" s="208"/>
      <c r="J42" s="208">
        <f>SUM(J11:J41)</f>
        <v>0</v>
      </c>
      <c r="L42" s="208"/>
      <c r="M42" s="208">
        <f>SUM(M11:M41)</f>
        <v>0</v>
      </c>
      <c r="O42" s="208"/>
      <c r="P42" s="208">
        <f>SUM(P11:P41)</f>
        <v>0</v>
      </c>
      <c r="R42" s="208"/>
      <c r="S42" s="208">
        <f>SUM(S11:S41)</f>
        <v>0</v>
      </c>
      <c r="U42" s="208"/>
      <c r="V42" s="208">
        <f>SUM(V11:V41)</f>
        <v>0</v>
      </c>
      <c r="X42" s="208"/>
      <c r="Y42" s="208">
        <f>SUM(Y11:Y41)</f>
        <v>0</v>
      </c>
      <c r="AA42" s="208"/>
      <c r="AB42" s="208">
        <f>SUM(AB11:AB41)</f>
        <v>0</v>
      </c>
      <c r="AD42" s="208"/>
      <c r="AE42" s="208">
        <f>SUM(AE11:AE41)</f>
        <v>0</v>
      </c>
      <c r="AG42" s="208"/>
      <c r="AH42" s="208">
        <f>SUM(AH11:AH41)</f>
        <v>0</v>
      </c>
      <c r="AJ42" s="208"/>
      <c r="AK42" s="208">
        <f>SUM(AK11:AK41)</f>
        <v>483246.04166666669</v>
      </c>
      <c r="AM42" s="208"/>
      <c r="AN42" s="208">
        <f>SUM(AN11:AN41)</f>
        <v>66422.222222222219</v>
      </c>
      <c r="AP42" s="208"/>
      <c r="AQ42" s="208">
        <f>SUM(AQ11:AQ41)</f>
        <v>0</v>
      </c>
      <c r="AS42" s="208"/>
      <c r="AT42" s="208">
        <f>SUM(AT11:AT41)</f>
        <v>0</v>
      </c>
      <c r="AV42" s="208"/>
      <c r="AW42" s="208">
        <f>SUM(AW11:AW41)</f>
        <v>0</v>
      </c>
      <c r="AY42" s="208"/>
      <c r="AZ42" s="208">
        <f>SUM(AZ11:AZ41)</f>
        <v>0</v>
      </c>
      <c r="BB42" s="208"/>
      <c r="BC42" s="208">
        <f>SUM(BC11:BC41)</f>
        <v>0</v>
      </c>
      <c r="BE42" s="208"/>
      <c r="BF42" s="208">
        <f>SUM(BF11:BF41)</f>
        <v>0</v>
      </c>
      <c r="BH42" s="208"/>
      <c r="BI42" s="208">
        <f>SUM(BI11:BI41)</f>
        <v>0</v>
      </c>
      <c r="BK42" s="208"/>
      <c r="BL42" s="208">
        <f>SUM(BL11:BL41)</f>
        <v>0</v>
      </c>
      <c r="BN42" s="208"/>
      <c r="BO42" s="208">
        <f>SUM(BO11:BO41)</f>
        <v>0</v>
      </c>
      <c r="BQ42" s="208"/>
      <c r="BR42" s="208">
        <f>SUM(BR11:BR41)</f>
        <v>0</v>
      </c>
      <c r="BT42" s="208"/>
      <c r="BU42" s="208">
        <f>SUM(BU11:BU41)</f>
        <v>0</v>
      </c>
      <c r="BW42" s="208"/>
      <c r="BX42" s="208">
        <f>SUM(BX11:BX41)</f>
        <v>0</v>
      </c>
      <c r="BZ42" s="208"/>
      <c r="CA42" s="208">
        <f>SUM(CA11:CA41)</f>
        <v>0</v>
      </c>
      <c r="CC42" s="208"/>
      <c r="CD42" s="208">
        <f>SUM(CD11:CD41)</f>
        <v>0</v>
      </c>
      <c r="CF42" s="208"/>
      <c r="CG42" s="208">
        <f>SUM(CG11:CG41)</f>
        <v>0</v>
      </c>
      <c r="CI42" s="208"/>
      <c r="CJ42" s="208">
        <f>SUM(CJ11:CJ41)</f>
        <v>0</v>
      </c>
      <c r="CL42" s="208"/>
      <c r="CM42" s="208">
        <f>SUM(CM11:CM41)</f>
        <v>0</v>
      </c>
      <c r="CO42" s="208"/>
      <c r="CP42" s="208">
        <f>SUM(CP11:CP41)</f>
        <v>0</v>
      </c>
      <c r="CR42" s="208"/>
      <c r="CS42" s="208">
        <f>SUM(CS11:CS41)</f>
        <v>0</v>
      </c>
      <c r="CU42" s="208"/>
      <c r="CV42" s="208">
        <f>SUM(CV11:CV41)</f>
        <v>0</v>
      </c>
      <c r="CX42" s="208"/>
      <c r="CY42" s="208">
        <f>SUM(CY11:CY41)</f>
        <v>0</v>
      </c>
      <c r="DA42" s="208"/>
      <c r="DB42" s="208">
        <f>SUM(DB11:DB41)</f>
        <v>0</v>
      </c>
      <c r="DD42" s="208"/>
      <c r="DE42" s="208">
        <f>SUM(DE11:DE41)</f>
        <v>0</v>
      </c>
      <c r="DG42" s="208"/>
      <c r="DH42" s="208">
        <f>SUM(DH11:DH41)</f>
        <v>0</v>
      </c>
      <c r="DJ42" s="208"/>
      <c r="DK42" s="208">
        <f>SUM(DK11:DK41)</f>
        <v>0</v>
      </c>
      <c r="DM42" s="208"/>
      <c r="DN42" s="208">
        <f>SUM(DN11:DN41)</f>
        <v>0</v>
      </c>
      <c r="DP42" s="208"/>
      <c r="DQ42" s="208">
        <f>SUM(DQ11:DQ41)</f>
        <v>0</v>
      </c>
      <c r="DS42" s="208"/>
      <c r="DT42" s="208">
        <f>SUM(DT11:DT41)</f>
        <v>0</v>
      </c>
      <c r="DV42" s="208"/>
      <c r="DW42" s="208">
        <f>SUM(DW11:DW41)</f>
        <v>0</v>
      </c>
      <c r="DY42" s="208"/>
      <c r="DZ42" s="208"/>
      <c r="EA42" s="208"/>
      <c r="EB42" s="208"/>
      <c r="EC42" s="208"/>
      <c r="ED42" s="208">
        <f>SUM(ED11:ED41)</f>
        <v>984768.55850416643</v>
      </c>
      <c r="EE42" s="208"/>
      <c r="EF42" s="208"/>
      <c r="EG42" s="208"/>
      <c r="EH42" s="208">
        <f>SUM(EH11:EH41)</f>
        <v>0</v>
      </c>
      <c r="EI42" s="208"/>
      <c r="EJ42" s="208"/>
      <c r="EK42" s="208"/>
      <c r="EL42" s="208"/>
      <c r="EM42" s="208">
        <f>SUM(EM11:EM41)</f>
        <v>549668.26388888899</v>
      </c>
      <c r="EN42" s="208"/>
    </row>
    <row r="43" spans="1:146" x14ac:dyDescent="0.25">
      <c r="EM43" s="226"/>
    </row>
    <row r="44" spans="1:146" x14ac:dyDescent="0.25">
      <c r="EM44" s="208"/>
    </row>
    <row r="45" spans="1:146" x14ac:dyDescent="0.25">
      <c r="EM45" s="208"/>
    </row>
    <row r="47" spans="1:146" x14ac:dyDescent="0.25">
      <c r="EM47" s="208"/>
    </row>
  </sheetData>
  <pageMargins left="0.7" right="0.7" top="0.75" bottom="0.75" header="0.3" footer="0.3"/>
  <pageSetup scale="63" orientation="portrait" r:id="rId1"/>
  <headerFooter>
    <oddFooter>&amp;CSchedule RL-1</oddFooter>
  </headerFooter>
  <colBreaks count="4" manualBreakCount="4">
    <brk id="7" max="1048575" man="1"/>
    <brk id="43" max="1048575" man="1"/>
    <brk id="52" max="41" man="1"/>
    <brk id="130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2"/>
  <dimension ref="A1:EQ47"/>
  <sheetViews>
    <sheetView zoomScaleNormal="100" workbookViewId="0">
      <selection activeCell="B1" sqref="B1"/>
    </sheetView>
  </sheetViews>
  <sheetFormatPr defaultRowHeight="15" x14ac:dyDescent="0.25"/>
  <cols>
    <col min="1" max="1" width="14.5703125" style="166" bestFit="1" customWidth="1"/>
    <col min="2" max="2" width="19.7109375" style="208" customWidth="1"/>
    <col min="3" max="3" width="15.42578125" style="209" bestFit="1" customWidth="1"/>
    <col min="4" max="4" width="15.42578125" style="166" bestFit="1" customWidth="1"/>
    <col min="5" max="5" width="15.5703125" style="208" bestFit="1" customWidth="1"/>
    <col min="6" max="6" width="12.28515625" style="209" bestFit="1" customWidth="1"/>
    <col min="7" max="7" width="18.42578125" style="166" bestFit="1" customWidth="1"/>
    <col min="8" max="8" width="15.42578125" style="208" hidden="1" customWidth="1"/>
    <col min="9" max="9" width="10.28515625" style="209" hidden="1" customWidth="1"/>
    <col min="10" max="10" width="13.42578125" style="166" hidden="1" customWidth="1"/>
    <col min="11" max="11" width="14.42578125" style="208" hidden="1" customWidth="1"/>
    <col min="12" max="12" width="10.28515625" style="209" hidden="1" customWidth="1"/>
    <col min="13" max="13" width="11.7109375" style="166" hidden="1" customWidth="1"/>
    <col min="14" max="14" width="14.42578125" style="208" hidden="1" customWidth="1"/>
    <col min="15" max="15" width="10.28515625" style="209" hidden="1" customWidth="1"/>
    <col min="16" max="16" width="11.7109375" style="166" hidden="1" customWidth="1"/>
    <col min="17" max="17" width="15.42578125" style="208" hidden="1" customWidth="1"/>
    <col min="18" max="18" width="10.28515625" style="209" hidden="1" customWidth="1"/>
    <col min="19" max="19" width="11.7109375" style="166" hidden="1" customWidth="1"/>
    <col min="20" max="20" width="15.42578125" style="208" hidden="1" customWidth="1"/>
    <col min="21" max="21" width="10.28515625" style="209" hidden="1" customWidth="1"/>
    <col min="22" max="22" width="11.7109375" style="166" hidden="1" customWidth="1"/>
    <col min="23" max="23" width="15.42578125" style="208" hidden="1" customWidth="1"/>
    <col min="24" max="24" width="10.28515625" style="209" hidden="1" customWidth="1"/>
    <col min="25" max="25" width="11.7109375" style="166" hidden="1" customWidth="1"/>
    <col min="26" max="26" width="15.42578125" style="208" hidden="1" customWidth="1"/>
    <col min="27" max="27" width="10.28515625" style="209" hidden="1" customWidth="1"/>
    <col min="28" max="28" width="11.7109375" style="166" hidden="1" customWidth="1"/>
    <col min="29" max="29" width="15.42578125" style="208" hidden="1" customWidth="1"/>
    <col min="30" max="30" width="10.28515625" style="209" hidden="1" customWidth="1"/>
    <col min="31" max="31" width="11.7109375" style="166" hidden="1" customWidth="1"/>
    <col min="32" max="32" width="14.42578125" style="208" hidden="1" customWidth="1"/>
    <col min="33" max="33" width="10.28515625" style="209" hidden="1" customWidth="1"/>
    <col min="34" max="34" width="10.7109375" style="166" hidden="1" customWidth="1"/>
    <col min="35" max="35" width="14.42578125" style="208" customWidth="1"/>
    <col min="36" max="36" width="11.7109375" style="209" customWidth="1"/>
    <col min="37" max="37" width="13.7109375" style="166" bestFit="1" customWidth="1"/>
    <col min="38" max="38" width="14.42578125" style="208" customWidth="1"/>
    <col min="39" max="39" width="13.140625" style="209" customWidth="1"/>
    <col min="40" max="40" width="13.7109375" style="166" bestFit="1" customWidth="1"/>
    <col min="41" max="41" width="15.42578125" style="208" bestFit="1" customWidth="1"/>
    <col min="42" max="42" width="12.28515625" style="209" bestFit="1" customWidth="1"/>
    <col min="43" max="43" width="12.5703125" style="166" bestFit="1" customWidth="1"/>
    <col min="44" max="44" width="15.42578125" style="208" bestFit="1" customWidth="1"/>
    <col min="45" max="45" width="10.28515625" style="209" bestFit="1" customWidth="1"/>
    <col min="46" max="46" width="11.7109375" style="166" bestFit="1" customWidth="1"/>
    <col min="47" max="47" width="14.42578125" style="208" customWidth="1"/>
    <col min="48" max="48" width="10.28515625" style="209" customWidth="1"/>
    <col min="49" max="49" width="10.7109375" style="166" customWidth="1"/>
    <col min="50" max="50" width="14.42578125" style="208" customWidth="1"/>
    <col min="51" max="51" width="10.28515625" style="209" customWidth="1"/>
    <col min="52" max="52" width="10.7109375" style="166" customWidth="1"/>
    <col min="53" max="53" width="14.42578125" style="208" customWidth="1"/>
    <col min="54" max="54" width="10.28515625" style="209" customWidth="1"/>
    <col min="55" max="55" width="10.7109375" style="166" customWidth="1"/>
    <col min="56" max="56" width="14.42578125" style="208" customWidth="1"/>
    <col min="57" max="57" width="10.28515625" style="209" customWidth="1"/>
    <col min="58" max="58" width="10.7109375" style="166" customWidth="1"/>
    <col min="59" max="59" width="14.42578125" style="208" customWidth="1"/>
    <col min="60" max="60" width="10.28515625" style="209" customWidth="1"/>
    <col min="61" max="61" width="10.7109375" style="166" customWidth="1"/>
    <col min="62" max="62" width="14.42578125" style="208" customWidth="1"/>
    <col min="63" max="63" width="10.28515625" style="209" customWidth="1"/>
    <col min="64" max="64" width="10.7109375" style="166" customWidth="1"/>
    <col min="65" max="65" width="14.42578125" style="208" hidden="1" customWidth="1"/>
    <col min="66" max="66" width="10.28515625" style="209" hidden="1" customWidth="1"/>
    <col min="67" max="67" width="10.7109375" style="166" hidden="1" customWidth="1"/>
    <col min="68" max="68" width="14.42578125" style="208" hidden="1" customWidth="1"/>
    <col min="69" max="69" width="10.28515625" style="209" hidden="1" customWidth="1"/>
    <col min="70" max="70" width="10.7109375" style="166" hidden="1" customWidth="1"/>
    <col min="71" max="71" width="14.42578125" style="208" hidden="1" customWidth="1"/>
    <col min="72" max="72" width="10.28515625" style="209" hidden="1" customWidth="1"/>
    <col min="73" max="73" width="10.7109375" style="166" hidden="1" customWidth="1"/>
    <col min="74" max="74" width="14.42578125" style="208" hidden="1" customWidth="1"/>
    <col min="75" max="75" width="10.28515625" style="209" hidden="1" customWidth="1"/>
    <col min="76" max="76" width="10.7109375" style="166" hidden="1" customWidth="1"/>
    <col min="77" max="77" width="14.42578125" style="208" hidden="1" customWidth="1"/>
    <col min="78" max="78" width="10.28515625" style="209" hidden="1" customWidth="1"/>
    <col min="79" max="79" width="10.7109375" style="166" hidden="1" customWidth="1"/>
    <col min="80" max="80" width="14.42578125" style="208" hidden="1" customWidth="1"/>
    <col min="81" max="81" width="10.28515625" style="209" hidden="1" customWidth="1"/>
    <col min="82" max="82" width="10.7109375" style="166" hidden="1" customWidth="1"/>
    <col min="83" max="83" width="14.42578125" style="208" hidden="1" customWidth="1"/>
    <col min="84" max="84" width="10.28515625" style="209" hidden="1" customWidth="1"/>
    <col min="85" max="85" width="10.7109375" style="166" hidden="1" customWidth="1"/>
    <col min="86" max="86" width="14.42578125" style="208" hidden="1" customWidth="1"/>
    <col min="87" max="87" width="10.28515625" style="209" hidden="1" customWidth="1"/>
    <col min="88" max="88" width="10.7109375" style="166" hidden="1" customWidth="1"/>
    <col min="89" max="89" width="14.42578125" style="208" hidden="1" customWidth="1"/>
    <col min="90" max="90" width="10.28515625" style="209" hidden="1" customWidth="1"/>
    <col min="91" max="91" width="10.7109375" style="166" hidden="1" customWidth="1"/>
    <col min="92" max="92" width="14.42578125" style="208" hidden="1" customWidth="1"/>
    <col min="93" max="93" width="10.28515625" style="209" hidden="1" customWidth="1"/>
    <col min="94" max="94" width="10.7109375" style="166" hidden="1" customWidth="1"/>
    <col min="95" max="95" width="14.42578125" style="208" hidden="1" customWidth="1"/>
    <col min="96" max="96" width="10.28515625" style="209" hidden="1" customWidth="1"/>
    <col min="97" max="97" width="10.7109375" style="166" hidden="1" customWidth="1"/>
    <col min="98" max="98" width="14.42578125" style="208" hidden="1" customWidth="1"/>
    <col min="99" max="99" width="10.28515625" style="209" hidden="1" customWidth="1"/>
    <col min="100" max="100" width="10.7109375" style="166" hidden="1" customWidth="1"/>
    <col min="101" max="101" width="14.42578125" style="208" hidden="1" customWidth="1"/>
    <col min="102" max="102" width="10.28515625" style="209" hidden="1" customWidth="1"/>
    <col min="103" max="103" width="10.7109375" style="166" hidden="1" customWidth="1"/>
    <col min="104" max="104" width="14.42578125" style="208" hidden="1" customWidth="1"/>
    <col min="105" max="105" width="10.28515625" style="209" hidden="1" customWidth="1"/>
    <col min="106" max="106" width="10.7109375" style="166" hidden="1" customWidth="1"/>
    <col min="107" max="107" width="14.42578125" style="208" hidden="1" customWidth="1"/>
    <col min="108" max="108" width="10.28515625" style="209" hidden="1" customWidth="1"/>
    <col min="109" max="109" width="10.7109375" style="166" hidden="1" customWidth="1"/>
    <col min="110" max="110" width="14.42578125" style="208" hidden="1" customWidth="1"/>
    <col min="111" max="111" width="10.28515625" style="209" hidden="1" customWidth="1"/>
    <col min="112" max="112" width="10.7109375" style="166" hidden="1" customWidth="1"/>
    <col min="113" max="113" width="14.42578125" style="208" hidden="1" customWidth="1"/>
    <col min="114" max="114" width="10.28515625" style="209" hidden="1" customWidth="1"/>
    <col min="115" max="115" width="10.7109375" style="166" hidden="1" customWidth="1"/>
    <col min="116" max="116" width="14.42578125" style="208" hidden="1" customWidth="1"/>
    <col min="117" max="117" width="10.28515625" style="209" hidden="1" customWidth="1"/>
    <col min="118" max="118" width="10.7109375" style="166" hidden="1" customWidth="1"/>
    <col min="119" max="119" width="14.42578125" style="208" hidden="1" customWidth="1"/>
    <col min="120" max="120" width="10.28515625" style="209" hidden="1" customWidth="1"/>
    <col min="121" max="121" width="10.7109375" style="166" hidden="1" customWidth="1"/>
    <col min="122" max="122" width="14.42578125" style="208" hidden="1" customWidth="1"/>
    <col min="123" max="123" width="10.28515625" style="209" hidden="1" customWidth="1"/>
    <col min="124" max="124" width="10.7109375" style="166" hidden="1" customWidth="1"/>
    <col min="125" max="125" width="14.42578125" style="208" hidden="1" customWidth="1"/>
    <col min="126" max="126" width="10.28515625" style="209" hidden="1" customWidth="1"/>
    <col min="127" max="127" width="10.7109375" style="166" hidden="1" customWidth="1"/>
    <col min="128" max="128" width="14.42578125" style="208" hidden="1" customWidth="1"/>
    <col min="129" max="129" width="10.28515625" style="209" hidden="1" customWidth="1"/>
    <col min="130" max="130" width="10.7109375" style="166" hidden="1" customWidth="1"/>
    <col min="131" max="131" width="2.7109375" style="166" customWidth="1"/>
    <col min="132" max="132" width="18.7109375" style="166" customWidth="1"/>
    <col min="133" max="133" width="15.42578125" style="166" hidden="1" customWidth="1"/>
    <col min="134" max="134" width="14.42578125" style="166" bestFit="1" customWidth="1"/>
    <col min="135" max="135" width="20.140625" style="166" customWidth="1"/>
    <col min="136" max="136" width="2.7109375" style="166" customWidth="1"/>
    <col min="137" max="137" width="15.42578125" style="166" hidden="1" customWidth="1"/>
    <col min="138" max="138" width="14.42578125" style="166" hidden="1" customWidth="1"/>
    <col min="139" max="139" width="12.42578125" style="166" hidden="1" customWidth="1"/>
    <col min="140" max="140" width="2.7109375" style="166" hidden="1" customWidth="1"/>
    <col min="141" max="141" width="18.5703125" style="166" customWidth="1"/>
    <col min="142" max="142" width="15.42578125" style="166" hidden="1" customWidth="1"/>
    <col min="143" max="143" width="14.42578125" style="166" bestFit="1" customWidth="1"/>
    <col min="144" max="144" width="18.42578125" style="166" bestFit="1" customWidth="1"/>
    <col min="145" max="145" width="42.85546875" style="166" bestFit="1" customWidth="1"/>
    <col min="146" max="146" width="19.42578125" style="166" bestFit="1" customWidth="1"/>
    <col min="147" max="147" width="23.140625" style="166" bestFit="1" customWidth="1"/>
    <col min="148" max="16384" width="9.140625" style="166"/>
  </cols>
  <sheetData>
    <row r="1" spans="1:147" s="175" customFormat="1" x14ac:dyDescent="0.25">
      <c r="A1" s="227" t="s">
        <v>0</v>
      </c>
      <c r="B1" s="228"/>
      <c r="C1" s="229"/>
      <c r="E1" s="228"/>
      <c r="F1" s="229"/>
      <c r="H1" s="228"/>
      <c r="I1" s="229"/>
      <c r="K1" s="228"/>
      <c r="L1" s="229"/>
      <c r="N1" s="228"/>
      <c r="O1" s="229"/>
      <c r="Q1" s="228"/>
      <c r="R1" s="229"/>
      <c r="T1" s="228"/>
      <c r="U1" s="229"/>
      <c r="W1" s="228"/>
      <c r="X1" s="229"/>
      <c r="Z1" s="228"/>
      <c r="AA1" s="229"/>
      <c r="AC1" s="228"/>
      <c r="AD1" s="229"/>
      <c r="AF1" s="228"/>
      <c r="AG1" s="229"/>
      <c r="AI1" s="228"/>
      <c r="AJ1" s="229"/>
      <c r="AL1" s="228"/>
      <c r="AM1" s="229"/>
      <c r="AO1" s="228"/>
      <c r="AP1" s="229"/>
      <c r="AR1" s="228"/>
      <c r="AS1" s="229"/>
      <c r="AU1" s="228"/>
      <c r="AV1" s="229"/>
      <c r="AX1" s="228"/>
      <c r="AY1" s="229"/>
      <c r="BA1" s="228"/>
      <c r="BB1" s="229"/>
      <c r="BD1" s="228"/>
      <c r="BE1" s="229"/>
      <c r="BG1" s="228"/>
      <c r="BH1" s="229"/>
      <c r="BJ1" s="228"/>
      <c r="BK1" s="229"/>
      <c r="BM1" s="228"/>
      <c r="BN1" s="229"/>
      <c r="BP1" s="228"/>
      <c r="BQ1" s="229"/>
      <c r="BS1" s="228"/>
      <c r="BT1" s="229"/>
      <c r="BV1" s="228"/>
      <c r="BW1" s="229"/>
      <c r="BY1" s="228"/>
      <c r="BZ1" s="229"/>
      <c r="CB1" s="228"/>
      <c r="CC1" s="229"/>
      <c r="CE1" s="228"/>
      <c r="CF1" s="229"/>
      <c r="CH1" s="228"/>
      <c r="CI1" s="229"/>
      <c r="CK1" s="228"/>
      <c r="CL1" s="229"/>
      <c r="CN1" s="228"/>
      <c r="CO1" s="229"/>
      <c r="CQ1" s="228"/>
      <c r="CR1" s="229"/>
      <c r="CT1" s="228"/>
      <c r="CU1" s="229"/>
      <c r="CW1" s="228"/>
      <c r="CX1" s="229"/>
      <c r="CZ1" s="228"/>
      <c r="DA1" s="229"/>
      <c r="DC1" s="228"/>
      <c r="DD1" s="229"/>
      <c r="DF1" s="228"/>
      <c r="DG1" s="229"/>
      <c r="DI1" s="228"/>
      <c r="DJ1" s="229"/>
      <c r="DL1" s="228"/>
      <c r="DM1" s="229"/>
      <c r="DO1" s="228"/>
      <c r="DP1" s="229"/>
      <c r="DR1" s="228"/>
      <c r="DS1" s="229"/>
      <c r="DU1" s="228"/>
      <c r="DV1" s="229"/>
      <c r="DX1" s="228"/>
      <c r="DY1" s="229"/>
      <c r="DZ1" s="230"/>
      <c r="ED1" s="169"/>
      <c r="EE1" s="231" t="s">
        <v>37</v>
      </c>
      <c r="EI1" s="169" t="s">
        <v>38</v>
      </c>
      <c r="EM1" s="169"/>
      <c r="EN1" s="169" t="s">
        <v>39</v>
      </c>
      <c r="EO1" s="227" t="s">
        <v>40</v>
      </c>
      <c r="EP1" s="227" t="s">
        <v>41</v>
      </c>
      <c r="EQ1" s="227" t="s">
        <v>42</v>
      </c>
    </row>
    <row r="2" spans="1:147" s="175" customFormat="1" ht="15.75" thickBot="1" x14ac:dyDescent="0.3">
      <c r="A2" s="227" t="s">
        <v>43</v>
      </c>
      <c r="B2" s="228"/>
      <c r="C2" s="229"/>
      <c r="E2" s="230"/>
      <c r="F2" s="229"/>
      <c r="G2" s="169"/>
      <c r="H2" s="228"/>
      <c r="I2" s="229"/>
      <c r="K2" s="228"/>
      <c r="L2" s="229"/>
      <c r="N2" s="228"/>
      <c r="O2" s="229"/>
      <c r="Q2" s="228"/>
      <c r="R2" s="229"/>
      <c r="T2" s="228"/>
      <c r="U2" s="229"/>
      <c r="W2" s="228"/>
      <c r="X2" s="229"/>
      <c r="Z2" s="228"/>
      <c r="AA2" s="229"/>
      <c r="AC2" s="228"/>
      <c r="AD2" s="229"/>
      <c r="AF2" s="228"/>
      <c r="AG2" s="229"/>
      <c r="AI2" s="228"/>
      <c r="AJ2" s="229"/>
      <c r="AL2" s="228"/>
      <c r="AM2" s="229"/>
      <c r="AO2" s="228"/>
      <c r="AP2" s="229"/>
      <c r="AR2" s="228"/>
      <c r="AS2" s="229"/>
      <c r="AU2" s="228"/>
      <c r="AV2" s="229"/>
      <c r="AX2" s="228"/>
      <c r="AY2" s="229"/>
      <c r="BA2" s="228"/>
      <c r="BB2" s="229"/>
      <c r="BD2" s="228"/>
      <c r="BE2" s="229"/>
      <c r="BG2" s="228"/>
      <c r="BH2" s="229"/>
      <c r="BJ2" s="228"/>
      <c r="BK2" s="229"/>
      <c r="BM2" s="228"/>
      <c r="BN2" s="229"/>
      <c r="BP2" s="228"/>
      <c r="BQ2" s="229"/>
      <c r="BS2" s="228"/>
      <c r="BT2" s="229"/>
      <c r="BV2" s="228"/>
      <c r="BW2" s="229"/>
      <c r="BY2" s="228"/>
      <c r="BZ2" s="229"/>
      <c r="CB2" s="228"/>
      <c r="CC2" s="229"/>
      <c r="CE2" s="228"/>
      <c r="CF2" s="229"/>
      <c r="CH2" s="228"/>
      <c r="CI2" s="229"/>
      <c r="CK2" s="228"/>
      <c r="CL2" s="229"/>
      <c r="CN2" s="228"/>
      <c r="CO2" s="229"/>
      <c r="CQ2" s="228"/>
      <c r="CR2" s="229"/>
      <c r="CT2" s="228"/>
      <c r="CU2" s="229"/>
      <c r="CW2" s="228"/>
      <c r="CX2" s="229"/>
      <c r="CZ2" s="228"/>
      <c r="DA2" s="229"/>
      <c r="DC2" s="228"/>
      <c r="DD2" s="229"/>
      <c r="DF2" s="228"/>
      <c r="DG2" s="229"/>
      <c r="DI2" s="228"/>
      <c r="DJ2" s="229"/>
      <c r="DL2" s="228"/>
      <c r="DM2" s="229"/>
      <c r="DO2" s="228"/>
      <c r="DP2" s="229"/>
      <c r="DR2" s="228"/>
      <c r="DS2" s="229"/>
      <c r="DU2" s="228"/>
      <c r="DV2" s="229"/>
      <c r="DX2" s="228"/>
      <c r="DY2" s="229"/>
      <c r="EB2" s="166" t="s">
        <v>44</v>
      </c>
      <c r="EC2" s="166"/>
      <c r="ED2" s="208"/>
      <c r="EE2" s="208">
        <f>EB40</f>
        <v>264175000</v>
      </c>
      <c r="EI2" s="208">
        <f>EG40</f>
        <v>0</v>
      </c>
      <c r="EM2" s="208"/>
      <c r="EN2" s="208">
        <f>EK40</f>
        <v>153925000</v>
      </c>
      <c r="EO2" s="232">
        <v>0</v>
      </c>
      <c r="EP2" s="228">
        <f>EN2+EO2</f>
        <v>153925000</v>
      </c>
      <c r="EQ2" s="228">
        <f>EE2+EO2</f>
        <v>264175000</v>
      </c>
    </row>
    <row r="3" spans="1:147" ht="15.75" thickTop="1" x14ac:dyDescent="0.25">
      <c r="A3" s="233" t="s">
        <v>266</v>
      </c>
      <c r="E3" s="234" t="s">
        <v>45</v>
      </c>
      <c r="F3" s="210"/>
      <c r="G3" s="211"/>
      <c r="EB3" s="166" t="s">
        <v>46</v>
      </c>
      <c r="ED3" s="208"/>
      <c r="EE3" s="208">
        <f>AVERAGE(EB11:EB40)</f>
        <v>276503333.33333331</v>
      </c>
      <c r="EI3" s="208">
        <f>AVERAGE(EG11:EG40)</f>
        <v>0</v>
      </c>
      <c r="EM3" s="208"/>
      <c r="EN3" s="208">
        <f>AVERAGE(EK11:EK40)</f>
        <v>105695833.33333333</v>
      </c>
    </row>
    <row r="4" spans="1:147" x14ac:dyDescent="0.25">
      <c r="E4" s="212" t="s">
        <v>44</v>
      </c>
      <c r="F4" s="208"/>
      <c r="G4" s="213">
        <f>EQ2</f>
        <v>264175000</v>
      </c>
      <c r="AI4" s="227" t="s">
        <v>47</v>
      </c>
      <c r="EB4" s="166" t="s">
        <v>48</v>
      </c>
      <c r="ED4" s="209"/>
      <c r="EE4" s="209">
        <f>IF(EE3=0,0,360*(AVERAGE(ED11:ED40)/EE3))</f>
        <v>3.9611179040367199E-2</v>
      </c>
      <c r="EI4" s="209">
        <f>IF(EI3=0,0,360*(AVERAGE(EH11:EH40)/EI3))</f>
        <v>0</v>
      </c>
      <c r="EM4" s="209"/>
      <c r="EN4" s="209">
        <f>IF(EN3=0,0,360*(AVERAGE(EM11:EM40)/EN3))</f>
        <v>4.0500000000000001E-2</v>
      </c>
      <c r="EO4" s="175" t="s">
        <v>239</v>
      </c>
      <c r="EQ4" s="169" t="s">
        <v>47</v>
      </c>
    </row>
    <row r="5" spans="1:147" x14ac:dyDescent="0.25">
      <c r="E5" s="212" t="s">
        <v>46</v>
      </c>
      <c r="F5" s="208"/>
      <c r="G5" s="213">
        <f>EE3</f>
        <v>276503333.33333331</v>
      </c>
      <c r="AI5" s="235" t="s">
        <v>39</v>
      </c>
      <c r="EB5" s="166" t="s">
        <v>49</v>
      </c>
      <c r="ED5" s="208"/>
      <c r="EE5" s="208">
        <f>MAX(EB11:EB40)</f>
        <v>318125000</v>
      </c>
      <c r="EI5" s="208">
        <f>MAX(EG11:EG40)</f>
        <v>0</v>
      </c>
      <c r="EM5" s="208"/>
      <c r="EN5" s="208">
        <f>MAX(EK11:EK40)</f>
        <v>179625000</v>
      </c>
      <c r="EO5" s="166" t="s">
        <v>240</v>
      </c>
    </row>
    <row r="6" spans="1:147" x14ac:dyDescent="0.25">
      <c r="E6" s="212" t="s">
        <v>48</v>
      </c>
      <c r="F6" s="208"/>
      <c r="G6" s="214">
        <f>EE4</f>
        <v>3.9611179040367199E-2</v>
      </c>
    </row>
    <row r="7" spans="1:147" ht="15.75" thickBot="1" x14ac:dyDescent="0.3">
      <c r="E7" s="215" t="s">
        <v>49</v>
      </c>
      <c r="F7" s="216"/>
      <c r="G7" s="217">
        <f>EE5</f>
        <v>318125000</v>
      </c>
      <c r="AI7" s="235" t="s">
        <v>39</v>
      </c>
      <c r="EB7" s="236" t="s">
        <v>50</v>
      </c>
      <c r="EC7" s="236"/>
      <c r="ED7" s="218"/>
      <c r="EE7" s="218"/>
      <c r="EG7" s="236" t="s">
        <v>51</v>
      </c>
      <c r="EH7" s="218"/>
      <c r="EI7" s="218"/>
      <c r="EJ7" s="165"/>
      <c r="EK7" s="236" t="s">
        <v>52</v>
      </c>
      <c r="EL7" s="236"/>
      <c r="EM7" s="218"/>
      <c r="EN7" s="218"/>
    </row>
    <row r="8" spans="1:147" ht="15.75" thickTop="1" x14ac:dyDescent="0.25">
      <c r="AI8" s="230" t="s">
        <v>53</v>
      </c>
      <c r="AL8" s="230" t="s">
        <v>53</v>
      </c>
      <c r="AO8" s="230" t="s">
        <v>53</v>
      </c>
      <c r="AR8" s="230" t="s">
        <v>53</v>
      </c>
      <c r="AU8" s="230" t="s">
        <v>53</v>
      </c>
      <c r="AX8" s="230" t="s">
        <v>53</v>
      </c>
      <c r="BA8" s="230" t="s">
        <v>53</v>
      </c>
      <c r="BD8" s="230" t="s">
        <v>53</v>
      </c>
      <c r="BG8" s="230" t="s">
        <v>53</v>
      </c>
      <c r="BJ8" s="230" t="s">
        <v>53</v>
      </c>
      <c r="BM8" s="230" t="s">
        <v>53</v>
      </c>
      <c r="BP8" s="230" t="s">
        <v>53</v>
      </c>
      <c r="BS8" s="230" t="s">
        <v>53</v>
      </c>
      <c r="BV8" s="230" t="s">
        <v>53</v>
      </c>
      <c r="BY8" s="230" t="s">
        <v>53</v>
      </c>
      <c r="CB8" s="230" t="s">
        <v>53</v>
      </c>
      <c r="CE8" s="230" t="s">
        <v>53</v>
      </c>
      <c r="CH8" s="230" t="s">
        <v>53</v>
      </c>
      <c r="CK8" s="230" t="s">
        <v>53</v>
      </c>
      <c r="CN8" s="230" t="s">
        <v>53</v>
      </c>
      <c r="CQ8" s="230" t="s">
        <v>53</v>
      </c>
      <c r="CT8" s="230" t="s">
        <v>53</v>
      </c>
      <c r="CW8" s="230" t="s">
        <v>53</v>
      </c>
      <c r="CZ8" s="230" t="s">
        <v>53</v>
      </c>
      <c r="DC8" s="230" t="s">
        <v>53</v>
      </c>
      <c r="DF8" s="230" t="s">
        <v>53</v>
      </c>
      <c r="DI8" s="230" t="s">
        <v>53</v>
      </c>
      <c r="DL8" s="230" t="s">
        <v>53</v>
      </c>
      <c r="DO8" s="230" t="s">
        <v>53</v>
      </c>
      <c r="DR8" s="230" t="s">
        <v>53</v>
      </c>
      <c r="EB8" s="219"/>
      <c r="EC8" s="219"/>
      <c r="ED8" s="219"/>
      <c r="EE8" s="219" t="s">
        <v>54</v>
      </c>
      <c r="EG8" s="219"/>
      <c r="EH8" s="237" t="s">
        <v>38</v>
      </c>
      <c r="EI8" s="219" t="s">
        <v>54</v>
      </c>
      <c r="EJ8" s="219"/>
      <c r="EK8" s="169" t="s">
        <v>55</v>
      </c>
      <c r="EL8" s="169" t="s">
        <v>56</v>
      </c>
      <c r="EM8" s="237" t="s">
        <v>57</v>
      </c>
      <c r="EN8" s="219" t="s">
        <v>54</v>
      </c>
    </row>
    <row r="9" spans="1:147" x14ac:dyDescent="0.25">
      <c r="B9" s="220" t="s">
        <v>58</v>
      </c>
      <c r="C9" s="221"/>
      <c r="D9" s="218"/>
      <c r="E9" s="220" t="s">
        <v>59</v>
      </c>
      <c r="F9" s="221"/>
      <c r="G9" s="218"/>
      <c r="H9" s="220" t="s">
        <v>60</v>
      </c>
      <c r="I9" s="221"/>
      <c r="J9" s="218"/>
      <c r="K9" s="220" t="s">
        <v>61</v>
      </c>
      <c r="L9" s="221"/>
      <c r="M9" s="218"/>
      <c r="N9" s="220" t="s">
        <v>62</v>
      </c>
      <c r="O9" s="221"/>
      <c r="P9" s="218"/>
      <c r="Q9" s="220" t="s">
        <v>63</v>
      </c>
      <c r="R9" s="221"/>
      <c r="S9" s="218"/>
      <c r="T9" s="220" t="s">
        <v>64</v>
      </c>
      <c r="U9" s="221"/>
      <c r="V9" s="218"/>
      <c r="W9" s="220" t="s">
        <v>65</v>
      </c>
      <c r="X9" s="221"/>
      <c r="Y9" s="218"/>
      <c r="Z9" s="220" t="s">
        <v>66</v>
      </c>
      <c r="AA9" s="221"/>
      <c r="AB9" s="218"/>
      <c r="AC9" s="238" t="s">
        <v>67</v>
      </c>
      <c r="AD9" s="221"/>
      <c r="AE9" s="218"/>
      <c r="AF9" s="238" t="s">
        <v>68</v>
      </c>
      <c r="AG9" s="221"/>
      <c r="AH9" s="218"/>
      <c r="AI9" s="220" t="s">
        <v>69</v>
      </c>
      <c r="AJ9" s="221"/>
      <c r="AK9" s="218"/>
      <c r="AL9" s="220" t="s">
        <v>70</v>
      </c>
      <c r="AM9" s="221"/>
      <c r="AN9" s="218"/>
      <c r="AO9" s="220" t="s">
        <v>71</v>
      </c>
      <c r="AP9" s="221"/>
      <c r="AQ9" s="218"/>
      <c r="AR9" s="220" t="s">
        <v>72</v>
      </c>
      <c r="AS9" s="221"/>
      <c r="AT9" s="218"/>
      <c r="AU9" s="220" t="s">
        <v>73</v>
      </c>
      <c r="AV9" s="221"/>
      <c r="AW9" s="218"/>
      <c r="AX9" s="220" t="s">
        <v>74</v>
      </c>
      <c r="AY9" s="221"/>
      <c r="AZ9" s="218"/>
      <c r="BA9" s="220" t="s">
        <v>75</v>
      </c>
      <c r="BB9" s="221"/>
      <c r="BC9" s="218"/>
      <c r="BD9" s="220" t="s">
        <v>76</v>
      </c>
      <c r="BE9" s="221"/>
      <c r="BF9" s="218"/>
      <c r="BG9" s="220" t="s">
        <v>77</v>
      </c>
      <c r="BH9" s="221"/>
      <c r="BI9" s="218"/>
      <c r="BJ9" s="220" t="s">
        <v>78</v>
      </c>
      <c r="BK9" s="221"/>
      <c r="BL9" s="218"/>
      <c r="BM9" s="220" t="s">
        <v>79</v>
      </c>
      <c r="BN9" s="221"/>
      <c r="BO9" s="218"/>
      <c r="BP9" s="220" t="s">
        <v>80</v>
      </c>
      <c r="BQ9" s="221"/>
      <c r="BR9" s="218"/>
      <c r="BS9" s="220" t="s">
        <v>81</v>
      </c>
      <c r="BT9" s="221"/>
      <c r="BU9" s="218"/>
      <c r="BV9" s="220" t="s">
        <v>82</v>
      </c>
      <c r="BW9" s="221"/>
      <c r="BX9" s="218"/>
      <c r="BY9" s="220" t="s">
        <v>83</v>
      </c>
      <c r="BZ9" s="221"/>
      <c r="CA9" s="218"/>
      <c r="CB9" s="220" t="s">
        <v>84</v>
      </c>
      <c r="CC9" s="221"/>
      <c r="CD9" s="218"/>
      <c r="CE9" s="220" t="s">
        <v>85</v>
      </c>
      <c r="CF9" s="221"/>
      <c r="CG9" s="218"/>
      <c r="CH9" s="220" t="s">
        <v>86</v>
      </c>
      <c r="CI9" s="221"/>
      <c r="CJ9" s="218"/>
      <c r="CK9" s="220" t="s">
        <v>87</v>
      </c>
      <c r="CL9" s="221"/>
      <c r="CM9" s="218"/>
      <c r="CN9" s="220" t="s">
        <v>88</v>
      </c>
      <c r="CO9" s="221"/>
      <c r="CP9" s="218"/>
      <c r="CQ9" s="220" t="s">
        <v>89</v>
      </c>
      <c r="CR9" s="221"/>
      <c r="CS9" s="218"/>
      <c r="CT9" s="220" t="s">
        <v>90</v>
      </c>
      <c r="CU9" s="221"/>
      <c r="CV9" s="218"/>
      <c r="CW9" s="220" t="s">
        <v>91</v>
      </c>
      <c r="CX9" s="221"/>
      <c r="CY9" s="218"/>
      <c r="CZ9" s="220" t="s">
        <v>92</v>
      </c>
      <c r="DA9" s="221"/>
      <c r="DB9" s="218"/>
      <c r="DC9" s="220" t="s">
        <v>93</v>
      </c>
      <c r="DD9" s="221"/>
      <c r="DE9" s="218"/>
      <c r="DF9" s="220" t="s">
        <v>94</v>
      </c>
      <c r="DG9" s="221"/>
      <c r="DH9" s="218"/>
      <c r="DI9" s="220" t="s">
        <v>95</v>
      </c>
      <c r="DJ9" s="221"/>
      <c r="DK9" s="218"/>
      <c r="DL9" s="220" t="s">
        <v>96</v>
      </c>
      <c r="DM9" s="221"/>
      <c r="DN9" s="218"/>
      <c r="DO9" s="220" t="s">
        <v>97</v>
      </c>
      <c r="DP9" s="221"/>
      <c r="DQ9" s="218"/>
      <c r="DR9" s="220" t="s">
        <v>98</v>
      </c>
      <c r="DS9" s="221"/>
      <c r="DT9" s="218"/>
      <c r="DU9" s="220" t="s">
        <v>99</v>
      </c>
      <c r="DV9" s="221"/>
      <c r="DW9" s="218"/>
      <c r="DX9" s="239" t="s">
        <v>100</v>
      </c>
      <c r="DY9" s="221"/>
      <c r="DZ9" s="218"/>
      <c r="EA9" s="165"/>
      <c r="EB9" s="169" t="s">
        <v>101</v>
      </c>
      <c r="EC9" s="169" t="s">
        <v>102</v>
      </c>
      <c r="ED9" s="219" t="s">
        <v>103</v>
      </c>
      <c r="EE9" s="219" t="s">
        <v>104</v>
      </c>
      <c r="EG9" s="237" t="s">
        <v>105</v>
      </c>
      <c r="EH9" s="219" t="s">
        <v>103</v>
      </c>
      <c r="EI9" s="219" t="s">
        <v>104</v>
      </c>
      <c r="EJ9" s="219"/>
      <c r="EK9" s="237" t="s">
        <v>57</v>
      </c>
      <c r="EL9" s="237" t="s">
        <v>57</v>
      </c>
      <c r="EM9" s="219" t="s">
        <v>103</v>
      </c>
      <c r="EN9" s="219" t="s">
        <v>104</v>
      </c>
    </row>
    <row r="10" spans="1:147" x14ac:dyDescent="0.25">
      <c r="A10" s="219" t="s">
        <v>106</v>
      </c>
      <c r="B10" s="240" t="s">
        <v>107</v>
      </c>
      <c r="C10" s="241" t="s">
        <v>108</v>
      </c>
      <c r="D10" s="242" t="s">
        <v>12</v>
      </c>
      <c r="E10" s="240" t="s">
        <v>107</v>
      </c>
      <c r="F10" s="241" t="s">
        <v>108</v>
      </c>
      <c r="G10" s="242" t="s">
        <v>12</v>
      </c>
      <c r="H10" s="240" t="s">
        <v>107</v>
      </c>
      <c r="I10" s="241" t="s">
        <v>108</v>
      </c>
      <c r="J10" s="242" t="s">
        <v>12</v>
      </c>
      <c r="K10" s="240" t="s">
        <v>107</v>
      </c>
      <c r="L10" s="241" t="s">
        <v>108</v>
      </c>
      <c r="M10" s="242" t="s">
        <v>12</v>
      </c>
      <c r="N10" s="240" t="s">
        <v>107</v>
      </c>
      <c r="O10" s="241" t="s">
        <v>108</v>
      </c>
      <c r="P10" s="242" t="s">
        <v>12</v>
      </c>
      <c r="Q10" s="240" t="s">
        <v>107</v>
      </c>
      <c r="R10" s="241" t="s">
        <v>108</v>
      </c>
      <c r="S10" s="242" t="s">
        <v>12</v>
      </c>
      <c r="T10" s="240" t="s">
        <v>107</v>
      </c>
      <c r="U10" s="241" t="s">
        <v>108</v>
      </c>
      <c r="V10" s="242" t="s">
        <v>12</v>
      </c>
      <c r="W10" s="240" t="s">
        <v>107</v>
      </c>
      <c r="X10" s="241" t="s">
        <v>108</v>
      </c>
      <c r="Y10" s="242" t="s">
        <v>12</v>
      </c>
      <c r="Z10" s="240" t="s">
        <v>107</v>
      </c>
      <c r="AA10" s="241" t="s">
        <v>108</v>
      </c>
      <c r="AB10" s="242" t="s">
        <v>12</v>
      </c>
      <c r="AC10" s="240" t="s">
        <v>107</v>
      </c>
      <c r="AD10" s="241" t="s">
        <v>108</v>
      </c>
      <c r="AE10" s="242" t="s">
        <v>12</v>
      </c>
      <c r="AF10" s="240" t="s">
        <v>107</v>
      </c>
      <c r="AG10" s="241" t="s">
        <v>108</v>
      </c>
      <c r="AH10" s="242" t="s">
        <v>12</v>
      </c>
      <c r="AI10" s="240" t="s">
        <v>107</v>
      </c>
      <c r="AJ10" s="241" t="s">
        <v>108</v>
      </c>
      <c r="AK10" s="242" t="s">
        <v>12</v>
      </c>
      <c r="AL10" s="240" t="s">
        <v>107</v>
      </c>
      <c r="AM10" s="241" t="s">
        <v>108</v>
      </c>
      <c r="AN10" s="242" t="s">
        <v>12</v>
      </c>
      <c r="AO10" s="240" t="s">
        <v>107</v>
      </c>
      <c r="AP10" s="241" t="s">
        <v>108</v>
      </c>
      <c r="AQ10" s="242" t="s">
        <v>12</v>
      </c>
      <c r="AR10" s="240" t="s">
        <v>107</v>
      </c>
      <c r="AS10" s="241" t="s">
        <v>108</v>
      </c>
      <c r="AT10" s="242" t="s">
        <v>12</v>
      </c>
      <c r="AU10" s="240" t="s">
        <v>107</v>
      </c>
      <c r="AV10" s="241" t="s">
        <v>108</v>
      </c>
      <c r="AW10" s="242" t="s">
        <v>12</v>
      </c>
      <c r="AX10" s="240" t="s">
        <v>107</v>
      </c>
      <c r="AY10" s="241" t="s">
        <v>108</v>
      </c>
      <c r="AZ10" s="242" t="s">
        <v>12</v>
      </c>
      <c r="BA10" s="240" t="s">
        <v>107</v>
      </c>
      <c r="BB10" s="241" t="s">
        <v>108</v>
      </c>
      <c r="BC10" s="242" t="s">
        <v>12</v>
      </c>
      <c r="BD10" s="240" t="s">
        <v>107</v>
      </c>
      <c r="BE10" s="241" t="s">
        <v>108</v>
      </c>
      <c r="BF10" s="242" t="s">
        <v>12</v>
      </c>
      <c r="BG10" s="240" t="s">
        <v>107</v>
      </c>
      <c r="BH10" s="241" t="s">
        <v>108</v>
      </c>
      <c r="BI10" s="242" t="s">
        <v>12</v>
      </c>
      <c r="BJ10" s="240" t="s">
        <v>107</v>
      </c>
      <c r="BK10" s="241" t="s">
        <v>108</v>
      </c>
      <c r="BL10" s="242" t="s">
        <v>12</v>
      </c>
      <c r="BM10" s="240" t="s">
        <v>107</v>
      </c>
      <c r="BN10" s="241" t="s">
        <v>108</v>
      </c>
      <c r="BO10" s="242" t="s">
        <v>12</v>
      </c>
      <c r="BP10" s="240" t="s">
        <v>107</v>
      </c>
      <c r="BQ10" s="241" t="s">
        <v>108</v>
      </c>
      <c r="BR10" s="242" t="s">
        <v>12</v>
      </c>
      <c r="BS10" s="240" t="s">
        <v>107</v>
      </c>
      <c r="BT10" s="241" t="s">
        <v>108</v>
      </c>
      <c r="BU10" s="242" t="s">
        <v>12</v>
      </c>
      <c r="BV10" s="240" t="s">
        <v>107</v>
      </c>
      <c r="BW10" s="241" t="s">
        <v>108</v>
      </c>
      <c r="BX10" s="242" t="s">
        <v>12</v>
      </c>
      <c r="BY10" s="240" t="s">
        <v>107</v>
      </c>
      <c r="BZ10" s="241" t="s">
        <v>108</v>
      </c>
      <c r="CA10" s="242" t="s">
        <v>12</v>
      </c>
      <c r="CB10" s="240" t="s">
        <v>107</v>
      </c>
      <c r="CC10" s="241" t="s">
        <v>108</v>
      </c>
      <c r="CD10" s="242" t="s">
        <v>12</v>
      </c>
      <c r="CE10" s="240" t="s">
        <v>107</v>
      </c>
      <c r="CF10" s="241" t="s">
        <v>108</v>
      </c>
      <c r="CG10" s="242" t="s">
        <v>12</v>
      </c>
      <c r="CH10" s="240" t="s">
        <v>107</v>
      </c>
      <c r="CI10" s="241" t="s">
        <v>108</v>
      </c>
      <c r="CJ10" s="242" t="s">
        <v>12</v>
      </c>
      <c r="CK10" s="240" t="s">
        <v>107</v>
      </c>
      <c r="CL10" s="241" t="s">
        <v>108</v>
      </c>
      <c r="CM10" s="242" t="s">
        <v>12</v>
      </c>
      <c r="CN10" s="240" t="s">
        <v>107</v>
      </c>
      <c r="CO10" s="241" t="s">
        <v>108</v>
      </c>
      <c r="CP10" s="242" t="s">
        <v>12</v>
      </c>
      <c r="CQ10" s="240" t="s">
        <v>107</v>
      </c>
      <c r="CR10" s="241" t="s">
        <v>108</v>
      </c>
      <c r="CS10" s="242" t="s">
        <v>12</v>
      </c>
      <c r="CT10" s="240" t="s">
        <v>107</v>
      </c>
      <c r="CU10" s="241" t="s">
        <v>108</v>
      </c>
      <c r="CV10" s="242" t="s">
        <v>12</v>
      </c>
      <c r="CW10" s="240" t="s">
        <v>107</v>
      </c>
      <c r="CX10" s="241" t="s">
        <v>108</v>
      </c>
      <c r="CY10" s="242" t="s">
        <v>12</v>
      </c>
      <c r="CZ10" s="240" t="s">
        <v>107</v>
      </c>
      <c r="DA10" s="241" t="s">
        <v>108</v>
      </c>
      <c r="DB10" s="242" t="s">
        <v>12</v>
      </c>
      <c r="DC10" s="240" t="s">
        <v>107</v>
      </c>
      <c r="DD10" s="241" t="s">
        <v>108</v>
      </c>
      <c r="DE10" s="242" t="s">
        <v>12</v>
      </c>
      <c r="DF10" s="240" t="s">
        <v>107</v>
      </c>
      <c r="DG10" s="241" t="s">
        <v>108</v>
      </c>
      <c r="DH10" s="242" t="s">
        <v>12</v>
      </c>
      <c r="DI10" s="240" t="s">
        <v>107</v>
      </c>
      <c r="DJ10" s="241" t="s">
        <v>108</v>
      </c>
      <c r="DK10" s="242" t="s">
        <v>12</v>
      </c>
      <c r="DL10" s="240" t="s">
        <v>107</v>
      </c>
      <c r="DM10" s="241" t="s">
        <v>108</v>
      </c>
      <c r="DN10" s="242" t="s">
        <v>12</v>
      </c>
      <c r="DO10" s="240" t="s">
        <v>107</v>
      </c>
      <c r="DP10" s="241" t="s">
        <v>108</v>
      </c>
      <c r="DQ10" s="242" t="s">
        <v>12</v>
      </c>
      <c r="DR10" s="240" t="s">
        <v>107</v>
      </c>
      <c r="DS10" s="241" t="s">
        <v>108</v>
      </c>
      <c r="DT10" s="242" t="s">
        <v>12</v>
      </c>
      <c r="DU10" s="240" t="s">
        <v>107</v>
      </c>
      <c r="DV10" s="241" t="s">
        <v>108</v>
      </c>
      <c r="DW10" s="242" t="s">
        <v>12</v>
      </c>
      <c r="DX10" s="240" t="s">
        <v>107</v>
      </c>
      <c r="DY10" s="241"/>
      <c r="DZ10" s="242"/>
      <c r="EA10" s="242"/>
      <c r="EB10" s="242" t="s">
        <v>109</v>
      </c>
      <c r="EC10" s="242" t="s">
        <v>109</v>
      </c>
      <c r="ED10" s="242" t="s">
        <v>12</v>
      </c>
      <c r="EE10" s="242" t="s">
        <v>108</v>
      </c>
      <c r="EG10" s="242" t="s">
        <v>109</v>
      </c>
      <c r="EH10" s="242" t="s">
        <v>12</v>
      </c>
      <c r="EI10" s="242" t="s">
        <v>108</v>
      </c>
      <c r="EJ10" s="242"/>
      <c r="EK10" s="242" t="s">
        <v>109</v>
      </c>
      <c r="EL10" s="242" t="s">
        <v>109</v>
      </c>
      <c r="EM10" s="242" t="s">
        <v>12</v>
      </c>
      <c r="EN10" s="242" t="s">
        <v>108</v>
      </c>
    </row>
    <row r="11" spans="1:147" x14ac:dyDescent="0.25">
      <c r="A11" s="222">
        <v>45962</v>
      </c>
      <c r="B11" s="208">
        <v>146150000</v>
      </c>
      <c r="C11" s="209">
        <v>3.9290180000000001E-2</v>
      </c>
      <c r="D11" s="208">
        <f>(B11*C11)/360</f>
        <v>15950.721686111112</v>
      </c>
      <c r="G11" s="208">
        <f>(E11*F11)/360</f>
        <v>0</v>
      </c>
      <c r="J11" s="208">
        <f>(H11*I11)/360</f>
        <v>0</v>
      </c>
      <c r="M11" s="208">
        <f>(K11*L11)/360</f>
        <v>0</v>
      </c>
      <c r="P11" s="208">
        <f>(N11*O11)/360</f>
        <v>0</v>
      </c>
      <c r="S11" s="208">
        <f>(Q11*R11)/360</f>
        <v>0</v>
      </c>
      <c r="V11" s="208">
        <f>(T11*U11)/360</f>
        <v>0</v>
      </c>
      <c r="Y11" s="208">
        <f>(W11*X11)/360</f>
        <v>0</v>
      </c>
      <c r="AB11" s="208">
        <f>(Z11*AA11)/360</f>
        <v>0</v>
      </c>
      <c r="AE11" s="208">
        <v>0</v>
      </c>
      <c r="AH11" s="208">
        <v>0</v>
      </c>
      <c r="AI11" s="223">
        <f>162100000+1125000</f>
        <v>163225000</v>
      </c>
      <c r="AJ11" s="224">
        <v>4.0500000000000001E-2</v>
      </c>
      <c r="AK11" s="208">
        <f>(AI11*AJ11)/360</f>
        <v>18362.8125</v>
      </c>
      <c r="AL11" s="223"/>
      <c r="AM11" s="224"/>
      <c r="AN11" s="208">
        <f>(AL11*AM11)/360</f>
        <v>0</v>
      </c>
      <c r="AO11" s="223"/>
      <c r="AP11" s="224"/>
      <c r="AQ11" s="208">
        <f>(AO11*AP11)/360</f>
        <v>0</v>
      </c>
      <c r="AR11" s="223"/>
      <c r="AS11" s="224"/>
      <c r="AT11" s="208">
        <f>(AR11*AS11)/360</f>
        <v>0</v>
      </c>
      <c r="AW11" s="208">
        <f>(AU11*AV11)/360</f>
        <v>0</v>
      </c>
      <c r="AZ11" s="208">
        <f>(AX11*AY11)/360</f>
        <v>0</v>
      </c>
      <c r="BC11" s="208">
        <f>(BA11*BB11)/360</f>
        <v>0</v>
      </c>
      <c r="BF11" s="208">
        <f>(BD11*BE11)/360</f>
        <v>0</v>
      </c>
      <c r="BI11" s="208">
        <f>(BG11*BH11)/360</f>
        <v>0</v>
      </c>
      <c r="BL11" s="208">
        <f>(BJ11*BK11)/360</f>
        <v>0</v>
      </c>
      <c r="BO11" s="208">
        <f>(BM11*BN11)/360</f>
        <v>0</v>
      </c>
      <c r="BR11" s="208">
        <f>(BP11*BQ11)/360</f>
        <v>0</v>
      </c>
      <c r="BU11" s="208">
        <f>(BS11*BT11)/360</f>
        <v>0</v>
      </c>
      <c r="BX11" s="208">
        <f>(BV11*BW11)/360</f>
        <v>0</v>
      </c>
      <c r="CA11" s="208">
        <f>(BY11*BZ11)/360</f>
        <v>0</v>
      </c>
      <c r="CD11" s="208">
        <f>(CB11*CC11)/360</f>
        <v>0</v>
      </c>
      <c r="CG11" s="208">
        <f>(CE11*CF11)/360</f>
        <v>0</v>
      </c>
      <c r="CJ11" s="208">
        <f>(CH11*CI11)/360</f>
        <v>0</v>
      </c>
      <c r="CM11" s="208">
        <f>(CK11*CL11)/360</f>
        <v>0</v>
      </c>
      <c r="CP11" s="208">
        <f>(CN11*CO11)/360</f>
        <v>0</v>
      </c>
      <c r="CS11" s="208">
        <f>(CQ11*CR11)/360</f>
        <v>0</v>
      </c>
      <c r="CV11" s="208">
        <f>(CT11*CU11)/360</f>
        <v>0</v>
      </c>
      <c r="CY11" s="208">
        <f>(CW11*CX11)/360</f>
        <v>0</v>
      </c>
      <c r="DB11" s="208">
        <f>(CZ11*DA11)/360</f>
        <v>0</v>
      </c>
      <c r="DE11" s="208">
        <f>(DC11*DD11)/360</f>
        <v>0</v>
      </c>
      <c r="DH11" s="208">
        <f>(DF11*DG11)/360</f>
        <v>0</v>
      </c>
      <c r="DK11" s="208">
        <f>(DI11*DJ11)/360</f>
        <v>0</v>
      </c>
      <c r="DN11" s="208">
        <f>(DL11*DM11)/360</f>
        <v>0</v>
      </c>
      <c r="DQ11" s="208">
        <f>(DO11*DP11)/360</f>
        <v>0</v>
      </c>
      <c r="DT11" s="208">
        <f>(DR11*DS11)/360</f>
        <v>0</v>
      </c>
      <c r="DW11" s="208">
        <f>(DU11*DV11)/360</f>
        <v>0</v>
      </c>
      <c r="DZ11" s="208"/>
      <c r="EA11" s="208"/>
      <c r="EB11" s="228">
        <f>B11+E11+H11+K11+N11+Q11+T11+W11+Z11+AC11+AF11+AL11+AO11+AR11+AU11+AX11+BA11+BD11+BG11+DU11+AI11+DR11+DO11+DL11+DI11+DF11+DC11+CZ11+CW11+CT11+CQ11+CN11+CK11+CH11+CE11+CB11+BY11+BV11+BS11+BP11+BM11+BJ11</f>
        <v>309375000</v>
      </c>
      <c r="EC11" s="228">
        <f>EB11-EK11+EL11</f>
        <v>146150000</v>
      </c>
      <c r="ED11" s="208">
        <f>D11+G11+J11+M11+P11+S11+V11+Y11+AB11+AE11+AH11+AK11+AN11+AQ11+AT11+AW11+AZ11+BC11+BF11+BI11+DW11+DT11+DQ11+DN11+DK11+DH11+DE11+DB11+CY11+CV11+CS11+CP11+CM11+CJ11+CG11+CD11+CA11+BX11+BU11+BR11+BO11+BL11</f>
        <v>34313.534186111108</v>
      </c>
      <c r="EE11" s="209">
        <f>IF(EB11&lt;&gt;0,((ED11/EB11)*360),0)</f>
        <v>3.9928476143838383E-2</v>
      </c>
      <c r="EG11" s="228">
        <f>Q11+T11+W11+Z11+AC11+AF11</f>
        <v>0</v>
      </c>
      <c r="EH11" s="208">
        <f>S11+V11+Y11+AB11+AE11+AH11</f>
        <v>0</v>
      </c>
      <c r="EI11" s="209">
        <f>IF(EG11&lt;&gt;0,((EH11/EG11)*360),0)</f>
        <v>0</v>
      </c>
      <c r="EJ11" s="209"/>
      <c r="EK11" s="228">
        <f>DR11+DL11+DI11+DF11+DC11+CZ11+CW11+CT11+CQ11+CN11+CK11+CH11+CE11+CB11+BY11+BV11+BS11+BP11+BM11+BJ11+BG11+BD11+BA11+AX11+AU11+AR11+AO11+AL11+AI11+DO11</f>
        <v>163225000</v>
      </c>
      <c r="EL11" s="228">
        <f>DX11</f>
        <v>0</v>
      </c>
      <c r="EM11" s="228">
        <f>DT11+DQ11+DN11+DK11+DH11+DE11+DB11+CY11+CV11+CS11+CP11+CM11+CJ11+CG11+CD11+CA11+BX11+BU11+BR11+BO11+BL11+BI11+BF11+BC11+AZ11+AW11+AT11+AQ11+AN11+AK11</f>
        <v>18362.8125</v>
      </c>
      <c r="EN11" s="209">
        <f>IF(EK11&lt;&gt;0,((EM11/EK11)*360),0)</f>
        <v>4.0500000000000001E-2</v>
      </c>
      <c r="EP11" s="208"/>
    </row>
    <row r="12" spans="1:147" x14ac:dyDescent="0.25">
      <c r="A12" s="222">
        <f>1+A11</f>
        <v>45963</v>
      </c>
      <c r="B12" s="208">
        <v>146150000</v>
      </c>
      <c r="C12" s="209">
        <v>3.9290180000000001E-2</v>
      </c>
      <c r="D12" s="208">
        <f t="shared" ref="D12:D40" si="0">(B12*C12)/360</f>
        <v>15950.721686111112</v>
      </c>
      <c r="G12" s="208">
        <f t="shared" ref="G12:G40" si="1">(E12*F12)/360</f>
        <v>0</v>
      </c>
      <c r="J12" s="208">
        <f t="shared" ref="J12:J40" si="2">(H12*I12)/360</f>
        <v>0</v>
      </c>
      <c r="M12" s="208">
        <f t="shared" ref="M12:M40" si="3">(K12*L12)/360</f>
        <v>0</v>
      </c>
      <c r="P12" s="208">
        <f t="shared" ref="P12:P40" si="4">(N12*O12)/360</f>
        <v>0</v>
      </c>
      <c r="S12" s="208">
        <f t="shared" ref="S12:S40" si="5">(Q12*R12)/360</f>
        <v>0</v>
      </c>
      <c r="V12" s="208">
        <f t="shared" ref="V12:V40" si="6">(T12*U12)/360</f>
        <v>0</v>
      </c>
      <c r="Y12" s="208">
        <f t="shared" ref="Y12:Y40" si="7">(W12*X12)/360</f>
        <v>0</v>
      </c>
      <c r="AB12" s="208">
        <f t="shared" ref="AB12:AB40" si="8">(Z12*AA12)/360</f>
        <v>0</v>
      </c>
      <c r="AE12" s="208">
        <v>0</v>
      </c>
      <c r="AH12" s="208">
        <v>0</v>
      </c>
      <c r="AI12" s="223">
        <f>162100000+1125000</f>
        <v>163225000</v>
      </c>
      <c r="AJ12" s="224">
        <v>4.0500000000000001E-2</v>
      </c>
      <c r="AK12" s="208">
        <f t="shared" ref="AK12:AK40" si="9">(AI12*AJ12)/360</f>
        <v>18362.8125</v>
      </c>
      <c r="AL12" s="223"/>
      <c r="AM12" s="224"/>
      <c r="AN12" s="208">
        <f t="shared" ref="AN12:AN40" si="10">(AL12*AM12)/360</f>
        <v>0</v>
      </c>
      <c r="AO12" s="223"/>
      <c r="AP12" s="224"/>
      <c r="AQ12" s="208">
        <f t="shared" ref="AQ12:AQ40" si="11">(AO12*AP12)/360</f>
        <v>0</v>
      </c>
      <c r="AR12" s="223"/>
      <c r="AS12" s="224"/>
      <c r="AT12" s="208">
        <f t="shared" ref="AT12:AT40" si="12">(AR12*AS12)/360</f>
        <v>0</v>
      </c>
      <c r="AW12" s="208">
        <f t="shared" ref="AW12:AW40" si="13">(AU12*AV12)/360</f>
        <v>0</v>
      </c>
      <c r="AZ12" s="208">
        <f t="shared" ref="AZ12:AZ40" si="14">(AX12*AY12)/360</f>
        <v>0</v>
      </c>
      <c r="BC12" s="208">
        <f t="shared" ref="BC12:BC40" si="15">(BA12*BB12)/360</f>
        <v>0</v>
      </c>
      <c r="BF12" s="208">
        <f t="shared" ref="BF12:BF40" si="16">(BD12*BE12)/360</f>
        <v>0</v>
      </c>
      <c r="BI12" s="208">
        <f t="shared" ref="BI12:BI40" si="17">(BG12*BH12)/360</f>
        <v>0</v>
      </c>
      <c r="BL12" s="208">
        <f t="shared" ref="BL12:BL40" si="18">(BJ12*BK12)/360</f>
        <v>0</v>
      </c>
      <c r="BO12" s="208">
        <f t="shared" ref="BO12:BO40" si="19">(BM12*BN12)/360</f>
        <v>0</v>
      </c>
      <c r="BR12" s="208">
        <f t="shared" ref="BR12:BR40" si="20">(BP12*BQ12)/360</f>
        <v>0</v>
      </c>
      <c r="BU12" s="208">
        <f t="shared" ref="BU12:BU40" si="21">(BS12*BT12)/360</f>
        <v>0</v>
      </c>
      <c r="BX12" s="208">
        <f t="shared" ref="BX12:BX40" si="22">(BV12*BW12)/360</f>
        <v>0</v>
      </c>
      <c r="CA12" s="208">
        <f t="shared" ref="CA12:CA40" si="23">(BY12*BZ12)/360</f>
        <v>0</v>
      </c>
      <c r="CD12" s="208">
        <f t="shared" ref="CD12:CD40" si="24">(CB12*CC12)/360</f>
        <v>0</v>
      </c>
      <c r="CG12" s="208">
        <f t="shared" ref="CG12:CG40" si="25">(CE12*CF12)/360</f>
        <v>0</v>
      </c>
      <c r="CJ12" s="208">
        <f t="shared" ref="CJ12:CJ40" si="26">(CH12*CI12)/360</f>
        <v>0</v>
      </c>
      <c r="CM12" s="208">
        <f t="shared" ref="CM12:CM40" si="27">(CK12*CL12)/360</f>
        <v>0</v>
      </c>
      <c r="CP12" s="208">
        <f t="shared" ref="CP12:CP40" si="28">(CN12*CO12)/360</f>
        <v>0</v>
      </c>
      <c r="CS12" s="208">
        <f t="shared" ref="CS12:CS40" si="29">(CQ12*CR12)/360</f>
        <v>0</v>
      </c>
      <c r="CV12" s="208">
        <f t="shared" ref="CV12:CV40" si="30">(CT12*CU12)/360</f>
        <v>0</v>
      </c>
      <c r="CY12" s="208">
        <f t="shared" ref="CY12:CY40" si="31">(CW12*CX12)/360</f>
        <v>0</v>
      </c>
      <c r="DB12" s="208">
        <f t="shared" ref="DB12:DB40" si="32">(CZ12*DA12)/360</f>
        <v>0</v>
      </c>
      <c r="DE12" s="208">
        <f t="shared" ref="DE12:DE40" si="33">(DC12*DD12)/360</f>
        <v>0</v>
      </c>
      <c r="DH12" s="208">
        <f t="shared" ref="DH12:DH40" si="34">(DF12*DG12)/360</f>
        <v>0</v>
      </c>
      <c r="DK12" s="208">
        <f t="shared" ref="DK12:DK40" si="35">(DI12*DJ12)/360</f>
        <v>0</v>
      </c>
      <c r="DN12" s="208">
        <f t="shared" ref="DN12:DN40" si="36">(DL12*DM12)/360</f>
        <v>0</v>
      </c>
      <c r="DQ12" s="208">
        <f t="shared" ref="DQ12:DQ40" si="37">(DO12*DP12)/360</f>
        <v>0</v>
      </c>
      <c r="DT12" s="208">
        <f t="shared" ref="DT12:DT40" si="38">(DR12*DS12)/360</f>
        <v>0</v>
      </c>
      <c r="DW12" s="208">
        <f t="shared" ref="DW12:DW40" si="39">(DU12*DV12)/360</f>
        <v>0</v>
      </c>
      <c r="DZ12" s="208"/>
      <c r="EA12" s="208"/>
      <c r="EB12" s="228">
        <f t="shared" ref="EB12:EB40" si="40">B12+E12+H12+K12+N12+Q12+T12+W12+Z12+AC12+AF12+AL12+AO12+AR12+AU12+AX12+BA12+BD12+BG12+DU12+AI12+DR12+DO12+DL12+DI12+DF12+DC12+CZ12+CW12+CT12+CQ12+CN12+CK12+CH12+CE12+CB12+BY12+BV12+BS12+BP12+BM12+BJ12</f>
        <v>309375000</v>
      </c>
      <c r="EC12" s="228">
        <f t="shared" ref="EC12:EC40" si="41">EB12-EK12+EL12</f>
        <v>146150000</v>
      </c>
      <c r="ED12" s="208">
        <f t="shared" ref="ED12:ED40" si="42">D12+G12+J12+M12+P12+S12+V12+Y12+AB12+AE12+AH12+AK12+AN12+AQ12+AT12+AW12+AZ12+BC12+BF12+BI12+DW12+DT12+DQ12+DN12+DK12+DH12+DE12+DB12+CY12+CV12+CS12+CP12+CM12+CJ12+CG12+CD12+CA12+BX12+BU12+BR12+BO12+BL12</f>
        <v>34313.534186111108</v>
      </c>
      <c r="EE12" s="209">
        <f t="shared" ref="EE12:EE40" si="43">IF(EB12&lt;&gt;0,((ED12/EB12)*360),0)</f>
        <v>3.9928476143838383E-2</v>
      </c>
      <c r="EG12" s="228">
        <f t="shared" ref="EG12:EG40" si="44">Q12+T12+W12+Z12+AC12+AF12</f>
        <v>0</v>
      </c>
      <c r="EH12" s="208">
        <f t="shared" ref="EH12:EH40" si="45">S12+V12+Y12+AB12+AE12+AH12</f>
        <v>0</v>
      </c>
      <c r="EI12" s="209">
        <f t="shared" ref="EI12:EI40" si="46">IF(EG12&lt;&gt;0,((EH12/EG12)*360),0)</f>
        <v>0</v>
      </c>
      <c r="EJ12" s="209"/>
      <c r="EK12" s="228">
        <f t="shared" ref="EK12:EK40" si="47">DR12+DL12+DI12+DF12+DC12+CZ12+CW12+CT12+CQ12+CN12+CK12+CH12+CE12+CB12+BY12+BV12+BS12+BP12+BM12+BJ12+BG12+BD12+BA12+AX12+AU12+AR12+AO12+AL12+AI12+DO12</f>
        <v>163225000</v>
      </c>
      <c r="EL12" s="228">
        <f t="shared" ref="EL12:EL40" si="48">DX12</f>
        <v>0</v>
      </c>
      <c r="EM12" s="228">
        <f t="shared" ref="EM12:EM40" si="49">DT12+DQ12+DN12+DK12+DH12+DE12+DB12+CY12+CV12+CS12+CP12+CM12+CJ12+CG12+CD12+CA12+BX12+BU12+BR12+BO12+BL12+BI12+BF12+BC12+AZ12+AW12+AT12+AQ12+AN12+AK12</f>
        <v>18362.8125</v>
      </c>
      <c r="EN12" s="209">
        <f t="shared" ref="EN12:EN40" si="50">IF(EK12&lt;&gt;0,((EM12/EK12)*360),0)</f>
        <v>4.0500000000000001E-2</v>
      </c>
      <c r="EP12" s="208"/>
    </row>
    <row r="13" spans="1:147" x14ac:dyDescent="0.25">
      <c r="A13" s="222">
        <f t="shared" ref="A13:A40" si="51">1+A12</f>
        <v>45964</v>
      </c>
      <c r="B13" s="208">
        <v>138500000</v>
      </c>
      <c r="C13" s="209">
        <v>3.9493279999999999E-2</v>
      </c>
      <c r="D13" s="208">
        <f t="shared" si="0"/>
        <v>15193.942444444445</v>
      </c>
      <c r="G13" s="208">
        <f t="shared" si="1"/>
        <v>0</v>
      </c>
      <c r="J13" s="208">
        <f t="shared" si="2"/>
        <v>0</v>
      </c>
      <c r="M13" s="208">
        <f t="shared" si="3"/>
        <v>0</v>
      </c>
      <c r="P13" s="208">
        <f t="shared" si="4"/>
        <v>0</v>
      </c>
      <c r="S13" s="208">
        <f t="shared" si="5"/>
        <v>0</v>
      </c>
      <c r="V13" s="208">
        <f t="shared" si="6"/>
        <v>0</v>
      </c>
      <c r="Y13" s="208">
        <f t="shared" si="7"/>
        <v>0</v>
      </c>
      <c r="AB13" s="208">
        <f t="shared" si="8"/>
        <v>0</v>
      </c>
      <c r="AE13" s="208">
        <v>0</v>
      </c>
      <c r="AH13" s="208">
        <v>0</v>
      </c>
      <c r="AI13" s="223">
        <f>179625000</f>
        <v>179625000</v>
      </c>
      <c r="AJ13" s="224">
        <v>4.0500000000000001E-2</v>
      </c>
      <c r="AK13" s="208">
        <f t="shared" si="9"/>
        <v>20207.8125</v>
      </c>
      <c r="AL13" s="223"/>
      <c r="AM13" s="224"/>
      <c r="AN13" s="208">
        <f t="shared" si="10"/>
        <v>0</v>
      </c>
      <c r="AO13" s="223"/>
      <c r="AP13" s="224"/>
      <c r="AQ13" s="208">
        <f t="shared" si="11"/>
        <v>0</v>
      </c>
      <c r="AR13" s="223"/>
      <c r="AS13" s="224"/>
      <c r="AT13" s="208">
        <f t="shared" si="12"/>
        <v>0</v>
      </c>
      <c r="AW13" s="208">
        <f t="shared" si="13"/>
        <v>0</v>
      </c>
      <c r="AZ13" s="208">
        <f t="shared" si="14"/>
        <v>0</v>
      </c>
      <c r="BC13" s="208">
        <f t="shared" si="15"/>
        <v>0</v>
      </c>
      <c r="BF13" s="208">
        <f t="shared" si="16"/>
        <v>0</v>
      </c>
      <c r="BI13" s="208">
        <f t="shared" si="17"/>
        <v>0</v>
      </c>
      <c r="BL13" s="208">
        <f t="shared" si="18"/>
        <v>0</v>
      </c>
      <c r="BO13" s="208">
        <f t="shared" si="19"/>
        <v>0</v>
      </c>
      <c r="BR13" s="208">
        <f t="shared" si="20"/>
        <v>0</v>
      </c>
      <c r="BU13" s="208">
        <f t="shared" si="21"/>
        <v>0</v>
      </c>
      <c r="BX13" s="208">
        <f t="shared" si="22"/>
        <v>0</v>
      </c>
      <c r="CA13" s="208">
        <f t="shared" si="23"/>
        <v>0</v>
      </c>
      <c r="CD13" s="208">
        <f t="shared" si="24"/>
        <v>0</v>
      </c>
      <c r="CG13" s="208">
        <f t="shared" si="25"/>
        <v>0</v>
      </c>
      <c r="CJ13" s="208">
        <f t="shared" si="26"/>
        <v>0</v>
      </c>
      <c r="CM13" s="208">
        <f t="shared" si="27"/>
        <v>0</v>
      </c>
      <c r="CP13" s="208">
        <f t="shared" si="28"/>
        <v>0</v>
      </c>
      <c r="CS13" s="208">
        <f t="shared" si="29"/>
        <v>0</v>
      </c>
      <c r="CV13" s="208">
        <f t="shared" si="30"/>
        <v>0</v>
      </c>
      <c r="CY13" s="208">
        <f t="shared" si="31"/>
        <v>0</v>
      </c>
      <c r="DB13" s="208">
        <f t="shared" si="32"/>
        <v>0</v>
      </c>
      <c r="DE13" s="208">
        <f t="shared" si="33"/>
        <v>0</v>
      </c>
      <c r="DH13" s="208">
        <f t="shared" si="34"/>
        <v>0</v>
      </c>
      <c r="DK13" s="208">
        <f t="shared" si="35"/>
        <v>0</v>
      </c>
      <c r="DN13" s="208">
        <f t="shared" si="36"/>
        <v>0</v>
      </c>
      <c r="DQ13" s="208">
        <f t="shared" si="37"/>
        <v>0</v>
      </c>
      <c r="DT13" s="208">
        <f t="shared" si="38"/>
        <v>0</v>
      </c>
      <c r="DW13" s="208">
        <f t="shared" si="39"/>
        <v>0</v>
      </c>
      <c r="DZ13" s="208"/>
      <c r="EA13" s="208"/>
      <c r="EB13" s="228">
        <f t="shared" si="40"/>
        <v>318125000</v>
      </c>
      <c r="EC13" s="228">
        <f t="shared" si="41"/>
        <v>138500000</v>
      </c>
      <c r="ED13" s="208">
        <f t="shared" si="42"/>
        <v>35401.754944444445</v>
      </c>
      <c r="EE13" s="209">
        <f t="shared" si="43"/>
        <v>4.0061710899803538E-2</v>
      </c>
      <c r="EG13" s="228">
        <f t="shared" si="44"/>
        <v>0</v>
      </c>
      <c r="EH13" s="208">
        <f t="shared" si="45"/>
        <v>0</v>
      </c>
      <c r="EI13" s="209">
        <f t="shared" si="46"/>
        <v>0</v>
      </c>
      <c r="EJ13" s="209"/>
      <c r="EK13" s="228">
        <f t="shared" si="47"/>
        <v>179625000</v>
      </c>
      <c r="EL13" s="228">
        <f t="shared" si="48"/>
        <v>0</v>
      </c>
      <c r="EM13" s="228">
        <f t="shared" si="49"/>
        <v>20207.8125</v>
      </c>
      <c r="EN13" s="209">
        <f t="shared" si="50"/>
        <v>4.0500000000000001E-2</v>
      </c>
      <c r="EP13" s="208"/>
    </row>
    <row r="14" spans="1:147" x14ac:dyDescent="0.25">
      <c r="A14" s="222">
        <f t="shared" si="51"/>
        <v>45965</v>
      </c>
      <c r="B14" s="208">
        <v>155850000</v>
      </c>
      <c r="C14" s="209">
        <v>3.9300620000000001E-2</v>
      </c>
      <c r="D14" s="208">
        <f t="shared" si="0"/>
        <v>17013.893408333333</v>
      </c>
      <c r="G14" s="208">
        <f t="shared" si="1"/>
        <v>0</v>
      </c>
      <c r="J14" s="208">
        <f t="shared" si="2"/>
        <v>0</v>
      </c>
      <c r="M14" s="208">
        <f t="shared" si="3"/>
        <v>0</v>
      </c>
      <c r="P14" s="208">
        <f t="shared" si="4"/>
        <v>0</v>
      </c>
      <c r="S14" s="208">
        <f t="shared" si="5"/>
        <v>0</v>
      </c>
      <c r="V14" s="208">
        <f t="shared" si="6"/>
        <v>0</v>
      </c>
      <c r="Y14" s="208">
        <f t="shared" si="7"/>
        <v>0</v>
      </c>
      <c r="AB14" s="208">
        <f t="shared" si="8"/>
        <v>0</v>
      </c>
      <c r="AE14" s="208">
        <v>0</v>
      </c>
      <c r="AH14" s="208">
        <v>0</v>
      </c>
      <c r="AI14" s="223">
        <f>147100000</f>
        <v>147100000</v>
      </c>
      <c r="AJ14" s="224">
        <v>4.0500000000000001E-2</v>
      </c>
      <c r="AK14" s="208">
        <f t="shared" si="9"/>
        <v>16548.75</v>
      </c>
      <c r="AL14" s="223"/>
      <c r="AM14" s="224"/>
      <c r="AN14" s="208">
        <f t="shared" si="10"/>
        <v>0</v>
      </c>
      <c r="AO14" s="223"/>
      <c r="AP14" s="224"/>
      <c r="AQ14" s="208">
        <f t="shared" si="11"/>
        <v>0</v>
      </c>
      <c r="AR14" s="223"/>
      <c r="AS14" s="224"/>
      <c r="AT14" s="208">
        <f t="shared" si="12"/>
        <v>0</v>
      </c>
      <c r="AW14" s="208">
        <f t="shared" si="13"/>
        <v>0</v>
      </c>
      <c r="AZ14" s="208">
        <f t="shared" si="14"/>
        <v>0</v>
      </c>
      <c r="BC14" s="208">
        <f t="shared" si="15"/>
        <v>0</v>
      </c>
      <c r="BF14" s="208">
        <f t="shared" si="16"/>
        <v>0</v>
      </c>
      <c r="BI14" s="208">
        <f t="shared" si="17"/>
        <v>0</v>
      </c>
      <c r="BL14" s="208">
        <f t="shared" si="18"/>
        <v>0</v>
      </c>
      <c r="BO14" s="208">
        <f t="shared" si="19"/>
        <v>0</v>
      </c>
      <c r="BR14" s="208">
        <f t="shared" si="20"/>
        <v>0</v>
      </c>
      <c r="BU14" s="208">
        <f t="shared" si="21"/>
        <v>0</v>
      </c>
      <c r="BX14" s="208">
        <f t="shared" si="22"/>
        <v>0</v>
      </c>
      <c r="CA14" s="208">
        <f t="shared" si="23"/>
        <v>0</v>
      </c>
      <c r="CD14" s="208">
        <f t="shared" si="24"/>
        <v>0</v>
      </c>
      <c r="CG14" s="208">
        <f t="shared" si="25"/>
        <v>0</v>
      </c>
      <c r="CJ14" s="208">
        <f t="shared" si="26"/>
        <v>0</v>
      </c>
      <c r="CM14" s="208">
        <f t="shared" si="27"/>
        <v>0</v>
      </c>
      <c r="CP14" s="208">
        <f t="shared" si="28"/>
        <v>0</v>
      </c>
      <c r="CS14" s="208">
        <f t="shared" si="29"/>
        <v>0</v>
      </c>
      <c r="CV14" s="208">
        <f t="shared" si="30"/>
        <v>0</v>
      </c>
      <c r="CY14" s="208">
        <f t="shared" si="31"/>
        <v>0</v>
      </c>
      <c r="DB14" s="208">
        <f t="shared" si="32"/>
        <v>0</v>
      </c>
      <c r="DE14" s="208">
        <f t="shared" si="33"/>
        <v>0</v>
      </c>
      <c r="DH14" s="208">
        <f t="shared" si="34"/>
        <v>0</v>
      </c>
      <c r="DK14" s="208">
        <f t="shared" si="35"/>
        <v>0</v>
      </c>
      <c r="DN14" s="208">
        <f t="shared" si="36"/>
        <v>0</v>
      </c>
      <c r="DQ14" s="208">
        <f t="shared" si="37"/>
        <v>0</v>
      </c>
      <c r="DT14" s="208">
        <f t="shared" si="38"/>
        <v>0</v>
      </c>
      <c r="DW14" s="208">
        <f t="shared" si="39"/>
        <v>0</v>
      </c>
      <c r="DZ14" s="208"/>
      <c r="EA14" s="208"/>
      <c r="EB14" s="228">
        <f t="shared" si="40"/>
        <v>302950000</v>
      </c>
      <c r="EC14" s="228">
        <f t="shared" si="41"/>
        <v>155850000</v>
      </c>
      <c r="ED14" s="208">
        <f t="shared" si="42"/>
        <v>33562.64340833333</v>
      </c>
      <c r="EE14" s="209">
        <f t="shared" si="43"/>
        <v>3.9882989361280735E-2</v>
      </c>
      <c r="EG14" s="228">
        <f t="shared" si="44"/>
        <v>0</v>
      </c>
      <c r="EH14" s="208">
        <f t="shared" si="45"/>
        <v>0</v>
      </c>
      <c r="EI14" s="209">
        <f t="shared" si="46"/>
        <v>0</v>
      </c>
      <c r="EJ14" s="209"/>
      <c r="EK14" s="228">
        <f t="shared" si="47"/>
        <v>147100000</v>
      </c>
      <c r="EL14" s="228">
        <f t="shared" si="48"/>
        <v>0</v>
      </c>
      <c r="EM14" s="228">
        <f t="shared" si="49"/>
        <v>16548.75</v>
      </c>
      <c r="EN14" s="209">
        <f t="shared" si="50"/>
        <v>4.0500000000000001E-2</v>
      </c>
      <c r="EP14" s="208"/>
    </row>
    <row r="15" spans="1:147" x14ac:dyDescent="0.25">
      <c r="A15" s="222">
        <f t="shared" si="51"/>
        <v>45966</v>
      </c>
      <c r="B15" s="208">
        <v>168075000</v>
      </c>
      <c r="C15" s="209">
        <v>3.937773E-2</v>
      </c>
      <c r="D15" s="208">
        <f t="shared" si="0"/>
        <v>18384.477693749999</v>
      </c>
      <c r="G15" s="208">
        <f t="shared" si="1"/>
        <v>0</v>
      </c>
      <c r="J15" s="208">
        <f t="shared" si="2"/>
        <v>0</v>
      </c>
      <c r="M15" s="208">
        <f t="shared" si="3"/>
        <v>0</v>
      </c>
      <c r="P15" s="208">
        <f t="shared" si="4"/>
        <v>0</v>
      </c>
      <c r="S15" s="208">
        <f t="shared" si="5"/>
        <v>0</v>
      </c>
      <c r="V15" s="208">
        <f t="shared" si="6"/>
        <v>0</v>
      </c>
      <c r="Y15" s="208">
        <f t="shared" si="7"/>
        <v>0</v>
      </c>
      <c r="AB15" s="208">
        <f t="shared" si="8"/>
        <v>0</v>
      </c>
      <c r="AE15" s="208">
        <v>0</v>
      </c>
      <c r="AH15" s="208">
        <v>0</v>
      </c>
      <c r="AI15" s="223">
        <f>125175000</f>
        <v>125175000</v>
      </c>
      <c r="AJ15" s="224">
        <v>4.0500000000000001E-2</v>
      </c>
      <c r="AK15" s="208">
        <f t="shared" si="9"/>
        <v>14082.1875</v>
      </c>
      <c r="AL15" s="223"/>
      <c r="AM15" s="224"/>
      <c r="AN15" s="208">
        <f t="shared" si="10"/>
        <v>0</v>
      </c>
      <c r="AO15" s="223"/>
      <c r="AP15" s="224"/>
      <c r="AQ15" s="208">
        <f t="shared" si="11"/>
        <v>0</v>
      </c>
      <c r="AR15" s="223"/>
      <c r="AS15" s="224"/>
      <c r="AT15" s="208">
        <f t="shared" si="12"/>
        <v>0</v>
      </c>
      <c r="AW15" s="208">
        <f t="shared" si="13"/>
        <v>0</v>
      </c>
      <c r="AZ15" s="208">
        <f t="shared" si="14"/>
        <v>0</v>
      </c>
      <c r="BC15" s="208">
        <f t="shared" si="15"/>
        <v>0</v>
      </c>
      <c r="BF15" s="208">
        <f t="shared" si="16"/>
        <v>0</v>
      </c>
      <c r="BI15" s="208">
        <f t="shared" si="17"/>
        <v>0</v>
      </c>
      <c r="BL15" s="208">
        <f t="shared" si="18"/>
        <v>0</v>
      </c>
      <c r="BO15" s="208">
        <f t="shared" si="19"/>
        <v>0</v>
      </c>
      <c r="BR15" s="208">
        <f t="shared" si="20"/>
        <v>0</v>
      </c>
      <c r="BU15" s="208">
        <f t="shared" si="21"/>
        <v>0</v>
      </c>
      <c r="BX15" s="208">
        <f t="shared" si="22"/>
        <v>0</v>
      </c>
      <c r="CA15" s="208">
        <f t="shared" si="23"/>
        <v>0</v>
      </c>
      <c r="CD15" s="208">
        <f t="shared" si="24"/>
        <v>0</v>
      </c>
      <c r="CG15" s="208">
        <f t="shared" si="25"/>
        <v>0</v>
      </c>
      <c r="CJ15" s="208">
        <f t="shared" si="26"/>
        <v>0</v>
      </c>
      <c r="CM15" s="208">
        <f t="shared" si="27"/>
        <v>0</v>
      </c>
      <c r="CP15" s="208">
        <f t="shared" si="28"/>
        <v>0</v>
      </c>
      <c r="CS15" s="208">
        <f t="shared" si="29"/>
        <v>0</v>
      </c>
      <c r="CV15" s="208">
        <f t="shared" si="30"/>
        <v>0</v>
      </c>
      <c r="CY15" s="208">
        <f t="shared" si="31"/>
        <v>0</v>
      </c>
      <c r="DB15" s="208">
        <f t="shared" si="32"/>
        <v>0</v>
      </c>
      <c r="DE15" s="208">
        <f t="shared" si="33"/>
        <v>0</v>
      </c>
      <c r="DH15" s="208">
        <f t="shared" si="34"/>
        <v>0</v>
      </c>
      <c r="DK15" s="208">
        <f t="shared" si="35"/>
        <v>0</v>
      </c>
      <c r="DN15" s="208">
        <f t="shared" si="36"/>
        <v>0</v>
      </c>
      <c r="DQ15" s="208">
        <f t="shared" si="37"/>
        <v>0</v>
      </c>
      <c r="DT15" s="208">
        <f t="shared" si="38"/>
        <v>0</v>
      </c>
      <c r="DW15" s="208">
        <f t="shared" si="39"/>
        <v>0</v>
      </c>
      <c r="DZ15" s="208"/>
      <c r="EA15" s="208"/>
      <c r="EB15" s="228">
        <f t="shared" si="40"/>
        <v>293250000</v>
      </c>
      <c r="EC15" s="228">
        <f t="shared" si="41"/>
        <v>168075000</v>
      </c>
      <c r="ED15" s="208">
        <f t="shared" si="42"/>
        <v>32466.665193749999</v>
      </c>
      <c r="EE15" s="209">
        <f t="shared" si="43"/>
        <v>3.9856775685421994E-2</v>
      </c>
      <c r="EG15" s="228">
        <f t="shared" si="44"/>
        <v>0</v>
      </c>
      <c r="EH15" s="208">
        <f t="shared" si="45"/>
        <v>0</v>
      </c>
      <c r="EI15" s="209">
        <f t="shared" si="46"/>
        <v>0</v>
      </c>
      <c r="EJ15" s="209"/>
      <c r="EK15" s="228">
        <f t="shared" si="47"/>
        <v>125175000</v>
      </c>
      <c r="EL15" s="228">
        <f t="shared" si="48"/>
        <v>0</v>
      </c>
      <c r="EM15" s="228">
        <f t="shared" si="49"/>
        <v>14082.1875</v>
      </c>
      <c r="EN15" s="209">
        <f t="shared" si="50"/>
        <v>4.0500000000000001E-2</v>
      </c>
      <c r="EP15" s="208"/>
    </row>
    <row r="16" spans="1:147" x14ac:dyDescent="0.25">
      <c r="A16" s="222">
        <f t="shared" si="51"/>
        <v>45967</v>
      </c>
      <c r="B16" s="208">
        <v>169000000</v>
      </c>
      <c r="C16" s="209">
        <v>3.9294579999999996E-2</v>
      </c>
      <c r="D16" s="208">
        <f t="shared" si="0"/>
        <v>18446.622277777777</v>
      </c>
      <c r="G16" s="208">
        <f t="shared" si="1"/>
        <v>0</v>
      </c>
      <c r="J16" s="208">
        <f t="shared" si="2"/>
        <v>0</v>
      </c>
      <c r="M16" s="208">
        <f t="shared" si="3"/>
        <v>0</v>
      </c>
      <c r="P16" s="208">
        <f t="shared" si="4"/>
        <v>0</v>
      </c>
      <c r="S16" s="208">
        <f t="shared" si="5"/>
        <v>0</v>
      </c>
      <c r="V16" s="208">
        <f t="shared" si="6"/>
        <v>0</v>
      </c>
      <c r="Y16" s="208">
        <f t="shared" si="7"/>
        <v>0</v>
      </c>
      <c r="AB16" s="208">
        <f t="shared" si="8"/>
        <v>0</v>
      </c>
      <c r="AE16" s="208">
        <v>0</v>
      </c>
      <c r="AH16" s="208">
        <v>0</v>
      </c>
      <c r="AI16" s="223">
        <f>118775000</f>
        <v>118775000</v>
      </c>
      <c r="AJ16" s="224">
        <v>4.0500000000000001E-2</v>
      </c>
      <c r="AK16" s="208">
        <f t="shared" si="9"/>
        <v>13362.1875</v>
      </c>
      <c r="AL16" s="223"/>
      <c r="AM16" s="224"/>
      <c r="AN16" s="208">
        <f t="shared" si="10"/>
        <v>0</v>
      </c>
      <c r="AO16" s="223"/>
      <c r="AP16" s="224"/>
      <c r="AQ16" s="208">
        <f t="shared" si="11"/>
        <v>0</v>
      </c>
      <c r="AR16" s="223"/>
      <c r="AS16" s="224"/>
      <c r="AT16" s="208">
        <f t="shared" si="12"/>
        <v>0</v>
      </c>
      <c r="AW16" s="208">
        <f t="shared" si="13"/>
        <v>0</v>
      </c>
      <c r="AZ16" s="208">
        <f t="shared" si="14"/>
        <v>0</v>
      </c>
      <c r="BC16" s="208">
        <f t="shared" si="15"/>
        <v>0</v>
      </c>
      <c r="BF16" s="208">
        <f t="shared" si="16"/>
        <v>0</v>
      </c>
      <c r="BI16" s="208">
        <f t="shared" si="17"/>
        <v>0</v>
      </c>
      <c r="BL16" s="208">
        <f t="shared" si="18"/>
        <v>0</v>
      </c>
      <c r="BO16" s="208">
        <f t="shared" si="19"/>
        <v>0</v>
      </c>
      <c r="BR16" s="208">
        <f t="shared" si="20"/>
        <v>0</v>
      </c>
      <c r="BU16" s="208">
        <f t="shared" si="21"/>
        <v>0</v>
      </c>
      <c r="BX16" s="208">
        <f t="shared" si="22"/>
        <v>0</v>
      </c>
      <c r="CA16" s="208">
        <f t="shared" si="23"/>
        <v>0</v>
      </c>
      <c r="CD16" s="208">
        <f t="shared" si="24"/>
        <v>0</v>
      </c>
      <c r="CG16" s="208">
        <f t="shared" si="25"/>
        <v>0</v>
      </c>
      <c r="CJ16" s="208">
        <f t="shared" si="26"/>
        <v>0</v>
      </c>
      <c r="CM16" s="208">
        <f t="shared" si="27"/>
        <v>0</v>
      </c>
      <c r="CP16" s="208">
        <f t="shared" si="28"/>
        <v>0</v>
      </c>
      <c r="CS16" s="208">
        <f t="shared" si="29"/>
        <v>0</v>
      </c>
      <c r="CV16" s="208">
        <f t="shared" si="30"/>
        <v>0</v>
      </c>
      <c r="CY16" s="208">
        <f t="shared" si="31"/>
        <v>0</v>
      </c>
      <c r="DB16" s="208">
        <f t="shared" si="32"/>
        <v>0</v>
      </c>
      <c r="DE16" s="208">
        <f t="shared" si="33"/>
        <v>0</v>
      </c>
      <c r="DH16" s="208">
        <f t="shared" si="34"/>
        <v>0</v>
      </c>
      <c r="DK16" s="208">
        <f t="shared" si="35"/>
        <v>0</v>
      </c>
      <c r="DN16" s="208">
        <f t="shared" si="36"/>
        <v>0</v>
      </c>
      <c r="DQ16" s="208">
        <f t="shared" si="37"/>
        <v>0</v>
      </c>
      <c r="DT16" s="208">
        <f t="shared" si="38"/>
        <v>0</v>
      </c>
      <c r="DW16" s="208">
        <f t="shared" si="39"/>
        <v>0</v>
      </c>
      <c r="DZ16" s="208"/>
      <c r="EA16" s="208"/>
      <c r="EB16" s="228">
        <f t="shared" si="40"/>
        <v>287775000</v>
      </c>
      <c r="EC16" s="228">
        <f t="shared" si="41"/>
        <v>169000000</v>
      </c>
      <c r="ED16" s="208">
        <f t="shared" si="42"/>
        <v>31808.809777777777</v>
      </c>
      <c r="EE16" s="209">
        <f t="shared" si="43"/>
        <v>3.9792099800191119E-2</v>
      </c>
      <c r="EG16" s="228">
        <f t="shared" si="44"/>
        <v>0</v>
      </c>
      <c r="EH16" s="208">
        <f t="shared" si="45"/>
        <v>0</v>
      </c>
      <c r="EI16" s="209">
        <f t="shared" si="46"/>
        <v>0</v>
      </c>
      <c r="EJ16" s="209"/>
      <c r="EK16" s="228">
        <f t="shared" si="47"/>
        <v>118775000</v>
      </c>
      <c r="EL16" s="228">
        <f t="shared" si="48"/>
        <v>0</v>
      </c>
      <c r="EM16" s="228">
        <f t="shared" si="49"/>
        <v>13362.1875</v>
      </c>
      <c r="EN16" s="209">
        <f t="shared" si="50"/>
        <v>4.0500000000000001E-2</v>
      </c>
      <c r="EP16" s="208"/>
    </row>
    <row r="17" spans="1:146" x14ac:dyDescent="0.25">
      <c r="A17" s="222">
        <f t="shared" si="51"/>
        <v>45968</v>
      </c>
      <c r="B17" s="208">
        <v>161525000</v>
      </c>
      <c r="C17" s="209">
        <v>3.9303680000000001E-2</v>
      </c>
      <c r="D17" s="208">
        <f t="shared" si="0"/>
        <v>17634.79697777778</v>
      </c>
      <c r="G17" s="208">
        <f t="shared" si="1"/>
        <v>0</v>
      </c>
      <c r="J17" s="208">
        <f t="shared" si="2"/>
        <v>0</v>
      </c>
      <c r="M17" s="208">
        <f t="shared" si="3"/>
        <v>0</v>
      </c>
      <c r="P17" s="208">
        <f t="shared" si="4"/>
        <v>0</v>
      </c>
      <c r="S17" s="208">
        <f t="shared" si="5"/>
        <v>0</v>
      </c>
      <c r="V17" s="208">
        <f t="shared" si="6"/>
        <v>0</v>
      </c>
      <c r="Y17" s="208">
        <f t="shared" si="7"/>
        <v>0</v>
      </c>
      <c r="AB17" s="208">
        <f t="shared" si="8"/>
        <v>0</v>
      </c>
      <c r="AE17" s="208">
        <v>0</v>
      </c>
      <c r="AH17" s="208">
        <v>0</v>
      </c>
      <c r="AI17" s="223">
        <f>135000000+550000</f>
        <v>135550000</v>
      </c>
      <c r="AJ17" s="224">
        <v>4.0500000000000001E-2</v>
      </c>
      <c r="AK17" s="208">
        <f t="shared" si="9"/>
        <v>15249.375</v>
      </c>
      <c r="AL17" s="223"/>
      <c r="AM17" s="224"/>
      <c r="AN17" s="208">
        <f t="shared" si="10"/>
        <v>0</v>
      </c>
      <c r="AO17" s="223"/>
      <c r="AP17" s="224"/>
      <c r="AQ17" s="208">
        <f t="shared" si="11"/>
        <v>0</v>
      </c>
      <c r="AR17" s="223"/>
      <c r="AS17" s="224"/>
      <c r="AT17" s="208">
        <f t="shared" si="12"/>
        <v>0</v>
      </c>
      <c r="AW17" s="208">
        <f t="shared" si="13"/>
        <v>0</v>
      </c>
      <c r="AZ17" s="208">
        <f t="shared" si="14"/>
        <v>0</v>
      </c>
      <c r="BC17" s="208">
        <f t="shared" si="15"/>
        <v>0</v>
      </c>
      <c r="BF17" s="208">
        <f t="shared" si="16"/>
        <v>0</v>
      </c>
      <c r="BI17" s="208">
        <f t="shared" si="17"/>
        <v>0</v>
      </c>
      <c r="BL17" s="208">
        <f t="shared" si="18"/>
        <v>0</v>
      </c>
      <c r="BO17" s="208">
        <f t="shared" si="19"/>
        <v>0</v>
      </c>
      <c r="BR17" s="208">
        <f t="shared" si="20"/>
        <v>0</v>
      </c>
      <c r="BU17" s="208">
        <f t="shared" si="21"/>
        <v>0</v>
      </c>
      <c r="BX17" s="208">
        <f t="shared" si="22"/>
        <v>0</v>
      </c>
      <c r="CA17" s="208">
        <f t="shared" si="23"/>
        <v>0</v>
      </c>
      <c r="CD17" s="208">
        <f t="shared" si="24"/>
        <v>0</v>
      </c>
      <c r="CG17" s="208">
        <f t="shared" si="25"/>
        <v>0</v>
      </c>
      <c r="CJ17" s="208">
        <f t="shared" si="26"/>
        <v>0</v>
      </c>
      <c r="CM17" s="208">
        <f t="shared" si="27"/>
        <v>0</v>
      </c>
      <c r="CP17" s="208">
        <f t="shared" si="28"/>
        <v>0</v>
      </c>
      <c r="CS17" s="208">
        <f t="shared" si="29"/>
        <v>0</v>
      </c>
      <c r="CV17" s="208">
        <f t="shared" si="30"/>
        <v>0</v>
      </c>
      <c r="CY17" s="208">
        <f t="shared" si="31"/>
        <v>0</v>
      </c>
      <c r="DB17" s="208">
        <f t="shared" si="32"/>
        <v>0</v>
      </c>
      <c r="DE17" s="208">
        <f t="shared" si="33"/>
        <v>0</v>
      </c>
      <c r="DH17" s="208">
        <f t="shared" si="34"/>
        <v>0</v>
      </c>
      <c r="DK17" s="208">
        <f t="shared" si="35"/>
        <v>0</v>
      </c>
      <c r="DN17" s="208">
        <f t="shared" si="36"/>
        <v>0</v>
      </c>
      <c r="DQ17" s="208">
        <f t="shared" si="37"/>
        <v>0</v>
      </c>
      <c r="DT17" s="208">
        <f t="shared" si="38"/>
        <v>0</v>
      </c>
      <c r="DW17" s="208">
        <f t="shared" si="39"/>
        <v>0</v>
      </c>
      <c r="DZ17" s="208"/>
      <c r="EA17" s="208"/>
      <c r="EB17" s="228">
        <f t="shared" si="40"/>
        <v>297075000</v>
      </c>
      <c r="EC17" s="228">
        <f t="shared" si="41"/>
        <v>161525000</v>
      </c>
      <c r="ED17" s="208">
        <f t="shared" si="42"/>
        <v>32884.171977777776</v>
      </c>
      <c r="EE17" s="209">
        <f t="shared" si="43"/>
        <v>3.984953938231086E-2</v>
      </c>
      <c r="EG17" s="228">
        <f t="shared" si="44"/>
        <v>0</v>
      </c>
      <c r="EH17" s="208">
        <f t="shared" si="45"/>
        <v>0</v>
      </c>
      <c r="EI17" s="209">
        <f t="shared" si="46"/>
        <v>0</v>
      </c>
      <c r="EJ17" s="209"/>
      <c r="EK17" s="228">
        <f t="shared" si="47"/>
        <v>135550000</v>
      </c>
      <c r="EL17" s="228">
        <f t="shared" si="48"/>
        <v>0</v>
      </c>
      <c r="EM17" s="228">
        <f t="shared" si="49"/>
        <v>15249.375</v>
      </c>
      <c r="EN17" s="209">
        <f t="shared" si="50"/>
        <v>4.0500000000000001E-2</v>
      </c>
      <c r="EP17" s="208"/>
    </row>
    <row r="18" spans="1:146" x14ac:dyDescent="0.25">
      <c r="A18" s="222">
        <f t="shared" si="51"/>
        <v>45969</v>
      </c>
      <c r="B18" s="208">
        <v>161525000</v>
      </c>
      <c r="C18" s="209">
        <v>3.9303680000000001E-2</v>
      </c>
      <c r="D18" s="208">
        <f t="shared" si="0"/>
        <v>17634.79697777778</v>
      </c>
      <c r="G18" s="208">
        <f t="shared" si="1"/>
        <v>0</v>
      </c>
      <c r="J18" s="208">
        <f t="shared" si="2"/>
        <v>0</v>
      </c>
      <c r="M18" s="208">
        <f t="shared" si="3"/>
        <v>0</v>
      </c>
      <c r="P18" s="208">
        <f t="shared" si="4"/>
        <v>0</v>
      </c>
      <c r="S18" s="208">
        <f t="shared" si="5"/>
        <v>0</v>
      </c>
      <c r="V18" s="208">
        <f t="shared" si="6"/>
        <v>0</v>
      </c>
      <c r="Y18" s="208">
        <f t="shared" si="7"/>
        <v>0</v>
      </c>
      <c r="AB18" s="208">
        <f t="shared" si="8"/>
        <v>0</v>
      </c>
      <c r="AE18" s="208">
        <v>0</v>
      </c>
      <c r="AH18" s="208">
        <v>0</v>
      </c>
      <c r="AI18" s="223">
        <f>135000000+550000</f>
        <v>135550000</v>
      </c>
      <c r="AJ18" s="224">
        <v>4.0500000000000001E-2</v>
      </c>
      <c r="AK18" s="208">
        <f t="shared" si="9"/>
        <v>15249.375</v>
      </c>
      <c r="AL18" s="223"/>
      <c r="AM18" s="224"/>
      <c r="AN18" s="208">
        <f t="shared" si="10"/>
        <v>0</v>
      </c>
      <c r="AO18" s="223"/>
      <c r="AP18" s="224"/>
      <c r="AQ18" s="208">
        <f t="shared" si="11"/>
        <v>0</v>
      </c>
      <c r="AR18" s="223"/>
      <c r="AS18" s="224"/>
      <c r="AT18" s="208">
        <f t="shared" si="12"/>
        <v>0</v>
      </c>
      <c r="AW18" s="208">
        <f t="shared" si="13"/>
        <v>0</v>
      </c>
      <c r="AZ18" s="208">
        <f t="shared" si="14"/>
        <v>0</v>
      </c>
      <c r="BC18" s="208">
        <f t="shared" si="15"/>
        <v>0</v>
      </c>
      <c r="BF18" s="208">
        <f t="shared" si="16"/>
        <v>0</v>
      </c>
      <c r="BI18" s="208">
        <f t="shared" si="17"/>
        <v>0</v>
      </c>
      <c r="BL18" s="208">
        <f t="shared" si="18"/>
        <v>0</v>
      </c>
      <c r="BO18" s="208">
        <f t="shared" si="19"/>
        <v>0</v>
      </c>
      <c r="BR18" s="208">
        <f t="shared" si="20"/>
        <v>0</v>
      </c>
      <c r="BU18" s="208">
        <f t="shared" si="21"/>
        <v>0</v>
      </c>
      <c r="BX18" s="208">
        <f t="shared" si="22"/>
        <v>0</v>
      </c>
      <c r="CA18" s="208">
        <f t="shared" si="23"/>
        <v>0</v>
      </c>
      <c r="CD18" s="208">
        <f t="shared" si="24"/>
        <v>0</v>
      </c>
      <c r="CG18" s="208">
        <f t="shared" si="25"/>
        <v>0</v>
      </c>
      <c r="CJ18" s="208">
        <f t="shared" si="26"/>
        <v>0</v>
      </c>
      <c r="CM18" s="208">
        <f t="shared" si="27"/>
        <v>0</v>
      </c>
      <c r="CP18" s="208">
        <f t="shared" si="28"/>
        <v>0</v>
      </c>
      <c r="CS18" s="208">
        <f t="shared" si="29"/>
        <v>0</v>
      </c>
      <c r="CV18" s="208">
        <f t="shared" si="30"/>
        <v>0</v>
      </c>
      <c r="CY18" s="208">
        <f t="shared" si="31"/>
        <v>0</v>
      </c>
      <c r="DB18" s="208">
        <f t="shared" si="32"/>
        <v>0</v>
      </c>
      <c r="DE18" s="208">
        <f t="shared" si="33"/>
        <v>0</v>
      </c>
      <c r="DH18" s="208">
        <f t="shared" si="34"/>
        <v>0</v>
      </c>
      <c r="DK18" s="208">
        <f t="shared" si="35"/>
        <v>0</v>
      </c>
      <c r="DN18" s="208">
        <f t="shared" si="36"/>
        <v>0</v>
      </c>
      <c r="DQ18" s="208">
        <f t="shared" si="37"/>
        <v>0</v>
      </c>
      <c r="DT18" s="208">
        <f t="shared" si="38"/>
        <v>0</v>
      </c>
      <c r="DW18" s="208">
        <f t="shared" si="39"/>
        <v>0</v>
      </c>
      <c r="DZ18" s="208"/>
      <c r="EA18" s="208"/>
      <c r="EB18" s="228">
        <f t="shared" si="40"/>
        <v>297075000</v>
      </c>
      <c r="EC18" s="228">
        <f t="shared" si="41"/>
        <v>161525000</v>
      </c>
      <c r="ED18" s="208">
        <f t="shared" si="42"/>
        <v>32884.171977777776</v>
      </c>
      <c r="EE18" s="209">
        <f t="shared" si="43"/>
        <v>3.984953938231086E-2</v>
      </c>
      <c r="EG18" s="228">
        <f t="shared" si="44"/>
        <v>0</v>
      </c>
      <c r="EH18" s="208">
        <f t="shared" si="45"/>
        <v>0</v>
      </c>
      <c r="EI18" s="209">
        <f t="shared" si="46"/>
        <v>0</v>
      </c>
      <c r="EJ18" s="209"/>
      <c r="EK18" s="228">
        <f t="shared" si="47"/>
        <v>135550000</v>
      </c>
      <c r="EL18" s="228">
        <f t="shared" si="48"/>
        <v>0</v>
      </c>
      <c r="EM18" s="228">
        <f t="shared" si="49"/>
        <v>15249.375</v>
      </c>
      <c r="EN18" s="209">
        <f t="shared" si="50"/>
        <v>4.0500000000000001E-2</v>
      </c>
      <c r="EP18" s="208"/>
    </row>
    <row r="19" spans="1:146" x14ac:dyDescent="0.25">
      <c r="A19" s="222">
        <f t="shared" si="51"/>
        <v>45970</v>
      </c>
      <c r="B19" s="208">
        <v>161525000</v>
      </c>
      <c r="C19" s="209">
        <v>3.9303680000000001E-2</v>
      </c>
      <c r="D19" s="208">
        <f t="shared" si="0"/>
        <v>17634.79697777778</v>
      </c>
      <c r="G19" s="208">
        <f t="shared" si="1"/>
        <v>0</v>
      </c>
      <c r="J19" s="208">
        <f t="shared" si="2"/>
        <v>0</v>
      </c>
      <c r="M19" s="208">
        <f t="shared" si="3"/>
        <v>0</v>
      </c>
      <c r="P19" s="208">
        <f t="shared" si="4"/>
        <v>0</v>
      </c>
      <c r="S19" s="208">
        <f t="shared" si="5"/>
        <v>0</v>
      </c>
      <c r="V19" s="208">
        <f t="shared" si="6"/>
        <v>0</v>
      </c>
      <c r="Y19" s="208">
        <f t="shared" si="7"/>
        <v>0</v>
      </c>
      <c r="AB19" s="208">
        <f t="shared" si="8"/>
        <v>0</v>
      </c>
      <c r="AE19" s="208">
        <v>0</v>
      </c>
      <c r="AH19" s="208">
        <v>0</v>
      </c>
      <c r="AI19" s="223">
        <f>135000000+550000</f>
        <v>135550000</v>
      </c>
      <c r="AJ19" s="224">
        <v>4.0500000000000001E-2</v>
      </c>
      <c r="AK19" s="208">
        <f t="shared" si="9"/>
        <v>15249.375</v>
      </c>
      <c r="AL19" s="223"/>
      <c r="AM19" s="224"/>
      <c r="AN19" s="208">
        <f t="shared" si="10"/>
        <v>0</v>
      </c>
      <c r="AO19" s="223"/>
      <c r="AP19" s="224"/>
      <c r="AQ19" s="208">
        <f t="shared" si="11"/>
        <v>0</v>
      </c>
      <c r="AR19" s="223"/>
      <c r="AS19" s="224"/>
      <c r="AT19" s="208">
        <f t="shared" si="12"/>
        <v>0</v>
      </c>
      <c r="AW19" s="208">
        <f t="shared" si="13"/>
        <v>0</v>
      </c>
      <c r="AZ19" s="208">
        <f t="shared" si="14"/>
        <v>0</v>
      </c>
      <c r="BC19" s="208">
        <f t="shared" si="15"/>
        <v>0</v>
      </c>
      <c r="BF19" s="208">
        <f t="shared" si="16"/>
        <v>0</v>
      </c>
      <c r="BI19" s="208">
        <f t="shared" si="17"/>
        <v>0</v>
      </c>
      <c r="BL19" s="208">
        <f t="shared" si="18"/>
        <v>0</v>
      </c>
      <c r="BO19" s="208">
        <f t="shared" si="19"/>
        <v>0</v>
      </c>
      <c r="BR19" s="208">
        <f t="shared" si="20"/>
        <v>0</v>
      </c>
      <c r="BU19" s="208">
        <f t="shared" si="21"/>
        <v>0</v>
      </c>
      <c r="BX19" s="208">
        <f t="shared" si="22"/>
        <v>0</v>
      </c>
      <c r="CA19" s="208">
        <f t="shared" si="23"/>
        <v>0</v>
      </c>
      <c r="CD19" s="208">
        <f t="shared" si="24"/>
        <v>0</v>
      </c>
      <c r="CG19" s="208">
        <f t="shared" si="25"/>
        <v>0</v>
      </c>
      <c r="CJ19" s="208">
        <f t="shared" si="26"/>
        <v>0</v>
      </c>
      <c r="CM19" s="208">
        <f t="shared" si="27"/>
        <v>0</v>
      </c>
      <c r="CP19" s="208">
        <f t="shared" si="28"/>
        <v>0</v>
      </c>
      <c r="CS19" s="208">
        <f t="shared" si="29"/>
        <v>0</v>
      </c>
      <c r="CV19" s="208">
        <f t="shared" si="30"/>
        <v>0</v>
      </c>
      <c r="CY19" s="208">
        <f t="shared" si="31"/>
        <v>0</v>
      </c>
      <c r="DB19" s="208">
        <f t="shared" si="32"/>
        <v>0</v>
      </c>
      <c r="DE19" s="208">
        <f t="shared" si="33"/>
        <v>0</v>
      </c>
      <c r="DH19" s="208">
        <f t="shared" si="34"/>
        <v>0</v>
      </c>
      <c r="DK19" s="208">
        <f t="shared" si="35"/>
        <v>0</v>
      </c>
      <c r="DN19" s="208">
        <f t="shared" si="36"/>
        <v>0</v>
      </c>
      <c r="DQ19" s="208">
        <f t="shared" si="37"/>
        <v>0</v>
      </c>
      <c r="DT19" s="208">
        <f t="shared" si="38"/>
        <v>0</v>
      </c>
      <c r="DW19" s="208">
        <f t="shared" si="39"/>
        <v>0</v>
      </c>
      <c r="DZ19" s="208"/>
      <c r="EA19" s="208"/>
      <c r="EB19" s="228">
        <f t="shared" si="40"/>
        <v>297075000</v>
      </c>
      <c r="EC19" s="228">
        <f t="shared" si="41"/>
        <v>161525000</v>
      </c>
      <c r="ED19" s="208">
        <f t="shared" si="42"/>
        <v>32884.171977777776</v>
      </c>
      <c r="EE19" s="209">
        <f t="shared" si="43"/>
        <v>3.984953938231086E-2</v>
      </c>
      <c r="EG19" s="228">
        <f t="shared" si="44"/>
        <v>0</v>
      </c>
      <c r="EH19" s="208">
        <f t="shared" si="45"/>
        <v>0</v>
      </c>
      <c r="EI19" s="209">
        <f t="shared" si="46"/>
        <v>0</v>
      </c>
      <c r="EJ19" s="209"/>
      <c r="EK19" s="228">
        <f t="shared" si="47"/>
        <v>135550000</v>
      </c>
      <c r="EL19" s="228">
        <f t="shared" si="48"/>
        <v>0</v>
      </c>
      <c r="EM19" s="228">
        <f t="shared" si="49"/>
        <v>15249.375</v>
      </c>
      <c r="EN19" s="209">
        <f t="shared" si="50"/>
        <v>4.0500000000000001E-2</v>
      </c>
      <c r="EP19" s="208"/>
    </row>
    <row r="20" spans="1:146" x14ac:dyDescent="0.25">
      <c r="A20" s="222">
        <f t="shared" si="51"/>
        <v>45971</v>
      </c>
      <c r="B20" s="208">
        <v>161850000</v>
      </c>
      <c r="C20" s="209">
        <v>3.9224299999999997E-2</v>
      </c>
      <c r="D20" s="208">
        <f t="shared" si="0"/>
        <v>17634.591541666665</v>
      </c>
      <c r="G20" s="208">
        <f t="shared" si="1"/>
        <v>0</v>
      </c>
      <c r="J20" s="208">
        <f t="shared" si="2"/>
        <v>0</v>
      </c>
      <c r="M20" s="208">
        <f t="shared" si="3"/>
        <v>0</v>
      </c>
      <c r="P20" s="208">
        <f t="shared" si="4"/>
        <v>0</v>
      </c>
      <c r="S20" s="208">
        <f t="shared" si="5"/>
        <v>0</v>
      </c>
      <c r="V20" s="208">
        <f t="shared" si="6"/>
        <v>0</v>
      </c>
      <c r="Y20" s="208">
        <f t="shared" si="7"/>
        <v>0</v>
      </c>
      <c r="AB20" s="208">
        <f t="shared" si="8"/>
        <v>0</v>
      </c>
      <c r="AE20" s="208">
        <v>0</v>
      </c>
      <c r="AH20" s="208">
        <v>0</v>
      </c>
      <c r="AI20" s="223">
        <v>122250000</v>
      </c>
      <c r="AJ20" s="224">
        <v>4.0500000000000001E-2</v>
      </c>
      <c r="AK20" s="208">
        <f t="shared" si="9"/>
        <v>13753.125</v>
      </c>
      <c r="AL20" s="223"/>
      <c r="AM20" s="224"/>
      <c r="AN20" s="208">
        <f t="shared" si="10"/>
        <v>0</v>
      </c>
      <c r="AO20" s="223"/>
      <c r="AP20" s="224"/>
      <c r="AQ20" s="208">
        <f t="shared" si="11"/>
        <v>0</v>
      </c>
      <c r="AR20" s="223"/>
      <c r="AS20" s="224"/>
      <c r="AT20" s="208">
        <f t="shared" si="12"/>
        <v>0</v>
      </c>
      <c r="AW20" s="208">
        <f t="shared" si="13"/>
        <v>0</v>
      </c>
      <c r="AZ20" s="208">
        <f t="shared" si="14"/>
        <v>0</v>
      </c>
      <c r="BC20" s="208">
        <f t="shared" si="15"/>
        <v>0</v>
      </c>
      <c r="BF20" s="208">
        <f t="shared" si="16"/>
        <v>0</v>
      </c>
      <c r="BI20" s="208">
        <f t="shared" si="17"/>
        <v>0</v>
      </c>
      <c r="BL20" s="208">
        <f t="shared" si="18"/>
        <v>0</v>
      </c>
      <c r="BO20" s="208">
        <f t="shared" si="19"/>
        <v>0</v>
      </c>
      <c r="BR20" s="208">
        <f t="shared" si="20"/>
        <v>0</v>
      </c>
      <c r="BU20" s="208">
        <f t="shared" si="21"/>
        <v>0</v>
      </c>
      <c r="BX20" s="208">
        <f t="shared" si="22"/>
        <v>0</v>
      </c>
      <c r="CA20" s="208">
        <f t="shared" si="23"/>
        <v>0</v>
      </c>
      <c r="CD20" s="208">
        <f t="shared" si="24"/>
        <v>0</v>
      </c>
      <c r="CG20" s="208">
        <f t="shared" si="25"/>
        <v>0</v>
      </c>
      <c r="CJ20" s="208">
        <f t="shared" si="26"/>
        <v>0</v>
      </c>
      <c r="CM20" s="208">
        <f t="shared" si="27"/>
        <v>0</v>
      </c>
      <c r="CP20" s="208">
        <f t="shared" si="28"/>
        <v>0</v>
      </c>
      <c r="CS20" s="208">
        <f t="shared" si="29"/>
        <v>0</v>
      </c>
      <c r="CV20" s="208">
        <f t="shared" si="30"/>
        <v>0</v>
      </c>
      <c r="CY20" s="208">
        <f t="shared" si="31"/>
        <v>0</v>
      </c>
      <c r="DB20" s="208">
        <f t="shared" si="32"/>
        <v>0</v>
      </c>
      <c r="DE20" s="208">
        <f t="shared" si="33"/>
        <v>0</v>
      </c>
      <c r="DH20" s="208">
        <f t="shared" si="34"/>
        <v>0</v>
      </c>
      <c r="DK20" s="208">
        <f t="shared" si="35"/>
        <v>0</v>
      </c>
      <c r="DN20" s="208">
        <f t="shared" si="36"/>
        <v>0</v>
      </c>
      <c r="DQ20" s="208">
        <f t="shared" si="37"/>
        <v>0</v>
      </c>
      <c r="DT20" s="208">
        <f t="shared" si="38"/>
        <v>0</v>
      </c>
      <c r="DW20" s="208">
        <f t="shared" si="39"/>
        <v>0</v>
      </c>
      <c r="DZ20" s="208"/>
      <c r="EA20" s="208"/>
      <c r="EB20" s="228">
        <f t="shared" si="40"/>
        <v>284100000</v>
      </c>
      <c r="EC20" s="228">
        <f t="shared" si="41"/>
        <v>161850000</v>
      </c>
      <c r="ED20" s="208">
        <f t="shared" si="42"/>
        <v>31387.716541666665</v>
      </c>
      <c r="EE20" s="209">
        <f t="shared" si="43"/>
        <v>3.9773241657866949E-2</v>
      </c>
      <c r="EG20" s="228">
        <f t="shared" si="44"/>
        <v>0</v>
      </c>
      <c r="EH20" s="208">
        <f t="shared" si="45"/>
        <v>0</v>
      </c>
      <c r="EI20" s="209">
        <f t="shared" si="46"/>
        <v>0</v>
      </c>
      <c r="EJ20" s="209"/>
      <c r="EK20" s="228">
        <f t="shared" si="47"/>
        <v>122250000</v>
      </c>
      <c r="EL20" s="228">
        <f t="shared" si="48"/>
        <v>0</v>
      </c>
      <c r="EM20" s="228">
        <f t="shared" si="49"/>
        <v>13753.125</v>
      </c>
      <c r="EN20" s="209">
        <f t="shared" si="50"/>
        <v>4.0500000000000001E-2</v>
      </c>
      <c r="EP20" s="208"/>
    </row>
    <row r="21" spans="1:146" x14ac:dyDescent="0.25">
      <c r="A21" s="222">
        <f t="shared" si="51"/>
        <v>45972</v>
      </c>
      <c r="B21" s="208">
        <v>161850000</v>
      </c>
      <c r="C21" s="209">
        <v>3.9224299999999997E-2</v>
      </c>
      <c r="D21" s="208">
        <f t="shared" si="0"/>
        <v>17634.591541666665</v>
      </c>
      <c r="G21" s="208">
        <f t="shared" si="1"/>
        <v>0</v>
      </c>
      <c r="J21" s="208">
        <f t="shared" si="2"/>
        <v>0</v>
      </c>
      <c r="M21" s="208">
        <f t="shared" si="3"/>
        <v>0</v>
      </c>
      <c r="P21" s="208">
        <f t="shared" si="4"/>
        <v>0</v>
      </c>
      <c r="S21" s="208">
        <f t="shared" si="5"/>
        <v>0</v>
      </c>
      <c r="V21" s="208">
        <f t="shared" si="6"/>
        <v>0</v>
      </c>
      <c r="Y21" s="208">
        <f t="shared" si="7"/>
        <v>0</v>
      </c>
      <c r="AB21" s="208">
        <f t="shared" si="8"/>
        <v>0</v>
      </c>
      <c r="AE21" s="208">
        <v>0</v>
      </c>
      <c r="AH21" s="208">
        <v>0</v>
      </c>
      <c r="AI21" s="223">
        <v>122250000</v>
      </c>
      <c r="AJ21" s="224">
        <v>4.0500000000000001E-2</v>
      </c>
      <c r="AK21" s="208">
        <f t="shared" si="9"/>
        <v>13753.125</v>
      </c>
      <c r="AL21" s="223"/>
      <c r="AM21" s="224"/>
      <c r="AN21" s="208">
        <f t="shared" si="10"/>
        <v>0</v>
      </c>
      <c r="AO21" s="223"/>
      <c r="AP21" s="224"/>
      <c r="AQ21" s="208">
        <f t="shared" si="11"/>
        <v>0</v>
      </c>
      <c r="AR21" s="223"/>
      <c r="AS21" s="224"/>
      <c r="AT21" s="208">
        <f t="shared" si="12"/>
        <v>0</v>
      </c>
      <c r="AW21" s="208">
        <f t="shared" si="13"/>
        <v>0</v>
      </c>
      <c r="AZ21" s="208">
        <f t="shared" si="14"/>
        <v>0</v>
      </c>
      <c r="BC21" s="208">
        <f t="shared" si="15"/>
        <v>0</v>
      </c>
      <c r="BF21" s="208">
        <f t="shared" si="16"/>
        <v>0</v>
      </c>
      <c r="BI21" s="208">
        <f t="shared" si="17"/>
        <v>0</v>
      </c>
      <c r="BL21" s="208">
        <f t="shared" si="18"/>
        <v>0</v>
      </c>
      <c r="BO21" s="208">
        <f t="shared" si="19"/>
        <v>0</v>
      </c>
      <c r="BR21" s="208">
        <f t="shared" si="20"/>
        <v>0</v>
      </c>
      <c r="BU21" s="208">
        <f t="shared" si="21"/>
        <v>0</v>
      </c>
      <c r="BX21" s="208">
        <f t="shared" si="22"/>
        <v>0</v>
      </c>
      <c r="CA21" s="208">
        <f t="shared" si="23"/>
        <v>0</v>
      </c>
      <c r="CD21" s="208">
        <f t="shared" si="24"/>
        <v>0</v>
      </c>
      <c r="CG21" s="208">
        <f t="shared" si="25"/>
        <v>0</v>
      </c>
      <c r="CJ21" s="208">
        <f t="shared" si="26"/>
        <v>0</v>
      </c>
      <c r="CM21" s="208">
        <f t="shared" si="27"/>
        <v>0</v>
      </c>
      <c r="CP21" s="208">
        <f t="shared" si="28"/>
        <v>0</v>
      </c>
      <c r="CS21" s="208">
        <f t="shared" si="29"/>
        <v>0</v>
      </c>
      <c r="CV21" s="208">
        <f t="shared" si="30"/>
        <v>0</v>
      </c>
      <c r="CY21" s="208">
        <f t="shared" si="31"/>
        <v>0</v>
      </c>
      <c r="DB21" s="208">
        <f t="shared" si="32"/>
        <v>0</v>
      </c>
      <c r="DE21" s="208">
        <f t="shared" si="33"/>
        <v>0</v>
      </c>
      <c r="DH21" s="208">
        <f t="shared" si="34"/>
        <v>0</v>
      </c>
      <c r="DK21" s="208">
        <f t="shared" si="35"/>
        <v>0</v>
      </c>
      <c r="DN21" s="208">
        <f t="shared" si="36"/>
        <v>0</v>
      </c>
      <c r="DQ21" s="208">
        <f t="shared" si="37"/>
        <v>0</v>
      </c>
      <c r="DT21" s="208">
        <f t="shared" si="38"/>
        <v>0</v>
      </c>
      <c r="DW21" s="208">
        <f t="shared" si="39"/>
        <v>0</v>
      </c>
      <c r="DZ21" s="208"/>
      <c r="EA21" s="208"/>
      <c r="EB21" s="228">
        <f t="shared" si="40"/>
        <v>284100000</v>
      </c>
      <c r="EC21" s="228">
        <f t="shared" si="41"/>
        <v>161850000</v>
      </c>
      <c r="ED21" s="208">
        <f t="shared" si="42"/>
        <v>31387.716541666665</v>
      </c>
      <c r="EE21" s="209">
        <f t="shared" si="43"/>
        <v>3.9773241657866949E-2</v>
      </c>
      <c r="EG21" s="228">
        <f t="shared" si="44"/>
        <v>0</v>
      </c>
      <c r="EH21" s="208">
        <f t="shared" si="45"/>
        <v>0</v>
      </c>
      <c r="EI21" s="209">
        <f t="shared" si="46"/>
        <v>0</v>
      </c>
      <c r="EJ21" s="209"/>
      <c r="EK21" s="228">
        <f t="shared" si="47"/>
        <v>122250000</v>
      </c>
      <c r="EL21" s="228">
        <f t="shared" si="48"/>
        <v>0</v>
      </c>
      <c r="EM21" s="228">
        <f t="shared" si="49"/>
        <v>13753.125</v>
      </c>
      <c r="EN21" s="209">
        <f t="shared" si="50"/>
        <v>4.0500000000000001E-2</v>
      </c>
      <c r="EP21" s="208"/>
    </row>
    <row r="22" spans="1:146" x14ac:dyDescent="0.25">
      <c r="A22" s="222">
        <f t="shared" si="51"/>
        <v>45973</v>
      </c>
      <c r="B22" s="208">
        <v>181675000</v>
      </c>
      <c r="C22" s="209">
        <v>3.9280849999999999E-2</v>
      </c>
      <c r="D22" s="208">
        <f t="shared" si="0"/>
        <v>19823.190065972223</v>
      </c>
      <c r="G22" s="208">
        <f t="shared" si="1"/>
        <v>0</v>
      </c>
      <c r="J22" s="208">
        <f t="shared" si="2"/>
        <v>0</v>
      </c>
      <c r="M22" s="208">
        <f t="shared" si="3"/>
        <v>0</v>
      </c>
      <c r="P22" s="208">
        <f t="shared" si="4"/>
        <v>0</v>
      </c>
      <c r="S22" s="208">
        <f t="shared" si="5"/>
        <v>0</v>
      </c>
      <c r="V22" s="208">
        <f t="shared" si="6"/>
        <v>0</v>
      </c>
      <c r="Y22" s="208">
        <f t="shared" si="7"/>
        <v>0</v>
      </c>
      <c r="AB22" s="208">
        <f t="shared" si="8"/>
        <v>0</v>
      </c>
      <c r="AE22" s="208">
        <v>0</v>
      </c>
      <c r="AH22" s="208">
        <v>0</v>
      </c>
      <c r="AI22" s="223">
        <v>90125000</v>
      </c>
      <c r="AJ22" s="224">
        <v>4.0500000000000001E-2</v>
      </c>
      <c r="AK22" s="208">
        <f t="shared" si="9"/>
        <v>10139.0625</v>
      </c>
      <c r="AL22" s="223"/>
      <c r="AM22" s="224"/>
      <c r="AN22" s="208">
        <f t="shared" si="10"/>
        <v>0</v>
      </c>
      <c r="AO22" s="223"/>
      <c r="AP22" s="224"/>
      <c r="AQ22" s="208">
        <f t="shared" si="11"/>
        <v>0</v>
      </c>
      <c r="AR22" s="223"/>
      <c r="AS22" s="224"/>
      <c r="AT22" s="208">
        <f t="shared" si="12"/>
        <v>0</v>
      </c>
      <c r="AW22" s="208">
        <f t="shared" si="13"/>
        <v>0</v>
      </c>
      <c r="AZ22" s="208">
        <f t="shared" si="14"/>
        <v>0</v>
      </c>
      <c r="BC22" s="208">
        <f t="shared" si="15"/>
        <v>0</v>
      </c>
      <c r="BF22" s="208">
        <f t="shared" si="16"/>
        <v>0</v>
      </c>
      <c r="BI22" s="208">
        <f t="shared" si="17"/>
        <v>0</v>
      </c>
      <c r="BL22" s="208">
        <f t="shared" si="18"/>
        <v>0</v>
      </c>
      <c r="BO22" s="208">
        <f t="shared" si="19"/>
        <v>0</v>
      </c>
      <c r="BR22" s="208">
        <f t="shared" si="20"/>
        <v>0</v>
      </c>
      <c r="BU22" s="208">
        <f t="shared" si="21"/>
        <v>0</v>
      </c>
      <c r="BX22" s="208">
        <f t="shared" si="22"/>
        <v>0</v>
      </c>
      <c r="CA22" s="208">
        <f t="shared" si="23"/>
        <v>0</v>
      </c>
      <c r="CD22" s="208">
        <f t="shared" si="24"/>
        <v>0</v>
      </c>
      <c r="CG22" s="208">
        <f t="shared" si="25"/>
        <v>0</v>
      </c>
      <c r="CJ22" s="208">
        <f t="shared" si="26"/>
        <v>0</v>
      </c>
      <c r="CM22" s="208">
        <f t="shared" si="27"/>
        <v>0</v>
      </c>
      <c r="CP22" s="208">
        <f t="shared" si="28"/>
        <v>0</v>
      </c>
      <c r="CS22" s="208">
        <f t="shared" si="29"/>
        <v>0</v>
      </c>
      <c r="CV22" s="208">
        <f t="shared" si="30"/>
        <v>0</v>
      </c>
      <c r="CY22" s="208">
        <f t="shared" si="31"/>
        <v>0</v>
      </c>
      <c r="DB22" s="208">
        <f t="shared" si="32"/>
        <v>0</v>
      </c>
      <c r="DE22" s="208">
        <f t="shared" si="33"/>
        <v>0</v>
      </c>
      <c r="DH22" s="208">
        <f t="shared" si="34"/>
        <v>0</v>
      </c>
      <c r="DK22" s="208">
        <f t="shared" si="35"/>
        <v>0</v>
      </c>
      <c r="DN22" s="208">
        <f t="shared" si="36"/>
        <v>0</v>
      </c>
      <c r="DQ22" s="208">
        <f t="shared" si="37"/>
        <v>0</v>
      </c>
      <c r="DT22" s="208">
        <f t="shared" si="38"/>
        <v>0</v>
      </c>
      <c r="DW22" s="208">
        <f t="shared" si="39"/>
        <v>0</v>
      </c>
      <c r="DZ22" s="208"/>
      <c r="EA22" s="208"/>
      <c r="EB22" s="228">
        <f t="shared" si="40"/>
        <v>271800000</v>
      </c>
      <c r="EC22" s="228">
        <f t="shared" si="41"/>
        <v>181675000</v>
      </c>
      <c r="ED22" s="208">
        <f t="shared" si="42"/>
        <v>29962.252565972223</v>
      </c>
      <c r="EE22" s="209">
        <f t="shared" si="43"/>
        <v>3.9685102736387055E-2</v>
      </c>
      <c r="EG22" s="228">
        <f t="shared" si="44"/>
        <v>0</v>
      </c>
      <c r="EH22" s="208">
        <f t="shared" si="45"/>
        <v>0</v>
      </c>
      <c r="EI22" s="209">
        <f t="shared" si="46"/>
        <v>0</v>
      </c>
      <c r="EJ22" s="209"/>
      <c r="EK22" s="228">
        <f t="shared" si="47"/>
        <v>90125000</v>
      </c>
      <c r="EL22" s="228">
        <f t="shared" si="48"/>
        <v>0</v>
      </c>
      <c r="EM22" s="228">
        <f t="shared" si="49"/>
        <v>10139.0625</v>
      </c>
      <c r="EN22" s="209">
        <f t="shared" si="50"/>
        <v>4.0500000000000001E-2</v>
      </c>
      <c r="EP22" s="208"/>
    </row>
    <row r="23" spans="1:146" x14ac:dyDescent="0.25">
      <c r="A23" s="222">
        <f t="shared" si="51"/>
        <v>45974</v>
      </c>
      <c r="B23" s="208">
        <v>177500000</v>
      </c>
      <c r="C23" s="209">
        <v>3.859953E-2</v>
      </c>
      <c r="D23" s="208">
        <f t="shared" si="0"/>
        <v>19031.712708333333</v>
      </c>
      <c r="G23" s="208">
        <f t="shared" si="1"/>
        <v>0</v>
      </c>
      <c r="J23" s="208">
        <f t="shared" si="2"/>
        <v>0</v>
      </c>
      <c r="M23" s="208">
        <f t="shared" si="3"/>
        <v>0</v>
      </c>
      <c r="P23" s="208">
        <f t="shared" si="4"/>
        <v>0</v>
      </c>
      <c r="S23" s="208">
        <f t="shared" si="5"/>
        <v>0</v>
      </c>
      <c r="V23" s="208">
        <f t="shared" si="6"/>
        <v>0</v>
      </c>
      <c r="Y23" s="208">
        <f t="shared" si="7"/>
        <v>0</v>
      </c>
      <c r="AB23" s="208">
        <f t="shared" si="8"/>
        <v>0</v>
      </c>
      <c r="AE23" s="208">
        <v>0</v>
      </c>
      <c r="AH23" s="208">
        <v>0</v>
      </c>
      <c r="AI23" s="223">
        <v>112275000</v>
      </c>
      <c r="AJ23" s="224">
        <v>4.0500000000000001E-2</v>
      </c>
      <c r="AK23" s="208">
        <f t="shared" si="9"/>
        <v>12630.9375</v>
      </c>
      <c r="AL23" s="223"/>
      <c r="AM23" s="224"/>
      <c r="AN23" s="208">
        <f t="shared" si="10"/>
        <v>0</v>
      </c>
      <c r="AO23" s="223"/>
      <c r="AP23" s="224"/>
      <c r="AQ23" s="208">
        <f t="shared" si="11"/>
        <v>0</v>
      </c>
      <c r="AR23" s="223"/>
      <c r="AS23" s="224"/>
      <c r="AT23" s="208">
        <f t="shared" si="12"/>
        <v>0</v>
      </c>
      <c r="AW23" s="208">
        <f t="shared" si="13"/>
        <v>0</v>
      </c>
      <c r="AZ23" s="208">
        <f t="shared" si="14"/>
        <v>0</v>
      </c>
      <c r="BC23" s="208">
        <f t="shared" si="15"/>
        <v>0</v>
      </c>
      <c r="BF23" s="208">
        <f t="shared" si="16"/>
        <v>0</v>
      </c>
      <c r="BI23" s="208">
        <f t="shared" si="17"/>
        <v>0</v>
      </c>
      <c r="BL23" s="208">
        <f t="shared" si="18"/>
        <v>0</v>
      </c>
      <c r="BO23" s="208">
        <f t="shared" si="19"/>
        <v>0</v>
      </c>
      <c r="BR23" s="208">
        <f t="shared" si="20"/>
        <v>0</v>
      </c>
      <c r="BU23" s="208">
        <f t="shared" si="21"/>
        <v>0</v>
      </c>
      <c r="BX23" s="208">
        <f t="shared" si="22"/>
        <v>0</v>
      </c>
      <c r="CA23" s="208">
        <f t="shared" si="23"/>
        <v>0</v>
      </c>
      <c r="CD23" s="208">
        <f t="shared" si="24"/>
        <v>0</v>
      </c>
      <c r="CG23" s="208">
        <f t="shared" si="25"/>
        <v>0</v>
      </c>
      <c r="CJ23" s="208">
        <f t="shared" si="26"/>
        <v>0</v>
      </c>
      <c r="CM23" s="208">
        <f t="shared" si="27"/>
        <v>0</v>
      </c>
      <c r="CP23" s="208">
        <f t="shared" si="28"/>
        <v>0</v>
      </c>
      <c r="CS23" s="208">
        <f t="shared" si="29"/>
        <v>0</v>
      </c>
      <c r="CV23" s="208">
        <f t="shared" si="30"/>
        <v>0</v>
      </c>
      <c r="CY23" s="208">
        <f t="shared" si="31"/>
        <v>0</v>
      </c>
      <c r="DB23" s="208">
        <f t="shared" si="32"/>
        <v>0</v>
      </c>
      <c r="DE23" s="208">
        <f t="shared" si="33"/>
        <v>0</v>
      </c>
      <c r="DH23" s="208">
        <f t="shared" si="34"/>
        <v>0</v>
      </c>
      <c r="DK23" s="208">
        <f t="shared" si="35"/>
        <v>0</v>
      </c>
      <c r="DN23" s="208">
        <f t="shared" si="36"/>
        <v>0</v>
      </c>
      <c r="DQ23" s="208">
        <f t="shared" si="37"/>
        <v>0</v>
      </c>
      <c r="DT23" s="208">
        <f t="shared" si="38"/>
        <v>0</v>
      </c>
      <c r="DW23" s="208">
        <f t="shared" si="39"/>
        <v>0</v>
      </c>
      <c r="DZ23" s="208"/>
      <c r="EA23" s="208"/>
      <c r="EB23" s="228">
        <f t="shared" si="40"/>
        <v>289775000</v>
      </c>
      <c r="EC23" s="228">
        <f t="shared" si="41"/>
        <v>177500000</v>
      </c>
      <c r="ED23" s="208">
        <f t="shared" si="42"/>
        <v>31662.650208333333</v>
      </c>
      <c r="EE23" s="209">
        <f t="shared" si="43"/>
        <v>3.9335878095073759E-2</v>
      </c>
      <c r="EG23" s="228">
        <f t="shared" si="44"/>
        <v>0</v>
      </c>
      <c r="EH23" s="208">
        <f t="shared" si="45"/>
        <v>0</v>
      </c>
      <c r="EI23" s="209">
        <f t="shared" si="46"/>
        <v>0</v>
      </c>
      <c r="EJ23" s="209"/>
      <c r="EK23" s="228">
        <f t="shared" si="47"/>
        <v>112275000</v>
      </c>
      <c r="EL23" s="228">
        <f t="shared" si="48"/>
        <v>0</v>
      </c>
      <c r="EM23" s="228">
        <f t="shared" si="49"/>
        <v>12630.9375</v>
      </c>
      <c r="EN23" s="209">
        <f t="shared" si="50"/>
        <v>4.0500000000000001E-2</v>
      </c>
      <c r="EP23" s="208"/>
    </row>
    <row r="24" spans="1:146" x14ac:dyDescent="0.25">
      <c r="A24" s="222">
        <f t="shared" si="51"/>
        <v>45975</v>
      </c>
      <c r="B24" s="208">
        <v>177325000</v>
      </c>
      <c r="C24" s="209">
        <v>3.9040530000000004E-2</v>
      </c>
      <c r="D24" s="208">
        <f t="shared" si="0"/>
        <v>19230.172172916667</v>
      </c>
      <c r="G24" s="208">
        <f t="shared" si="1"/>
        <v>0</v>
      </c>
      <c r="J24" s="208">
        <f t="shared" si="2"/>
        <v>0</v>
      </c>
      <c r="M24" s="208">
        <f t="shared" si="3"/>
        <v>0</v>
      </c>
      <c r="P24" s="208">
        <f t="shared" si="4"/>
        <v>0</v>
      </c>
      <c r="S24" s="208">
        <f t="shared" si="5"/>
        <v>0</v>
      </c>
      <c r="V24" s="208">
        <f t="shared" si="6"/>
        <v>0</v>
      </c>
      <c r="Y24" s="208">
        <f t="shared" si="7"/>
        <v>0</v>
      </c>
      <c r="AB24" s="208">
        <f t="shared" si="8"/>
        <v>0</v>
      </c>
      <c r="AE24" s="208">
        <v>0</v>
      </c>
      <c r="AH24" s="208">
        <v>0</v>
      </c>
      <c r="AI24" s="223">
        <v>104475000</v>
      </c>
      <c r="AJ24" s="224">
        <v>4.0500000000000001E-2</v>
      </c>
      <c r="AK24" s="208">
        <f t="shared" si="9"/>
        <v>11753.4375</v>
      </c>
      <c r="AL24" s="223"/>
      <c r="AM24" s="224"/>
      <c r="AN24" s="208">
        <f t="shared" si="10"/>
        <v>0</v>
      </c>
      <c r="AO24" s="223"/>
      <c r="AP24" s="224"/>
      <c r="AQ24" s="208">
        <f t="shared" si="11"/>
        <v>0</v>
      </c>
      <c r="AR24" s="223"/>
      <c r="AS24" s="224"/>
      <c r="AT24" s="208">
        <f t="shared" si="12"/>
        <v>0</v>
      </c>
      <c r="AW24" s="208">
        <f t="shared" si="13"/>
        <v>0</v>
      </c>
      <c r="AZ24" s="208">
        <f t="shared" si="14"/>
        <v>0</v>
      </c>
      <c r="BC24" s="208">
        <f t="shared" si="15"/>
        <v>0</v>
      </c>
      <c r="BF24" s="208">
        <f t="shared" si="16"/>
        <v>0</v>
      </c>
      <c r="BI24" s="208">
        <f t="shared" si="17"/>
        <v>0</v>
      </c>
      <c r="BL24" s="208">
        <f t="shared" si="18"/>
        <v>0</v>
      </c>
      <c r="BO24" s="208">
        <f t="shared" si="19"/>
        <v>0</v>
      </c>
      <c r="BR24" s="208">
        <f t="shared" si="20"/>
        <v>0</v>
      </c>
      <c r="BU24" s="208">
        <f t="shared" si="21"/>
        <v>0</v>
      </c>
      <c r="BX24" s="208">
        <f t="shared" si="22"/>
        <v>0</v>
      </c>
      <c r="CA24" s="208">
        <f t="shared" si="23"/>
        <v>0</v>
      </c>
      <c r="CD24" s="208">
        <f t="shared" si="24"/>
        <v>0</v>
      </c>
      <c r="CG24" s="208">
        <f t="shared" si="25"/>
        <v>0</v>
      </c>
      <c r="CJ24" s="208">
        <f t="shared" si="26"/>
        <v>0</v>
      </c>
      <c r="CM24" s="208">
        <f t="shared" si="27"/>
        <v>0</v>
      </c>
      <c r="CP24" s="208">
        <f t="shared" si="28"/>
        <v>0</v>
      </c>
      <c r="CS24" s="208">
        <f t="shared" si="29"/>
        <v>0</v>
      </c>
      <c r="CV24" s="208">
        <f t="shared" si="30"/>
        <v>0</v>
      </c>
      <c r="CY24" s="208">
        <f t="shared" si="31"/>
        <v>0</v>
      </c>
      <c r="DB24" s="208">
        <f t="shared" si="32"/>
        <v>0</v>
      </c>
      <c r="DE24" s="208">
        <f t="shared" si="33"/>
        <v>0</v>
      </c>
      <c r="DH24" s="208">
        <f t="shared" si="34"/>
        <v>0</v>
      </c>
      <c r="DK24" s="208">
        <f t="shared" si="35"/>
        <v>0</v>
      </c>
      <c r="DN24" s="208">
        <f t="shared" si="36"/>
        <v>0</v>
      </c>
      <c r="DQ24" s="208">
        <f t="shared" si="37"/>
        <v>0</v>
      </c>
      <c r="DT24" s="208">
        <f t="shared" si="38"/>
        <v>0</v>
      </c>
      <c r="DW24" s="208">
        <f t="shared" si="39"/>
        <v>0</v>
      </c>
      <c r="DZ24" s="208"/>
      <c r="EA24" s="208"/>
      <c r="EB24" s="228">
        <f t="shared" si="40"/>
        <v>281800000</v>
      </c>
      <c r="EC24" s="228">
        <f t="shared" si="41"/>
        <v>177325000</v>
      </c>
      <c r="ED24" s="208">
        <f t="shared" si="42"/>
        <v>30983.609672916667</v>
      </c>
      <c r="EE24" s="209">
        <f t="shared" si="43"/>
        <v>3.958161633161817E-2</v>
      </c>
      <c r="EG24" s="228">
        <f t="shared" si="44"/>
        <v>0</v>
      </c>
      <c r="EH24" s="208">
        <f t="shared" si="45"/>
        <v>0</v>
      </c>
      <c r="EI24" s="209">
        <f t="shared" si="46"/>
        <v>0</v>
      </c>
      <c r="EJ24" s="209"/>
      <c r="EK24" s="228">
        <f t="shared" si="47"/>
        <v>104475000</v>
      </c>
      <c r="EL24" s="228">
        <f t="shared" si="48"/>
        <v>0</v>
      </c>
      <c r="EM24" s="228">
        <f t="shared" si="49"/>
        <v>11753.4375</v>
      </c>
      <c r="EN24" s="209">
        <f t="shared" si="50"/>
        <v>4.0500000000000001E-2</v>
      </c>
      <c r="EP24" s="208"/>
    </row>
    <row r="25" spans="1:146" x14ac:dyDescent="0.25">
      <c r="A25" s="222">
        <f t="shared" si="51"/>
        <v>45976</v>
      </c>
      <c r="B25" s="208">
        <v>177325000</v>
      </c>
      <c r="C25" s="209">
        <v>3.9040530000000004E-2</v>
      </c>
      <c r="D25" s="208">
        <f t="shared" si="0"/>
        <v>19230.172172916667</v>
      </c>
      <c r="G25" s="208">
        <f t="shared" si="1"/>
        <v>0</v>
      </c>
      <c r="J25" s="208">
        <f t="shared" si="2"/>
        <v>0</v>
      </c>
      <c r="M25" s="208">
        <f t="shared" si="3"/>
        <v>0</v>
      </c>
      <c r="P25" s="208">
        <f t="shared" si="4"/>
        <v>0</v>
      </c>
      <c r="S25" s="208">
        <f t="shared" si="5"/>
        <v>0</v>
      </c>
      <c r="V25" s="208">
        <f t="shared" si="6"/>
        <v>0</v>
      </c>
      <c r="Y25" s="208">
        <f t="shared" si="7"/>
        <v>0</v>
      </c>
      <c r="AB25" s="208">
        <f t="shared" si="8"/>
        <v>0</v>
      </c>
      <c r="AE25" s="208">
        <v>0</v>
      </c>
      <c r="AH25" s="208">
        <v>0</v>
      </c>
      <c r="AI25" s="223">
        <v>104475000</v>
      </c>
      <c r="AJ25" s="224">
        <v>4.0500000000000001E-2</v>
      </c>
      <c r="AK25" s="208">
        <f t="shared" si="9"/>
        <v>11753.4375</v>
      </c>
      <c r="AL25" s="223"/>
      <c r="AM25" s="224"/>
      <c r="AN25" s="208">
        <f t="shared" si="10"/>
        <v>0</v>
      </c>
      <c r="AO25" s="223"/>
      <c r="AP25" s="224"/>
      <c r="AQ25" s="208">
        <f t="shared" si="11"/>
        <v>0</v>
      </c>
      <c r="AR25" s="223"/>
      <c r="AS25" s="224"/>
      <c r="AT25" s="208">
        <f t="shared" si="12"/>
        <v>0</v>
      </c>
      <c r="AW25" s="208">
        <f t="shared" si="13"/>
        <v>0</v>
      </c>
      <c r="AZ25" s="208">
        <f t="shared" si="14"/>
        <v>0</v>
      </c>
      <c r="BC25" s="208">
        <f t="shared" si="15"/>
        <v>0</v>
      </c>
      <c r="BF25" s="208">
        <f t="shared" si="16"/>
        <v>0</v>
      </c>
      <c r="BI25" s="208">
        <f t="shared" si="17"/>
        <v>0</v>
      </c>
      <c r="BL25" s="208">
        <f t="shared" si="18"/>
        <v>0</v>
      </c>
      <c r="BO25" s="208">
        <f t="shared" si="19"/>
        <v>0</v>
      </c>
      <c r="BR25" s="208">
        <f t="shared" si="20"/>
        <v>0</v>
      </c>
      <c r="BU25" s="208">
        <f t="shared" si="21"/>
        <v>0</v>
      </c>
      <c r="BX25" s="208">
        <f t="shared" si="22"/>
        <v>0</v>
      </c>
      <c r="CA25" s="208">
        <f t="shared" si="23"/>
        <v>0</v>
      </c>
      <c r="CD25" s="208">
        <f t="shared" si="24"/>
        <v>0</v>
      </c>
      <c r="CG25" s="208">
        <f t="shared" si="25"/>
        <v>0</v>
      </c>
      <c r="CJ25" s="208">
        <f t="shared" si="26"/>
        <v>0</v>
      </c>
      <c r="CM25" s="208">
        <f t="shared" si="27"/>
        <v>0</v>
      </c>
      <c r="CP25" s="208">
        <f t="shared" si="28"/>
        <v>0</v>
      </c>
      <c r="CS25" s="208">
        <f t="shared" si="29"/>
        <v>0</v>
      </c>
      <c r="CV25" s="208">
        <f t="shared" si="30"/>
        <v>0</v>
      </c>
      <c r="CY25" s="208">
        <f t="shared" si="31"/>
        <v>0</v>
      </c>
      <c r="DB25" s="208">
        <f t="shared" si="32"/>
        <v>0</v>
      </c>
      <c r="DE25" s="208">
        <f t="shared" si="33"/>
        <v>0</v>
      </c>
      <c r="DH25" s="208">
        <f t="shared" si="34"/>
        <v>0</v>
      </c>
      <c r="DK25" s="208">
        <f t="shared" si="35"/>
        <v>0</v>
      </c>
      <c r="DN25" s="208">
        <f t="shared" si="36"/>
        <v>0</v>
      </c>
      <c r="DQ25" s="208">
        <f t="shared" si="37"/>
        <v>0</v>
      </c>
      <c r="DT25" s="208">
        <f t="shared" si="38"/>
        <v>0</v>
      </c>
      <c r="DW25" s="208">
        <f t="shared" si="39"/>
        <v>0</v>
      </c>
      <c r="DZ25" s="208"/>
      <c r="EA25" s="208"/>
      <c r="EB25" s="228">
        <f t="shared" si="40"/>
        <v>281800000</v>
      </c>
      <c r="EC25" s="228">
        <f t="shared" si="41"/>
        <v>177325000</v>
      </c>
      <c r="ED25" s="208">
        <f t="shared" si="42"/>
        <v>30983.609672916667</v>
      </c>
      <c r="EE25" s="209">
        <f t="shared" si="43"/>
        <v>3.958161633161817E-2</v>
      </c>
      <c r="EG25" s="228">
        <f t="shared" si="44"/>
        <v>0</v>
      </c>
      <c r="EH25" s="208">
        <f t="shared" si="45"/>
        <v>0</v>
      </c>
      <c r="EI25" s="209">
        <f t="shared" si="46"/>
        <v>0</v>
      </c>
      <c r="EJ25" s="209"/>
      <c r="EK25" s="228">
        <f t="shared" si="47"/>
        <v>104475000</v>
      </c>
      <c r="EL25" s="228">
        <f t="shared" si="48"/>
        <v>0</v>
      </c>
      <c r="EM25" s="228">
        <f t="shared" si="49"/>
        <v>11753.4375</v>
      </c>
      <c r="EN25" s="209">
        <f t="shared" si="50"/>
        <v>4.0500000000000001E-2</v>
      </c>
      <c r="EP25" s="208"/>
    </row>
    <row r="26" spans="1:146" x14ac:dyDescent="0.25">
      <c r="A26" s="222">
        <f t="shared" si="51"/>
        <v>45977</v>
      </c>
      <c r="B26" s="208">
        <v>177325000</v>
      </c>
      <c r="C26" s="209">
        <v>3.9040530000000004E-2</v>
      </c>
      <c r="D26" s="208">
        <f t="shared" si="0"/>
        <v>19230.172172916667</v>
      </c>
      <c r="G26" s="208">
        <f t="shared" si="1"/>
        <v>0</v>
      </c>
      <c r="J26" s="208">
        <f t="shared" si="2"/>
        <v>0</v>
      </c>
      <c r="M26" s="208">
        <f t="shared" si="3"/>
        <v>0</v>
      </c>
      <c r="P26" s="208">
        <f t="shared" si="4"/>
        <v>0</v>
      </c>
      <c r="S26" s="208">
        <f t="shared" si="5"/>
        <v>0</v>
      </c>
      <c r="V26" s="208">
        <f t="shared" si="6"/>
        <v>0</v>
      </c>
      <c r="Y26" s="208">
        <f t="shared" si="7"/>
        <v>0</v>
      </c>
      <c r="AB26" s="208">
        <f t="shared" si="8"/>
        <v>0</v>
      </c>
      <c r="AE26" s="208">
        <v>0</v>
      </c>
      <c r="AH26" s="208">
        <v>0</v>
      </c>
      <c r="AI26" s="223">
        <v>104475000</v>
      </c>
      <c r="AJ26" s="224">
        <v>4.0500000000000001E-2</v>
      </c>
      <c r="AK26" s="208">
        <f t="shared" si="9"/>
        <v>11753.4375</v>
      </c>
      <c r="AL26" s="223"/>
      <c r="AM26" s="224"/>
      <c r="AN26" s="208">
        <f t="shared" si="10"/>
        <v>0</v>
      </c>
      <c r="AO26" s="223"/>
      <c r="AP26" s="224"/>
      <c r="AQ26" s="208">
        <f t="shared" si="11"/>
        <v>0</v>
      </c>
      <c r="AR26" s="223"/>
      <c r="AS26" s="224"/>
      <c r="AT26" s="208">
        <f t="shared" si="12"/>
        <v>0</v>
      </c>
      <c r="AW26" s="208">
        <f t="shared" si="13"/>
        <v>0</v>
      </c>
      <c r="AZ26" s="208">
        <f t="shared" si="14"/>
        <v>0</v>
      </c>
      <c r="BC26" s="208">
        <f t="shared" si="15"/>
        <v>0</v>
      </c>
      <c r="BF26" s="208">
        <f t="shared" si="16"/>
        <v>0</v>
      </c>
      <c r="BI26" s="208">
        <f t="shared" si="17"/>
        <v>0</v>
      </c>
      <c r="BL26" s="208">
        <f t="shared" si="18"/>
        <v>0</v>
      </c>
      <c r="BO26" s="208">
        <f t="shared" si="19"/>
        <v>0</v>
      </c>
      <c r="BR26" s="208">
        <f t="shared" si="20"/>
        <v>0</v>
      </c>
      <c r="BU26" s="208">
        <f t="shared" si="21"/>
        <v>0</v>
      </c>
      <c r="BX26" s="208">
        <f t="shared" si="22"/>
        <v>0</v>
      </c>
      <c r="CA26" s="208">
        <f t="shared" si="23"/>
        <v>0</v>
      </c>
      <c r="CD26" s="208">
        <f t="shared" si="24"/>
        <v>0</v>
      </c>
      <c r="CG26" s="208">
        <f t="shared" si="25"/>
        <v>0</v>
      </c>
      <c r="CJ26" s="208">
        <f t="shared" si="26"/>
        <v>0</v>
      </c>
      <c r="CM26" s="208">
        <f t="shared" si="27"/>
        <v>0</v>
      </c>
      <c r="CP26" s="208">
        <f t="shared" si="28"/>
        <v>0</v>
      </c>
      <c r="CS26" s="208">
        <f t="shared" si="29"/>
        <v>0</v>
      </c>
      <c r="CV26" s="208">
        <f t="shared" si="30"/>
        <v>0</v>
      </c>
      <c r="CY26" s="208">
        <f t="shared" si="31"/>
        <v>0</v>
      </c>
      <c r="DB26" s="208">
        <f t="shared" si="32"/>
        <v>0</v>
      </c>
      <c r="DE26" s="208">
        <f t="shared" si="33"/>
        <v>0</v>
      </c>
      <c r="DH26" s="208">
        <f t="shared" si="34"/>
        <v>0</v>
      </c>
      <c r="DK26" s="208">
        <f t="shared" si="35"/>
        <v>0</v>
      </c>
      <c r="DN26" s="208">
        <f t="shared" si="36"/>
        <v>0</v>
      </c>
      <c r="DQ26" s="208">
        <f t="shared" si="37"/>
        <v>0</v>
      </c>
      <c r="DT26" s="208">
        <f t="shared" si="38"/>
        <v>0</v>
      </c>
      <c r="DW26" s="208">
        <f t="shared" si="39"/>
        <v>0</v>
      </c>
      <c r="DZ26" s="208"/>
      <c r="EA26" s="208"/>
      <c r="EB26" s="228">
        <f t="shared" si="40"/>
        <v>281800000</v>
      </c>
      <c r="EC26" s="228">
        <f t="shared" si="41"/>
        <v>177325000</v>
      </c>
      <c r="ED26" s="208">
        <f t="shared" si="42"/>
        <v>30983.609672916667</v>
      </c>
      <c r="EE26" s="209">
        <f t="shared" si="43"/>
        <v>3.958161633161817E-2</v>
      </c>
      <c r="EG26" s="228">
        <f t="shared" si="44"/>
        <v>0</v>
      </c>
      <c r="EH26" s="208">
        <f t="shared" si="45"/>
        <v>0</v>
      </c>
      <c r="EI26" s="209">
        <f t="shared" si="46"/>
        <v>0</v>
      </c>
      <c r="EJ26" s="209"/>
      <c r="EK26" s="228">
        <f t="shared" si="47"/>
        <v>104475000</v>
      </c>
      <c r="EL26" s="228">
        <f t="shared" si="48"/>
        <v>0</v>
      </c>
      <c r="EM26" s="228">
        <f t="shared" si="49"/>
        <v>11753.4375</v>
      </c>
      <c r="EN26" s="209">
        <f t="shared" si="50"/>
        <v>4.0500000000000001E-2</v>
      </c>
      <c r="EP26" s="208"/>
    </row>
    <row r="27" spans="1:146" x14ac:dyDescent="0.25">
      <c r="A27" s="222">
        <f t="shared" si="51"/>
        <v>45978</v>
      </c>
      <c r="B27" s="208">
        <v>165350000</v>
      </c>
      <c r="C27" s="209">
        <v>3.9318480000000003E-2</v>
      </c>
      <c r="D27" s="208">
        <f t="shared" si="0"/>
        <v>18059.196300000003</v>
      </c>
      <c r="G27" s="208">
        <f t="shared" si="1"/>
        <v>0</v>
      </c>
      <c r="J27" s="208">
        <f t="shared" si="2"/>
        <v>0</v>
      </c>
      <c r="M27" s="208">
        <f t="shared" si="3"/>
        <v>0</v>
      </c>
      <c r="P27" s="208">
        <f t="shared" si="4"/>
        <v>0</v>
      </c>
      <c r="S27" s="208">
        <f t="shared" si="5"/>
        <v>0</v>
      </c>
      <c r="V27" s="208">
        <f t="shared" si="6"/>
        <v>0</v>
      </c>
      <c r="Y27" s="208">
        <f t="shared" si="7"/>
        <v>0</v>
      </c>
      <c r="AB27" s="208">
        <f t="shared" si="8"/>
        <v>0</v>
      </c>
      <c r="AE27" s="208">
        <v>0</v>
      </c>
      <c r="AH27" s="208">
        <v>0</v>
      </c>
      <c r="AI27" s="223">
        <f>104050000</f>
        <v>104050000</v>
      </c>
      <c r="AJ27" s="224">
        <v>4.0500000000000001E-2</v>
      </c>
      <c r="AK27" s="208">
        <f t="shared" si="9"/>
        <v>11705.625</v>
      </c>
      <c r="AL27" s="223"/>
      <c r="AM27" s="224"/>
      <c r="AN27" s="208">
        <f t="shared" si="10"/>
        <v>0</v>
      </c>
      <c r="AO27" s="223"/>
      <c r="AP27" s="224"/>
      <c r="AQ27" s="208">
        <f t="shared" si="11"/>
        <v>0</v>
      </c>
      <c r="AR27" s="223"/>
      <c r="AS27" s="224"/>
      <c r="AT27" s="208">
        <f t="shared" si="12"/>
        <v>0</v>
      </c>
      <c r="AW27" s="208">
        <f t="shared" si="13"/>
        <v>0</v>
      </c>
      <c r="AZ27" s="208">
        <f t="shared" si="14"/>
        <v>0</v>
      </c>
      <c r="BC27" s="208">
        <f t="shared" si="15"/>
        <v>0</v>
      </c>
      <c r="BF27" s="208">
        <f t="shared" si="16"/>
        <v>0</v>
      </c>
      <c r="BI27" s="208">
        <f t="shared" si="17"/>
        <v>0</v>
      </c>
      <c r="BL27" s="208">
        <f t="shared" si="18"/>
        <v>0</v>
      </c>
      <c r="BO27" s="208">
        <f t="shared" si="19"/>
        <v>0</v>
      </c>
      <c r="BR27" s="208">
        <f t="shared" si="20"/>
        <v>0</v>
      </c>
      <c r="BU27" s="208">
        <f t="shared" si="21"/>
        <v>0</v>
      </c>
      <c r="BX27" s="208">
        <f t="shared" si="22"/>
        <v>0</v>
      </c>
      <c r="CA27" s="208">
        <f t="shared" si="23"/>
        <v>0</v>
      </c>
      <c r="CD27" s="208">
        <f t="shared" si="24"/>
        <v>0</v>
      </c>
      <c r="CG27" s="208">
        <f t="shared" si="25"/>
        <v>0</v>
      </c>
      <c r="CJ27" s="208">
        <f t="shared" si="26"/>
        <v>0</v>
      </c>
      <c r="CM27" s="208">
        <f t="shared" si="27"/>
        <v>0</v>
      </c>
      <c r="CP27" s="208">
        <f t="shared" si="28"/>
        <v>0</v>
      </c>
      <c r="CS27" s="208">
        <f t="shared" si="29"/>
        <v>0</v>
      </c>
      <c r="CV27" s="208">
        <f t="shared" si="30"/>
        <v>0</v>
      </c>
      <c r="CY27" s="208">
        <f t="shared" si="31"/>
        <v>0</v>
      </c>
      <c r="DB27" s="208">
        <f t="shared" si="32"/>
        <v>0</v>
      </c>
      <c r="DE27" s="208">
        <f t="shared" si="33"/>
        <v>0</v>
      </c>
      <c r="DH27" s="208">
        <f t="shared" si="34"/>
        <v>0</v>
      </c>
      <c r="DK27" s="208">
        <f t="shared" si="35"/>
        <v>0</v>
      </c>
      <c r="DN27" s="208">
        <f t="shared" si="36"/>
        <v>0</v>
      </c>
      <c r="DQ27" s="208">
        <f t="shared" si="37"/>
        <v>0</v>
      </c>
      <c r="DT27" s="208">
        <f t="shared" si="38"/>
        <v>0</v>
      </c>
      <c r="DW27" s="208">
        <f t="shared" si="39"/>
        <v>0</v>
      </c>
      <c r="DZ27" s="208"/>
      <c r="EA27" s="208"/>
      <c r="EB27" s="228">
        <f t="shared" si="40"/>
        <v>269400000</v>
      </c>
      <c r="EC27" s="228">
        <f t="shared" si="41"/>
        <v>165350000</v>
      </c>
      <c r="ED27" s="208">
        <f t="shared" si="42"/>
        <v>29764.821300000003</v>
      </c>
      <c r="EE27" s="209">
        <f t="shared" si="43"/>
        <v>3.9774816881959912E-2</v>
      </c>
      <c r="EG27" s="228">
        <f t="shared" si="44"/>
        <v>0</v>
      </c>
      <c r="EH27" s="208">
        <f t="shared" si="45"/>
        <v>0</v>
      </c>
      <c r="EI27" s="209">
        <f t="shared" si="46"/>
        <v>0</v>
      </c>
      <c r="EJ27" s="209"/>
      <c r="EK27" s="228">
        <f t="shared" si="47"/>
        <v>104050000</v>
      </c>
      <c r="EL27" s="228">
        <f t="shared" si="48"/>
        <v>0</v>
      </c>
      <c r="EM27" s="228">
        <f t="shared" si="49"/>
        <v>11705.625</v>
      </c>
      <c r="EN27" s="209">
        <f t="shared" si="50"/>
        <v>4.0500000000000001E-2</v>
      </c>
      <c r="EP27" s="208"/>
    </row>
    <row r="28" spans="1:146" x14ac:dyDescent="0.25">
      <c r="A28" s="222">
        <f t="shared" si="51"/>
        <v>45979</v>
      </c>
      <c r="B28" s="208">
        <v>234750000</v>
      </c>
      <c r="C28" s="209">
        <v>3.9187759999999995E-2</v>
      </c>
      <c r="D28" s="208">
        <f t="shared" si="0"/>
        <v>25553.685166666663</v>
      </c>
      <c r="G28" s="208">
        <f t="shared" si="1"/>
        <v>0</v>
      </c>
      <c r="J28" s="208">
        <f t="shared" si="2"/>
        <v>0</v>
      </c>
      <c r="M28" s="208">
        <f t="shared" si="3"/>
        <v>0</v>
      </c>
      <c r="P28" s="208">
        <f t="shared" si="4"/>
        <v>0</v>
      </c>
      <c r="S28" s="208">
        <f t="shared" si="5"/>
        <v>0</v>
      </c>
      <c r="V28" s="208">
        <f t="shared" si="6"/>
        <v>0</v>
      </c>
      <c r="Y28" s="208">
        <f t="shared" si="7"/>
        <v>0</v>
      </c>
      <c r="AB28" s="208">
        <f t="shared" si="8"/>
        <v>0</v>
      </c>
      <c r="AE28" s="208">
        <v>0</v>
      </c>
      <c r="AH28" s="208">
        <v>0</v>
      </c>
      <c r="AI28" s="223">
        <f>18075000</f>
        <v>18075000</v>
      </c>
      <c r="AJ28" s="224">
        <v>4.0500000000000001E-2</v>
      </c>
      <c r="AK28" s="208">
        <f t="shared" si="9"/>
        <v>2033.4375</v>
      </c>
      <c r="AL28" s="223"/>
      <c r="AM28" s="224"/>
      <c r="AN28" s="208">
        <f t="shared" si="10"/>
        <v>0</v>
      </c>
      <c r="AO28" s="223"/>
      <c r="AP28" s="224"/>
      <c r="AQ28" s="208">
        <f t="shared" si="11"/>
        <v>0</v>
      </c>
      <c r="AR28" s="223"/>
      <c r="AS28" s="224"/>
      <c r="AT28" s="208">
        <f t="shared" si="12"/>
        <v>0</v>
      </c>
      <c r="AW28" s="208">
        <f t="shared" si="13"/>
        <v>0</v>
      </c>
      <c r="AZ28" s="208">
        <f t="shared" si="14"/>
        <v>0</v>
      </c>
      <c r="BC28" s="208">
        <f t="shared" si="15"/>
        <v>0</v>
      </c>
      <c r="BF28" s="208">
        <f t="shared" si="16"/>
        <v>0</v>
      </c>
      <c r="BI28" s="208">
        <f t="shared" si="17"/>
        <v>0</v>
      </c>
      <c r="BL28" s="208">
        <f t="shared" si="18"/>
        <v>0</v>
      </c>
      <c r="BO28" s="208">
        <f t="shared" si="19"/>
        <v>0</v>
      </c>
      <c r="BR28" s="208">
        <f t="shared" si="20"/>
        <v>0</v>
      </c>
      <c r="BU28" s="208">
        <f t="shared" si="21"/>
        <v>0</v>
      </c>
      <c r="BX28" s="208">
        <f t="shared" si="22"/>
        <v>0</v>
      </c>
      <c r="CA28" s="208">
        <f t="shared" si="23"/>
        <v>0</v>
      </c>
      <c r="CD28" s="208">
        <f t="shared" si="24"/>
        <v>0</v>
      </c>
      <c r="CG28" s="208">
        <f t="shared" si="25"/>
        <v>0</v>
      </c>
      <c r="CJ28" s="208">
        <f t="shared" si="26"/>
        <v>0</v>
      </c>
      <c r="CM28" s="208">
        <f t="shared" si="27"/>
        <v>0</v>
      </c>
      <c r="CP28" s="208">
        <f t="shared" si="28"/>
        <v>0</v>
      </c>
      <c r="CS28" s="208">
        <f t="shared" si="29"/>
        <v>0</v>
      </c>
      <c r="CV28" s="208">
        <f t="shared" si="30"/>
        <v>0</v>
      </c>
      <c r="CY28" s="208">
        <f t="shared" si="31"/>
        <v>0</v>
      </c>
      <c r="DB28" s="208">
        <f t="shared" si="32"/>
        <v>0</v>
      </c>
      <c r="DE28" s="208">
        <f t="shared" si="33"/>
        <v>0</v>
      </c>
      <c r="DH28" s="208">
        <f t="shared" si="34"/>
        <v>0</v>
      </c>
      <c r="DK28" s="208">
        <f t="shared" si="35"/>
        <v>0</v>
      </c>
      <c r="DN28" s="208">
        <f t="shared" si="36"/>
        <v>0</v>
      </c>
      <c r="DQ28" s="208">
        <f t="shared" si="37"/>
        <v>0</v>
      </c>
      <c r="DT28" s="208">
        <f t="shared" si="38"/>
        <v>0</v>
      </c>
      <c r="DW28" s="208">
        <f t="shared" si="39"/>
        <v>0</v>
      </c>
      <c r="DZ28" s="208"/>
      <c r="EA28" s="208"/>
      <c r="EB28" s="228">
        <f t="shared" si="40"/>
        <v>252825000</v>
      </c>
      <c r="EC28" s="228">
        <f t="shared" si="41"/>
        <v>234750000</v>
      </c>
      <c r="ED28" s="208">
        <f t="shared" si="42"/>
        <v>27587.122666666663</v>
      </c>
      <c r="EE28" s="209">
        <f t="shared" si="43"/>
        <v>3.9281574844259856E-2</v>
      </c>
      <c r="EG28" s="228">
        <f t="shared" si="44"/>
        <v>0</v>
      </c>
      <c r="EH28" s="208">
        <f t="shared" si="45"/>
        <v>0</v>
      </c>
      <c r="EI28" s="209">
        <f t="shared" si="46"/>
        <v>0</v>
      </c>
      <c r="EJ28" s="209"/>
      <c r="EK28" s="228">
        <f t="shared" si="47"/>
        <v>18075000</v>
      </c>
      <c r="EL28" s="228">
        <f t="shared" si="48"/>
        <v>0</v>
      </c>
      <c r="EM28" s="228">
        <f t="shared" si="49"/>
        <v>2033.4375</v>
      </c>
      <c r="EN28" s="209">
        <f t="shared" si="50"/>
        <v>4.0500000000000001E-2</v>
      </c>
      <c r="EP28" s="208"/>
    </row>
    <row r="29" spans="1:146" x14ac:dyDescent="0.25">
      <c r="A29" s="222">
        <f t="shared" si="51"/>
        <v>45980</v>
      </c>
      <c r="B29" s="208">
        <v>245050000</v>
      </c>
      <c r="C29" s="209">
        <v>3.8620420000000003E-2</v>
      </c>
      <c r="D29" s="208">
        <f t="shared" si="0"/>
        <v>26288.70533611111</v>
      </c>
      <c r="G29" s="208">
        <f t="shared" si="1"/>
        <v>0</v>
      </c>
      <c r="J29" s="208">
        <f t="shared" si="2"/>
        <v>0</v>
      </c>
      <c r="M29" s="208">
        <f t="shared" si="3"/>
        <v>0</v>
      </c>
      <c r="P29" s="208">
        <f t="shared" si="4"/>
        <v>0</v>
      </c>
      <c r="S29" s="208">
        <f t="shared" si="5"/>
        <v>0</v>
      </c>
      <c r="V29" s="208">
        <f t="shared" si="6"/>
        <v>0</v>
      </c>
      <c r="Y29" s="208">
        <f t="shared" si="7"/>
        <v>0</v>
      </c>
      <c r="AB29" s="208">
        <f t="shared" si="8"/>
        <v>0</v>
      </c>
      <c r="AE29" s="208">
        <v>0</v>
      </c>
      <c r="AH29" s="208">
        <v>0</v>
      </c>
      <c r="AI29" s="223">
        <f>150000</f>
        <v>150000</v>
      </c>
      <c r="AJ29" s="224">
        <v>4.0500000000000001E-2</v>
      </c>
      <c r="AK29" s="208">
        <f t="shared" si="9"/>
        <v>16.875</v>
      </c>
      <c r="AL29" s="223"/>
      <c r="AM29" s="224"/>
      <c r="AN29" s="208">
        <f t="shared" si="10"/>
        <v>0</v>
      </c>
      <c r="AO29" s="223"/>
      <c r="AP29" s="224"/>
      <c r="AQ29" s="208">
        <f t="shared" si="11"/>
        <v>0</v>
      </c>
      <c r="AR29" s="223"/>
      <c r="AS29" s="224"/>
      <c r="AT29" s="208">
        <f t="shared" si="12"/>
        <v>0</v>
      </c>
      <c r="AW29" s="208">
        <f t="shared" si="13"/>
        <v>0</v>
      </c>
      <c r="AZ29" s="208">
        <f t="shared" si="14"/>
        <v>0</v>
      </c>
      <c r="BC29" s="208">
        <f t="shared" si="15"/>
        <v>0</v>
      </c>
      <c r="BF29" s="208">
        <f t="shared" si="16"/>
        <v>0</v>
      </c>
      <c r="BI29" s="208">
        <f t="shared" si="17"/>
        <v>0</v>
      </c>
      <c r="BL29" s="208">
        <f t="shared" si="18"/>
        <v>0</v>
      </c>
      <c r="BO29" s="208">
        <f t="shared" si="19"/>
        <v>0</v>
      </c>
      <c r="BR29" s="208">
        <f t="shared" si="20"/>
        <v>0</v>
      </c>
      <c r="BU29" s="208">
        <f t="shared" si="21"/>
        <v>0</v>
      </c>
      <c r="BX29" s="208">
        <f t="shared" si="22"/>
        <v>0</v>
      </c>
      <c r="CA29" s="208">
        <f t="shared" si="23"/>
        <v>0</v>
      </c>
      <c r="CD29" s="208">
        <f t="shared" si="24"/>
        <v>0</v>
      </c>
      <c r="CG29" s="208">
        <f t="shared" si="25"/>
        <v>0</v>
      </c>
      <c r="CJ29" s="208">
        <f t="shared" si="26"/>
        <v>0</v>
      </c>
      <c r="CM29" s="208">
        <f t="shared" si="27"/>
        <v>0</v>
      </c>
      <c r="CP29" s="208">
        <f t="shared" si="28"/>
        <v>0</v>
      </c>
      <c r="CS29" s="208">
        <f t="shared" si="29"/>
        <v>0</v>
      </c>
      <c r="CV29" s="208">
        <f t="shared" si="30"/>
        <v>0</v>
      </c>
      <c r="CY29" s="208">
        <f t="shared" si="31"/>
        <v>0</v>
      </c>
      <c r="DB29" s="208">
        <f t="shared" si="32"/>
        <v>0</v>
      </c>
      <c r="DE29" s="208">
        <f t="shared" si="33"/>
        <v>0</v>
      </c>
      <c r="DH29" s="208">
        <f t="shared" si="34"/>
        <v>0</v>
      </c>
      <c r="DK29" s="208">
        <f t="shared" si="35"/>
        <v>0</v>
      </c>
      <c r="DN29" s="208">
        <f t="shared" si="36"/>
        <v>0</v>
      </c>
      <c r="DQ29" s="208">
        <f t="shared" si="37"/>
        <v>0</v>
      </c>
      <c r="DT29" s="208">
        <f t="shared" si="38"/>
        <v>0</v>
      </c>
      <c r="DW29" s="208">
        <f t="shared" si="39"/>
        <v>0</v>
      </c>
      <c r="DZ29" s="208"/>
      <c r="EA29" s="208"/>
      <c r="EB29" s="228">
        <f t="shared" si="40"/>
        <v>245200000</v>
      </c>
      <c r="EC29" s="228">
        <f t="shared" si="41"/>
        <v>245050000</v>
      </c>
      <c r="ED29" s="208">
        <f t="shared" si="42"/>
        <v>26305.58033611111</v>
      </c>
      <c r="EE29" s="209">
        <f t="shared" si="43"/>
        <v>3.8621569824632954E-2</v>
      </c>
      <c r="EG29" s="228">
        <f t="shared" si="44"/>
        <v>0</v>
      </c>
      <c r="EH29" s="208">
        <f t="shared" si="45"/>
        <v>0</v>
      </c>
      <c r="EI29" s="209">
        <f t="shared" si="46"/>
        <v>0</v>
      </c>
      <c r="EJ29" s="209"/>
      <c r="EK29" s="228">
        <f t="shared" si="47"/>
        <v>150000</v>
      </c>
      <c r="EL29" s="228">
        <f t="shared" si="48"/>
        <v>0</v>
      </c>
      <c r="EM29" s="228">
        <f t="shared" si="49"/>
        <v>16.875</v>
      </c>
      <c r="EN29" s="209">
        <f t="shared" si="50"/>
        <v>4.0500000000000001E-2</v>
      </c>
      <c r="EP29" s="208"/>
    </row>
    <row r="30" spans="1:146" x14ac:dyDescent="0.25">
      <c r="A30" s="222">
        <f t="shared" si="51"/>
        <v>45981</v>
      </c>
      <c r="B30" s="208">
        <v>221300000</v>
      </c>
      <c r="C30" s="209">
        <v>3.9006940000000004E-2</v>
      </c>
      <c r="D30" s="208">
        <f t="shared" si="0"/>
        <v>23978.43283888889</v>
      </c>
      <c r="G30" s="208">
        <f t="shared" si="1"/>
        <v>0</v>
      </c>
      <c r="J30" s="208">
        <f t="shared" si="2"/>
        <v>0</v>
      </c>
      <c r="M30" s="208">
        <f t="shared" si="3"/>
        <v>0</v>
      </c>
      <c r="P30" s="208">
        <f t="shared" si="4"/>
        <v>0</v>
      </c>
      <c r="S30" s="208">
        <f t="shared" si="5"/>
        <v>0</v>
      </c>
      <c r="V30" s="208">
        <f t="shared" si="6"/>
        <v>0</v>
      </c>
      <c r="Y30" s="208">
        <f t="shared" si="7"/>
        <v>0</v>
      </c>
      <c r="AB30" s="208">
        <f t="shared" si="8"/>
        <v>0</v>
      </c>
      <c r="AE30" s="208">
        <v>0</v>
      </c>
      <c r="AH30" s="208">
        <v>0</v>
      </c>
      <c r="AI30" s="223">
        <f>24025000</f>
        <v>24025000</v>
      </c>
      <c r="AJ30" s="224">
        <v>4.0500000000000001E-2</v>
      </c>
      <c r="AK30" s="208">
        <f t="shared" si="9"/>
        <v>2702.8125</v>
      </c>
      <c r="AL30" s="223"/>
      <c r="AM30" s="224"/>
      <c r="AN30" s="208">
        <f t="shared" si="10"/>
        <v>0</v>
      </c>
      <c r="AO30" s="223"/>
      <c r="AP30" s="224"/>
      <c r="AQ30" s="208">
        <f t="shared" si="11"/>
        <v>0</v>
      </c>
      <c r="AR30" s="223"/>
      <c r="AS30" s="224"/>
      <c r="AT30" s="208">
        <f t="shared" si="12"/>
        <v>0</v>
      </c>
      <c r="AW30" s="208">
        <f t="shared" si="13"/>
        <v>0</v>
      </c>
      <c r="AZ30" s="208">
        <f t="shared" si="14"/>
        <v>0</v>
      </c>
      <c r="BC30" s="208">
        <f t="shared" si="15"/>
        <v>0</v>
      </c>
      <c r="BF30" s="208">
        <f t="shared" si="16"/>
        <v>0</v>
      </c>
      <c r="BI30" s="208">
        <f t="shared" si="17"/>
        <v>0</v>
      </c>
      <c r="BL30" s="208">
        <f t="shared" si="18"/>
        <v>0</v>
      </c>
      <c r="BO30" s="208">
        <f t="shared" si="19"/>
        <v>0</v>
      </c>
      <c r="BR30" s="208">
        <f t="shared" si="20"/>
        <v>0</v>
      </c>
      <c r="BU30" s="208">
        <f t="shared" si="21"/>
        <v>0</v>
      </c>
      <c r="BX30" s="208">
        <f t="shared" si="22"/>
        <v>0</v>
      </c>
      <c r="CA30" s="208">
        <f t="shared" si="23"/>
        <v>0</v>
      </c>
      <c r="CD30" s="208">
        <f t="shared" si="24"/>
        <v>0</v>
      </c>
      <c r="CG30" s="208">
        <f t="shared" si="25"/>
        <v>0</v>
      </c>
      <c r="CJ30" s="208">
        <f t="shared" si="26"/>
        <v>0</v>
      </c>
      <c r="CM30" s="208">
        <f t="shared" si="27"/>
        <v>0</v>
      </c>
      <c r="CP30" s="208">
        <f t="shared" si="28"/>
        <v>0</v>
      </c>
      <c r="CS30" s="208">
        <f t="shared" si="29"/>
        <v>0</v>
      </c>
      <c r="CV30" s="208">
        <f t="shared" si="30"/>
        <v>0</v>
      </c>
      <c r="CY30" s="208">
        <f t="shared" si="31"/>
        <v>0</v>
      </c>
      <c r="DB30" s="208">
        <f t="shared" si="32"/>
        <v>0</v>
      </c>
      <c r="DE30" s="208">
        <f t="shared" si="33"/>
        <v>0</v>
      </c>
      <c r="DH30" s="208">
        <f t="shared" si="34"/>
        <v>0</v>
      </c>
      <c r="DK30" s="208">
        <f t="shared" si="35"/>
        <v>0</v>
      </c>
      <c r="DN30" s="208">
        <f t="shared" si="36"/>
        <v>0</v>
      </c>
      <c r="DQ30" s="208">
        <f t="shared" si="37"/>
        <v>0</v>
      </c>
      <c r="DT30" s="208">
        <f t="shared" si="38"/>
        <v>0</v>
      </c>
      <c r="DW30" s="208">
        <f t="shared" si="39"/>
        <v>0</v>
      </c>
      <c r="DZ30" s="208"/>
      <c r="EA30" s="208"/>
      <c r="EB30" s="228">
        <f t="shared" si="40"/>
        <v>245325000</v>
      </c>
      <c r="EC30" s="228">
        <f t="shared" si="41"/>
        <v>221300000</v>
      </c>
      <c r="ED30" s="208">
        <f t="shared" si="42"/>
        <v>26681.24533888889</v>
      </c>
      <c r="EE30" s="209">
        <f t="shared" si="43"/>
        <v>3.9153157330072352E-2</v>
      </c>
      <c r="EG30" s="228">
        <f t="shared" si="44"/>
        <v>0</v>
      </c>
      <c r="EH30" s="208">
        <f t="shared" si="45"/>
        <v>0</v>
      </c>
      <c r="EI30" s="209">
        <f t="shared" si="46"/>
        <v>0</v>
      </c>
      <c r="EJ30" s="209"/>
      <c r="EK30" s="228">
        <f t="shared" si="47"/>
        <v>24025000</v>
      </c>
      <c r="EL30" s="228">
        <f t="shared" si="48"/>
        <v>0</v>
      </c>
      <c r="EM30" s="228">
        <f t="shared" si="49"/>
        <v>2702.8125</v>
      </c>
      <c r="EN30" s="209">
        <f t="shared" si="50"/>
        <v>4.0500000000000001E-2</v>
      </c>
      <c r="EP30" s="208"/>
    </row>
    <row r="31" spans="1:146" x14ac:dyDescent="0.25">
      <c r="A31" s="222">
        <f t="shared" si="51"/>
        <v>45982</v>
      </c>
      <c r="B31" s="208">
        <v>212500000</v>
      </c>
      <c r="C31" s="209">
        <v>3.8826220000000002E-2</v>
      </c>
      <c r="D31" s="208">
        <f t="shared" si="0"/>
        <v>22918.254861111112</v>
      </c>
      <c r="G31" s="208">
        <f t="shared" si="1"/>
        <v>0</v>
      </c>
      <c r="J31" s="208">
        <f t="shared" si="2"/>
        <v>0</v>
      </c>
      <c r="M31" s="208">
        <f t="shared" si="3"/>
        <v>0</v>
      </c>
      <c r="P31" s="208">
        <f t="shared" si="4"/>
        <v>0</v>
      </c>
      <c r="S31" s="208">
        <f t="shared" si="5"/>
        <v>0</v>
      </c>
      <c r="V31" s="208">
        <f t="shared" si="6"/>
        <v>0</v>
      </c>
      <c r="Y31" s="208">
        <f t="shared" si="7"/>
        <v>0</v>
      </c>
      <c r="AB31" s="208">
        <f t="shared" si="8"/>
        <v>0</v>
      </c>
      <c r="AE31" s="208">
        <v>0</v>
      </c>
      <c r="AH31" s="208">
        <v>0</v>
      </c>
      <c r="AI31" s="223">
        <f>44600000</f>
        <v>44600000</v>
      </c>
      <c r="AJ31" s="224">
        <v>4.0500000000000001E-2</v>
      </c>
      <c r="AK31" s="208">
        <f t="shared" si="9"/>
        <v>5017.5</v>
      </c>
      <c r="AL31" s="223"/>
      <c r="AM31" s="224"/>
      <c r="AN31" s="208">
        <f t="shared" si="10"/>
        <v>0</v>
      </c>
      <c r="AO31" s="223"/>
      <c r="AP31" s="224"/>
      <c r="AQ31" s="208">
        <f t="shared" si="11"/>
        <v>0</v>
      </c>
      <c r="AR31" s="223"/>
      <c r="AS31" s="224"/>
      <c r="AT31" s="208">
        <f t="shared" si="12"/>
        <v>0</v>
      </c>
      <c r="AW31" s="208">
        <f t="shared" si="13"/>
        <v>0</v>
      </c>
      <c r="AZ31" s="208">
        <f t="shared" si="14"/>
        <v>0</v>
      </c>
      <c r="BC31" s="208">
        <f t="shared" si="15"/>
        <v>0</v>
      </c>
      <c r="BF31" s="208">
        <f t="shared" si="16"/>
        <v>0</v>
      </c>
      <c r="BI31" s="208">
        <f t="shared" si="17"/>
        <v>0</v>
      </c>
      <c r="BL31" s="208">
        <f t="shared" si="18"/>
        <v>0</v>
      </c>
      <c r="BO31" s="208">
        <f t="shared" si="19"/>
        <v>0</v>
      </c>
      <c r="BR31" s="208">
        <f t="shared" si="20"/>
        <v>0</v>
      </c>
      <c r="BU31" s="208">
        <f t="shared" si="21"/>
        <v>0</v>
      </c>
      <c r="BX31" s="208">
        <f t="shared" si="22"/>
        <v>0</v>
      </c>
      <c r="CA31" s="208">
        <f t="shared" si="23"/>
        <v>0</v>
      </c>
      <c r="CD31" s="208">
        <f t="shared" si="24"/>
        <v>0</v>
      </c>
      <c r="CG31" s="208">
        <f t="shared" si="25"/>
        <v>0</v>
      </c>
      <c r="CJ31" s="208">
        <f t="shared" si="26"/>
        <v>0</v>
      </c>
      <c r="CM31" s="208">
        <f t="shared" si="27"/>
        <v>0</v>
      </c>
      <c r="CP31" s="208">
        <f t="shared" si="28"/>
        <v>0</v>
      </c>
      <c r="CS31" s="208">
        <f t="shared" si="29"/>
        <v>0</v>
      </c>
      <c r="CV31" s="208">
        <f t="shared" si="30"/>
        <v>0</v>
      </c>
      <c r="CY31" s="208">
        <f t="shared" si="31"/>
        <v>0</v>
      </c>
      <c r="DB31" s="208">
        <f t="shared" si="32"/>
        <v>0</v>
      </c>
      <c r="DE31" s="208">
        <f t="shared" si="33"/>
        <v>0</v>
      </c>
      <c r="DH31" s="208">
        <f t="shared" si="34"/>
        <v>0</v>
      </c>
      <c r="DK31" s="208">
        <f t="shared" si="35"/>
        <v>0</v>
      </c>
      <c r="DN31" s="208">
        <f t="shared" si="36"/>
        <v>0</v>
      </c>
      <c r="DQ31" s="208">
        <f t="shared" si="37"/>
        <v>0</v>
      </c>
      <c r="DT31" s="208">
        <f t="shared" si="38"/>
        <v>0</v>
      </c>
      <c r="DW31" s="208">
        <f t="shared" si="39"/>
        <v>0</v>
      </c>
      <c r="DZ31" s="208"/>
      <c r="EA31" s="208"/>
      <c r="EB31" s="228">
        <f t="shared" si="40"/>
        <v>257100000</v>
      </c>
      <c r="EC31" s="228">
        <f t="shared" si="41"/>
        <v>212500000</v>
      </c>
      <c r="ED31" s="208">
        <f t="shared" si="42"/>
        <v>27935.754861111112</v>
      </c>
      <c r="EE31" s="209">
        <f t="shared" si="43"/>
        <v>3.9116576234928049E-2</v>
      </c>
      <c r="EG31" s="228">
        <f t="shared" si="44"/>
        <v>0</v>
      </c>
      <c r="EH31" s="208">
        <f t="shared" si="45"/>
        <v>0</v>
      </c>
      <c r="EI31" s="209">
        <f t="shared" si="46"/>
        <v>0</v>
      </c>
      <c r="EJ31" s="209"/>
      <c r="EK31" s="228">
        <f t="shared" si="47"/>
        <v>44600000</v>
      </c>
      <c r="EL31" s="228">
        <f t="shared" si="48"/>
        <v>0</v>
      </c>
      <c r="EM31" s="228">
        <f t="shared" si="49"/>
        <v>5017.5</v>
      </c>
      <c r="EN31" s="209">
        <f t="shared" si="50"/>
        <v>4.0500000000000001E-2</v>
      </c>
      <c r="EP31" s="208"/>
    </row>
    <row r="32" spans="1:146" x14ac:dyDescent="0.25">
      <c r="A32" s="222">
        <f t="shared" si="51"/>
        <v>45983</v>
      </c>
      <c r="B32" s="208">
        <v>212500000</v>
      </c>
      <c r="C32" s="209">
        <v>3.8826220000000002E-2</v>
      </c>
      <c r="D32" s="208">
        <f t="shared" si="0"/>
        <v>22918.254861111112</v>
      </c>
      <c r="G32" s="208">
        <f t="shared" si="1"/>
        <v>0</v>
      </c>
      <c r="J32" s="208">
        <f t="shared" si="2"/>
        <v>0</v>
      </c>
      <c r="M32" s="208">
        <f t="shared" si="3"/>
        <v>0</v>
      </c>
      <c r="P32" s="208">
        <f t="shared" si="4"/>
        <v>0</v>
      </c>
      <c r="S32" s="208">
        <f t="shared" si="5"/>
        <v>0</v>
      </c>
      <c r="V32" s="208">
        <f t="shared" si="6"/>
        <v>0</v>
      </c>
      <c r="Y32" s="208">
        <f t="shared" si="7"/>
        <v>0</v>
      </c>
      <c r="AB32" s="208">
        <f t="shared" si="8"/>
        <v>0</v>
      </c>
      <c r="AE32" s="208">
        <v>0</v>
      </c>
      <c r="AH32" s="208">
        <v>0</v>
      </c>
      <c r="AI32" s="223">
        <f>44600000</f>
        <v>44600000</v>
      </c>
      <c r="AJ32" s="224">
        <v>4.0500000000000001E-2</v>
      </c>
      <c r="AK32" s="208">
        <f t="shared" si="9"/>
        <v>5017.5</v>
      </c>
      <c r="AL32" s="223"/>
      <c r="AM32" s="224"/>
      <c r="AN32" s="208">
        <f t="shared" si="10"/>
        <v>0</v>
      </c>
      <c r="AO32" s="223"/>
      <c r="AP32" s="224"/>
      <c r="AQ32" s="208">
        <f t="shared" si="11"/>
        <v>0</v>
      </c>
      <c r="AR32" s="223"/>
      <c r="AS32" s="224"/>
      <c r="AT32" s="208">
        <f t="shared" si="12"/>
        <v>0</v>
      </c>
      <c r="AW32" s="208">
        <f t="shared" si="13"/>
        <v>0</v>
      </c>
      <c r="AZ32" s="208">
        <f t="shared" si="14"/>
        <v>0</v>
      </c>
      <c r="BC32" s="208">
        <f t="shared" si="15"/>
        <v>0</v>
      </c>
      <c r="BF32" s="208">
        <f t="shared" si="16"/>
        <v>0</v>
      </c>
      <c r="BI32" s="208">
        <f t="shared" si="17"/>
        <v>0</v>
      </c>
      <c r="BL32" s="208">
        <f t="shared" si="18"/>
        <v>0</v>
      </c>
      <c r="BO32" s="208">
        <f t="shared" si="19"/>
        <v>0</v>
      </c>
      <c r="BR32" s="208">
        <f t="shared" si="20"/>
        <v>0</v>
      </c>
      <c r="BU32" s="208">
        <f t="shared" si="21"/>
        <v>0</v>
      </c>
      <c r="BX32" s="208">
        <f t="shared" si="22"/>
        <v>0</v>
      </c>
      <c r="CA32" s="208">
        <f t="shared" si="23"/>
        <v>0</v>
      </c>
      <c r="CD32" s="208">
        <f t="shared" si="24"/>
        <v>0</v>
      </c>
      <c r="CG32" s="208">
        <f t="shared" si="25"/>
        <v>0</v>
      </c>
      <c r="CJ32" s="208">
        <f t="shared" si="26"/>
        <v>0</v>
      </c>
      <c r="CM32" s="208">
        <f t="shared" si="27"/>
        <v>0</v>
      </c>
      <c r="CP32" s="208">
        <f t="shared" si="28"/>
        <v>0</v>
      </c>
      <c r="CS32" s="208">
        <f t="shared" si="29"/>
        <v>0</v>
      </c>
      <c r="CV32" s="208">
        <f t="shared" si="30"/>
        <v>0</v>
      </c>
      <c r="CY32" s="208">
        <f t="shared" si="31"/>
        <v>0</v>
      </c>
      <c r="DB32" s="208">
        <f t="shared" si="32"/>
        <v>0</v>
      </c>
      <c r="DE32" s="208">
        <f t="shared" si="33"/>
        <v>0</v>
      </c>
      <c r="DH32" s="208">
        <f t="shared" si="34"/>
        <v>0</v>
      </c>
      <c r="DK32" s="208">
        <f t="shared" si="35"/>
        <v>0</v>
      </c>
      <c r="DN32" s="208">
        <f t="shared" si="36"/>
        <v>0</v>
      </c>
      <c r="DQ32" s="208">
        <f t="shared" si="37"/>
        <v>0</v>
      </c>
      <c r="DT32" s="208">
        <f t="shared" si="38"/>
        <v>0</v>
      </c>
      <c r="DW32" s="208">
        <f t="shared" si="39"/>
        <v>0</v>
      </c>
      <c r="DZ32" s="208"/>
      <c r="EA32" s="208"/>
      <c r="EB32" s="228">
        <f t="shared" si="40"/>
        <v>257100000</v>
      </c>
      <c r="EC32" s="228">
        <f t="shared" si="41"/>
        <v>212500000</v>
      </c>
      <c r="ED32" s="208">
        <f t="shared" si="42"/>
        <v>27935.754861111112</v>
      </c>
      <c r="EE32" s="209">
        <f t="shared" si="43"/>
        <v>3.9116576234928049E-2</v>
      </c>
      <c r="EG32" s="228">
        <f t="shared" si="44"/>
        <v>0</v>
      </c>
      <c r="EH32" s="208">
        <f t="shared" si="45"/>
        <v>0</v>
      </c>
      <c r="EI32" s="209">
        <f t="shared" si="46"/>
        <v>0</v>
      </c>
      <c r="EJ32" s="209"/>
      <c r="EK32" s="228">
        <f t="shared" si="47"/>
        <v>44600000</v>
      </c>
      <c r="EL32" s="228">
        <f t="shared" si="48"/>
        <v>0</v>
      </c>
      <c r="EM32" s="228">
        <f t="shared" si="49"/>
        <v>5017.5</v>
      </c>
      <c r="EN32" s="209">
        <f t="shared" si="50"/>
        <v>4.0500000000000001E-2</v>
      </c>
      <c r="EP32" s="208"/>
    </row>
    <row r="33" spans="1:146" x14ac:dyDescent="0.25">
      <c r="A33" s="222">
        <f t="shared" si="51"/>
        <v>45984</v>
      </c>
      <c r="B33" s="208">
        <v>212500000</v>
      </c>
      <c r="C33" s="209">
        <v>3.8826220000000002E-2</v>
      </c>
      <c r="D33" s="208">
        <f t="shared" si="0"/>
        <v>22918.254861111112</v>
      </c>
      <c r="G33" s="208">
        <f t="shared" si="1"/>
        <v>0</v>
      </c>
      <c r="J33" s="208">
        <f t="shared" si="2"/>
        <v>0</v>
      </c>
      <c r="M33" s="208">
        <f t="shared" si="3"/>
        <v>0</v>
      </c>
      <c r="P33" s="208">
        <f t="shared" si="4"/>
        <v>0</v>
      </c>
      <c r="S33" s="208">
        <f t="shared" si="5"/>
        <v>0</v>
      </c>
      <c r="V33" s="208">
        <f t="shared" si="6"/>
        <v>0</v>
      </c>
      <c r="Y33" s="208">
        <f t="shared" si="7"/>
        <v>0</v>
      </c>
      <c r="AB33" s="208">
        <f t="shared" si="8"/>
        <v>0</v>
      </c>
      <c r="AE33" s="208">
        <v>0</v>
      </c>
      <c r="AH33" s="208">
        <v>0</v>
      </c>
      <c r="AI33" s="223">
        <f>44600000</f>
        <v>44600000</v>
      </c>
      <c r="AJ33" s="224">
        <v>4.0500000000000001E-2</v>
      </c>
      <c r="AK33" s="208">
        <f t="shared" si="9"/>
        <v>5017.5</v>
      </c>
      <c r="AL33" s="223"/>
      <c r="AM33" s="224"/>
      <c r="AN33" s="208">
        <f t="shared" si="10"/>
        <v>0</v>
      </c>
      <c r="AO33" s="223"/>
      <c r="AP33" s="224"/>
      <c r="AQ33" s="208">
        <f t="shared" si="11"/>
        <v>0</v>
      </c>
      <c r="AR33" s="223"/>
      <c r="AS33" s="224"/>
      <c r="AT33" s="208">
        <f t="shared" si="12"/>
        <v>0</v>
      </c>
      <c r="AW33" s="208">
        <f t="shared" si="13"/>
        <v>0</v>
      </c>
      <c r="AZ33" s="208">
        <f t="shared" si="14"/>
        <v>0</v>
      </c>
      <c r="BC33" s="208">
        <f t="shared" si="15"/>
        <v>0</v>
      </c>
      <c r="BF33" s="208">
        <f t="shared" si="16"/>
        <v>0</v>
      </c>
      <c r="BI33" s="208">
        <f t="shared" si="17"/>
        <v>0</v>
      </c>
      <c r="BL33" s="208">
        <f t="shared" si="18"/>
        <v>0</v>
      </c>
      <c r="BO33" s="208">
        <f t="shared" si="19"/>
        <v>0</v>
      </c>
      <c r="BR33" s="208">
        <f t="shared" si="20"/>
        <v>0</v>
      </c>
      <c r="BU33" s="208">
        <f t="shared" si="21"/>
        <v>0</v>
      </c>
      <c r="BX33" s="208">
        <f t="shared" si="22"/>
        <v>0</v>
      </c>
      <c r="CA33" s="208">
        <f t="shared" si="23"/>
        <v>0</v>
      </c>
      <c r="CD33" s="208">
        <f t="shared" si="24"/>
        <v>0</v>
      </c>
      <c r="CG33" s="208">
        <f t="shared" si="25"/>
        <v>0</v>
      </c>
      <c r="CJ33" s="208">
        <f t="shared" si="26"/>
        <v>0</v>
      </c>
      <c r="CM33" s="208">
        <f t="shared" si="27"/>
        <v>0</v>
      </c>
      <c r="CP33" s="208">
        <f t="shared" si="28"/>
        <v>0</v>
      </c>
      <c r="CS33" s="208">
        <f t="shared" si="29"/>
        <v>0</v>
      </c>
      <c r="CV33" s="208">
        <f t="shared" si="30"/>
        <v>0</v>
      </c>
      <c r="CY33" s="208">
        <f t="shared" si="31"/>
        <v>0</v>
      </c>
      <c r="DB33" s="208">
        <f t="shared" si="32"/>
        <v>0</v>
      </c>
      <c r="DE33" s="208">
        <f t="shared" si="33"/>
        <v>0</v>
      </c>
      <c r="DH33" s="208">
        <f t="shared" si="34"/>
        <v>0</v>
      </c>
      <c r="DK33" s="208">
        <f t="shared" si="35"/>
        <v>0</v>
      </c>
      <c r="DN33" s="208">
        <f t="shared" si="36"/>
        <v>0</v>
      </c>
      <c r="DQ33" s="208">
        <f t="shared" si="37"/>
        <v>0</v>
      </c>
      <c r="DT33" s="208">
        <f t="shared" si="38"/>
        <v>0</v>
      </c>
      <c r="DW33" s="208">
        <f t="shared" si="39"/>
        <v>0</v>
      </c>
      <c r="DZ33" s="208"/>
      <c r="EA33" s="208"/>
      <c r="EB33" s="228">
        <f t="shared" si="40"/>
        <v>257100000</v>
      </c>
      <c r="EC33" s="228">
        <f t="shared" si="41"/>
        <v>212500000</v>
      </c>
      <c r="ED33" s="208">
        <f t="shared" si="42"/>
        <v>27935.754861111112</v>
      </c>
      <c r="EE33" s="209">
        <f t="shared" si="43"/>
        <v>3.9116576234928049E-2</v>
      </c>
      <c r="EG33" s="228">
        <f t="shared" si="44"/>
        <v>0</v>
      </c>
      <c r="EH33" s="208">
        <f t="shared" si="45"/>
        <v>0</v>
      </c>
      <c r="EI33" s="209">
        <f t="shared" si="46"/>
        <v>0</v>
      </c>
      <c r="EJ33" s="209"/>
      <c r="EK33" s="228">
        <f t="shared" si="47"/>
        <v>44600000</v>
      </c>
      <c r="EL33" s="228">
        <f t="shared" si="48"/>
        <v>0</v>
      </c>
      <c r="EM33" s="228">
        <f t="shared" si="49"/>
        <v>5017.5</v>
      </c>
      <c r="EN33" s="209">
        <f t="shared" si="50"/>
        <v>4.0500000000000001E-2</v>
      </c>
      <c r="EP33" s="208"/>
    </row>
    <row r="34" spans="1:146" x14ac:dyDescent="0.25">
      <c r="A34" s="222">
        <f t="shared" si="51"/>
        <v>45985</v>
      </c>
      <c r="B34" s="208">
        <v>202725000</v>
      </c>
      <c r="C34" s="209">
        <v>3.8818800000000001E-2</v>
      </c>
      <c r="D34" s="208">
        <f t="shared" si="0"/>
        <v>21859.836750000002</v>
      </c>
      <c r="G34" s="208">
        <f t="shared" si="1"/>
        <v>0</v>
      </c>
      <c r="J34" s="208">
        <f t="shared" si="2"/>
        <v>0</v>
      </c>
      <c r="M34" s="208">
        <f t="shared" si="3"/>
        <v>0</v>
      </c>
      <c r="P34" s="208">
        <f t="shared" si="4"/>
        <v>0</v>
      </c>
      <c r="S34" s="208">
        <f t="shared" si="5"/>
        <v>0</v>
      </c>
      <c r="V34" s="208">
        <f t="shared" si="6"/>
        <v>0</v>
      </c>
      <c r="Y34" s="208">
        <f t="shared" si="7"/>
        <v>0</v>
      </c>
      <c r="AB34" s="208">
        <f t="shared" si="8"/>
        <v>0</v>
      </c>
      <c r="AE34" s="208">
        <v>0</v>
      </c>
      <c r="AH34" s="208">
        <v>0</v>
      </c>
      <c r="AI34" s="223">
        <f>52300000</f>
        <v>52300000</v>
      </c>
      <c r="AJ34" s="224">
        <v>4.0500000000000001E-2</v>
      </c>
      <c r="AK34" s="208">
        <f t="shared" si="9"/>
        <v>5883.75</v>
      </c>
      <c r="AL34" s="223"/>
      <c r="AM34" s="224"/>
      <c r="AN34" s="208">
        <f t="shared" si="10"/>
        <v>0</v>
      </c>
      <c r="AO34" s="223"/>
      <c r="AP34" s="224"/>
      <c r="AQ34" s="208">
        <f t="shared" si="11"/>
        <v>0</v>
      </c>
      <c r="AR34" s="223"/>
      <c r="AS34" s="224"/>
      <c r="AT34" s="208">
        <f t="shared" si="12"/>
        <v>0</v>
      </c>
      <c r="AW34" s="208">
        <f t="shared" si="13"/>
        <v>0</v>
      </c>
      <c r="AZ34" s="208">
        <f t="shared" si="14"/>
        <v>0</v>
      </c>
      <c r="BC34" s="208">
        <f t="shared" si="15"/>
        <v>0</v>
      </c>
      <c r="BF34" s="208">
        <f t="shared" si="16"/>
        <v>0</v>
      </c>
      <c r="BI34" s="208">
        <f t="shared" si="17"/>
        <v>0</v>
      </c>
      <c r="BL34" s="208">
        <f t="shared" si="18"/>
        <v>0</v>
      </c>
      <c r="BO34" s="208">
        <f t="shared" si="19"/>
        <v>0</v>
      </c>
      <c r="BR34" s="208">
        <f t="shared" si="20"/>
        <v>0</v>
      </c>
      <c r="BU34" s="208">
        <f t="shared" si="21"/>
        <v>0</v>
      </c>
      <c r="BX34" s="208">
        <f t="shared" si="22"/>
        <v>0</v>
      </c>
      <c r="CA34" s="208">
        <f t="shared" si="23"/>
        <v>0</v>
      </c>
      <c r="CD34" s="208">
        <f t="shared" si="24"/>
        <v>0</v>
      </c>
      <c r="CG34" s="208">
        <f t="shared" si="25"/>
        <v>0</v>
      </c>
      <c r="CJ34" s="208">
        <f t="shared" si="26"/>
        <v>0</v>
      </c>
      <c r="CM34" s="208">
        <f t="shared" si="27"/>
        <v>0</v>
      </c>
      <c r="CP34" s="208">
        <f t="shared" si="28"/>
        <v>0</v>
      </c>
      <c r="CS34" s="208">
        <f t="shared" si="29"/>
        <v>0</v>
      </c>
      <c r="CV34" s="208">
        <f t="shared" si="30"/>
        <v>0</v>
      </c>
      <c r="CY34" s="208">
        <f t="shared" si="31"/>
        <v>0</v>
      </c>
      <c r="DB34" s="208">
        <f t="shared" si="32"/>
        <v>0</v>
      </c>
      <c r="DE34" s="208">
        <f t="shared" si="33"/>
        <v>0</v>
      </c>
      <c r="DH34" s="208">
        <f t="shared" si="34"/>
        <v>0</v>
      </c>
      <c r="DK34" s="208">
        <f t="shared" si="35"/>
        <v>0</v>
      </c>
      <c r="DN34" s="208">
        <f t="shared" si="36"/>
        <v>0</v>
      </c>
      <c r="DQ34" s="208">
        <f t="shared" si="37"/>
        <v>0</v>
      </c>
      <c r="DT34" s="208">
        <f t="shared" si="38"/>
        <v>0</v>
      </c>
      <c r="DW34" s="208">
        <f t="shared" si="39"/>
        <v>0</v>
      </c>
      <c r="DZ34" s="208"/>
      <c r="EA34" s="208"/>
      <c r="EB34" s="228">
        <f t="shared" si="40"/>
        <v>255025000</v>
      </c>
      <c r="EC34" s="228">
        <f t="shared" si="41"/>
        <v>202725000</v>
      </c>
      <c r="ED34" s="208">
        <f t="shared" si="42"/>
        <v>27743.586750000002</v>
      </c>
      <c r="EE34" s="209">
        <f t="shared" si="43"/>
        <v>3.9163577021860609E-2</v>
      </c>
      <c r="EG34" s="228">
        <f t="shared" si="44"/>
        <v>0</v>
      </c>
      <c r="EH34" s="208">
        <f t="shared" si="45"/>
        <v>0</v>
      </c>
      <c r="EI34" s="209">
        <f t="shared" si="46"/>
        <v>0</v>
      </c>
      <c r="EJ34" s="209"/>
      <c r="EK34" s="228">
        <f t="shared" si="47"/>
        <v>52300000</v>
      </c>
      <c r="EL34" s="228">
        <f t="shared" si="48"/>
        <v>0</v>
      </c>
      <c r="EM34" s="228">
        <f t="shared" si="49"/>
        <v>5883.75</v>
      </c>
      <c r="EN34" s="209">
        <f t="shared" si="50"/>
        <v>4.0500000000000001E-2</v>
      </c>
      <c r="EP34" s="208"/>
    </row>
    <row r="35" spans="1:146" x14ac:dyDescent="0.25">
      <c r="A35" s="222">
        <f t="shared" si="51"/>
        <v>45986</v>
      </c>
      <c r="B35" s="208">
        <v>208950000</v>
      </c>
      <c r="C35" s="209">
        <v>3.8913320000000001E-2</v>
      </c>
      <c r="D35" s="208">
        <f t="shared" si="0"/>
        <v>22585.939483333335</v>
      </c>
      <c r="G35" s="208">
        <f t="shared" si="1"/>
        <v>0</v>
      </c>
      <c r="J35" s="208">
        <f t="shared" si="2"/>
        <v>0</v>
      </c>
      <c r="M35" s="208">
        <f t="shared" si="3"/>
        <v>0</v>
      </c>
      <c r="P35" s="208">
        <f t="shared" si="4"/>
        <v>0</v>
      </c>
      <c r="S35" s="208">
        <f t="shared" si="5"/>
        <v>0</v>
      </c>
      <c r="V35" s="208">
        <f t="shared" si="6"/>
        <v>0</v>
      </c>
      <c r="Y35" s="208">
        <f t="shared" si="7"/>
        <v>0</v>
      </c>
      <c r="AB35" s="208">
        <f t="shared" si="8"/>
        <v>0</v>
      </c>
      <c r="AE35" s="208">
        <v>0</v>
      </c>
      <c r="AH35" s="208">
        <v>0</v>
      </c>
      <c r="AI35" s="223">
        <f>36500000</f>
        <v>36500000</v>
      </c>
      <c r="AJ35" s="224">
        <v>4.0500000000000001E-2</v>
      </c>
      <c r="AK35" s="208">
        <f t="shared" si="9"/>
        <v>4106.25</v>
      </c>
      <c r="AL35" s="223"/>
      <c r="AM35" s="224"/>
      <c r="AN35" s="208">
        <f t="shared" si="10"/>
        <v>0</v>
      </c>
      <c r="AO35" s="223"/>
      <c r="AP35" s="224"/>
      <c r="AQ35" s="208">
        <f t="shared" si="11"/>
        <v>0</v>
      </c>
      <c r="AR35" s="223"/>
      <c r="AS35" s="224"/>
      <c r="AT35" s="208">
        <f t="shared" si="12"/>
        <v>0</v>
      </c>
      <c r="AW35" s="208">
        <f t="shared" si="13"/>
        <v>0</v>
      </c>
      <c r="AZ35" s="208">
        <f t="shared" si="14"/>
        <v>0</v>
      </c>
      <c r="BC35" s="208">
        <f t="shared" si="15"/>
        <v>0</v>
      </c>
      <c r="BF35" s="208">
        <f t="shared" si="16"/>
        <v>0</v>
      </c>
      <c r="BI35" s="208">
        <f t="shared" si="17"/>
        <v>0</v>
      </c>
      <c r="BL35" s="208">
        <f t="shared" si="18"/>
        <v>0</v>
      </c>
      <c r="BO35" s="208">
        <f t="shared" si="19"/>
        <v>0</v>
      </c>
      <c r="BR35" s="208">
        <f t="shared" si="20"/>
        <v>0</v>
      </c>
      <c r="BU35" s="208">
        <f t="shared" si="21"/>
        <v>0</v>
      </c>
      <c r="BX35" s="208">
        <f t="shared" si="22"/>
        <v>0</v>
      </c>
      <c r="CA35" s="208">
        <f t="shared" si="23"/>
        <v>0</v>
      </c>
      <c r="CD35" s="208">
        <f t="shared" si="24"/>
        <v>0</v>
      </c>
      <c r="CG35" s="208">
        <f t="shared" si="25"/>
        <v>0</v>
      </c>
      <c r="CJ35" s="208">
        <f t="shared" si="26"/>
        <v>0</v>
      </c>
      <c r="CM35" s="208">
        <f t="shared" si="27"/>
        <v>0</v>
      </c>
      <c r="CP35" s="208">
        <f t="shared" si="28"/>
        <v>0</v>
      </c>
      <c r="CS35" s="208">
        <f t="shared" si="29"/>
        <v>0</v>
      </c>
      <c r="CV35" s="208">
        <f t="shared" si="30"/>
        <v>0</v>
      </c>
      <c r="CY35" s="208">
        <f t="shared" si="31"/>
        <v>0</v>
      </c>
      <c r="DB35" s="208">
        <f t="shared" si="32"/>
        <v>0</v>
      </c>
      <c r="DE35" s="208">
        <f t="shared" si="33"/>
        <v>0</v>
      </c>
      <c r="DH35" s="208">
        <f t="shared" si="34"/>
        <v>0</v>
      </c>
      <c r="DK35" s="208">
        <f t="shared" si="35"/>
        <v>0</v>
      </c>
      <c r="DN35" s="208">
        <f t="shared" si="36"/>
        <v>0</v>
      </c>
      <c r="DQ35" s="208">
        <f t="shared" si="37"/>
        <v>0</v>
      </c>
      <c r="DT35" s="208">
        <f t="shared" si="38"/>
        <v>0</v>
      </c>
      <c r="DW35" s="208">
        <f t="shared" si="39"/>
        <v>0</v>
      </c>
      <c r="DZ35" s="208"/>
      <c r="EA35" s="208"/>
      <c r="EB35" s="228">
        <f t="shared" si="40"/>
        <v>245450000</v>
      </c>
      <c r="EC35" s="228">
        <f t="shared" si="41"/>
        <v>208950000</v>
      </c>
      <c r="ED35" s="208">
        <f t="shared" si="42"/>
        <v>26692.189483333335</v>
      </c>
      <c r="EE35" s="209">
        <f t="shared" si="43"/>
        <v>3.9149269562028931E-2</v>
      </c>
      <c r="EG35" s="228">
        <f t="shared" si="44"/>
        <v>0</v>
      </c>
      <c r="EH35" s="208">
        <f t="shared" si="45"/>
        <v>0</v>
      </c>
      <c r="EI35" s="209">
        <f t="shared" si="46"/>
        <v>0</v>
      </c>
      <c r="EJ35" s="209"/>
      <c r="EK35" s="228">
        <f t="shared" si="47"/>
        <v>36500000</v>
      </c>
      <c r="EL35" s="228">
        <f t="shared" si="48"/>
        <v>0</v>
      </c>
      <c r="EM35" s="228">
        <f t="shared" si="49"/>
        <v>4106.25</v>
      </c>
      <c r="EN35" s="209">
        <f t="shared" si="50"/>
        <v>4.0500000000000001E-2</v>
      </c>
      <c r="EP35" s="208"/>
    </row>
    <row r="36" spans="1:146" x14ac:dyDescent="0.25">
      <c r="A36" s="222">
        <f t="shared" si="51"/>
        <v>45987</v>
      </c>
      <c r="B36" s="208">
        <v>127350000</v>
      </c>
      <c r="C36" s="209">
        <v>3.9010690000000001E-2</v>
      </c>
      <c r="D36" s="208">
        <f t="shared" si="0"/>
        <v>13800.031587500001</v>
      </c>
      <c r="G36" s="208">
        <f t="shared" si="1"/>
        <v>0</v>
      </c>
      <c r="J36" s="208">
        <f t="shared" si="2"/>
        <v>0</v>
      </c>
      <c r="M36" s="208">
        <f t="shared" si="3"/>
        <v>0</v>
      </c>
      <c r="P36" s="208">
        <f t="shared" si="4"/>
        <v>0</v>
      </c>
      <c r="S36" s="208">
        <f t="shared" si="5"/>
        <v>0</v>
      </c>
      <c r="V36" s="208">
        <f t="shared" si="6"/>
        <v>0</v>
      </c>
      <c r="Y36" s="208">
        <f t="shared" si="7"/>
        <v>0</v>
      </c>
      <c r="AB36" s="208">
        <f t="shared" si="8"/>
        <v>0</v>
      </c>
      <c r="AE36" s="208">
        <v>0</v>
      </c>
      <c r="AH36" s="208">
        <v>0</v>
      </c>
      <c r="AI36" s="223">
        <f>138050000</f>
        <v>138050000</v>
      </c>
      <c r="AJ36" s="224">
        <v>4.0500000000000001E-2</v>
      </c>
      <c r="AK36" s="208">
        <f t="shared" si="9"/>
        <v>15530.625</v>
      </c>
      <c r="AL36" s="223"/>
      <c r="AM36" s="224"/>
      <c r="AN36" s="208">
        <f t="shared" si="10"/>
        <v>0</v>
      </c>
      <c r="AO36" s="223"/>
      <c r="AP36" s="224"/>
      <c r="AQ36" s="208">
        <f t="shared" si="11"/>
        <v>0</v>
      </c>
      <c r="AR36" s="223"/>
      <c r="AS36" s="224"/>
      <c r="AT36" s="208">
        <f t="shared" si="12"/>
        <v>0</v>
      </c>
      <c r="AW36" s="208">
        <f t="shared" si="13"/>
        <v>0</v>
      </c>
      <c r="AZ36" s="208">
        <f t="shared" si="14"/>
        <v>0</v>
      </c>
      <c r="BC36" s="208">
        <f t="shared" si="15"/>
        <v>0</v>
      </c>
      <c r="BF36" s="208">
        <f t="shared" si="16"/>
        <v>0</v>
      </c>
      <c r="BI36" s="208">
        <f t="shared" si="17"/>
        <v>0</v>
      </c>
      <c r="BL36" s="208">
        <f t="shared" si="18"/>
        <v>0</v>
      </c>
      <c r="BO36" s="208">
        <f t="shared" si="19"/>
        <v>0</v>
      </c>
      <c r="BR36" s="208">
        <f t="shared" si="20"/>
        <v>0</v>
      </c>
      <c r="BU36" s="208">
        <f t="shared" si="21"/>
        <v>0</v>
      </c>
      <c r="BX36" s="208">
        <f t="shared" si="22"/>
        <v>0</v>
      </c>
      <c r="CA36" s="208">
        <f t="shared" si="23"/>
        <v>0</v>
      </c>
      <c r="CD36" s="208">
        <f t="shared" si="24"/>
        <v>0</v>
      </c>
      <c r="CG36" s="208">
        <f t="shared" si="25"/>
        <v>0</v>
      </c>
      <c r="CJ36" s="208">
        <f t="shared" si="26"/>
        <v>0</v>
      </c>
      <c r="CM36" s="208">
        <f t="shared" si="27"/>
        <v>0</v>
      </c>
      <c r="CP36" s="208">
        <f t="shared" si="28"/>
        <v>0</v>
      </c>
      <c r="CS36" s="208">
        <f t="shared" si="29"/>
        <v>0</v>
      </c>
      <c r="CV36" s="208">
        <f t="shared" si="30"/>
        <v>0</v>
      </c>
      <c r="CY36" s="208">
        <f t="shared" si="31"/>
        <v>0</v>
      </c>
      <c r="DB36" s="208">
        <f t="shared" si="32"/>
        <v>0</v>
      </c>
      <c r="DE36" s="208">
        <f t="shared" si="33"/>
        <v>0</v>
      </c>
      <c r="DH36" s="208">
        <f t="shared" si="34"/>
        <v>0</v>
      </c>
      <c r="DK36" s="208">
        <f t="shared" si="35"/>
        <v>0</v>
      </c>
      <c r="DN36" s="208">
        <f t="shared" si="36"/>
        <v>0</v>
      </c>
      <c r="DQ36" s="208">
        <f t="shared" si="37"/>
        <v>0</v>
      </c>
      <c r="DT36" s="208">
        <f t="shared" si="38"/>
        <v>0</v>
      </c>
      <c r="DW36" s="208">
        <f t="shared" si="39"/>
        <v>0</v>
      </c>
      <c r="DZ36" s="208"/>
      <c r="EA36" s="208"/>
      <c r="EB36" s="228">
        <f t="shared" si="40"/>
        <v>265400000</v>
      </c>
      <c r="EC36" s="228">
        <f t="shared" si="41"/>
        <v>127350000</v>
      </c>
      <c r="ED36" s="208">
        <f t="shared" si="42"/>
        <v>29330.656587500001</v>
      </c>
      <c r="EE36" s="209">
        <f t="shared" si="43"/>
        <v>3.9785366885832708E-2</v>
      </c>
      <c r="EG36" s="228">
        <f t="shared" si="44"/>
        <v>0</v>
      </c>
      <c r="EH36" s="208">
        <f t="shared" si="45"/>
        <v>0</v>
      </c>
      <c r="EI36" s="209">
        <f t="shared" si="46"/>
        <v>0</v>
      </c>
      <c r="EJ36" s="209"/>
      <c r="EK36" s="228">
        <f t="shared" si="47"/>
        <v>138050000</v>
      </c>
      <c r="EL36" s="228">
        <f t="shared" si="48"/>
        <v>0</v>
      </c>
      <c r="EM36" s="228">
        <f t="shared" si="49"/>
        <v>15530.625</v>
      </c>
      <c r="EN36" s="209">
        <f t="shared" si="50"/>
        <v>4.0500000000000001E-2</v>
      </c>
      <c r="EP36" s="208"/>
    </row>
    <row r="37" spans="1:146" x14ac:dyDescent="0.25">
      <c r="A37" s="222">
        <f t="shared" si="51"/>
        <v>45988</v>
      </c>
      <c r="B37" s="208">
        <v>127350000</v>
      </c>
      <c r="C37" s="209">
        <v>3.9010690000000001E-2</v>
      </c>
      <c r="D37" s="208">
        <f t="shared" si="0"/>
        <v>13800.031587500001</v>
      </c>
      <c r="G37" s="208">
        <f t="shared" si="1"/>
        <v>0</v>
      </c>
      <c r="J37" s="208">
        <f t="shared" si="2"/>
        <v>0</v>
      </c>
      <c r="M37" s="208">
        <f t="shared" si="3"/>
        <v>0</v>
      </c>
      <c r="P37" s="208">
        <f t="shared" si="4"/>
        <v>0</v>
      </c>
      <c r="S37" s="208">
        <f t="shared" si="5"/>
        <v>0</v>
      </c>
      <c r="V37" s="208">
        <f t="shared" si="6"/>
        <v>0</v>
      </c>
      <c r="Y37" s="208">
        <f t="shared" si="7"/>
        <v>0</v>
      </c>
      <c r="AB37" s="208">
        <f t="shared" si="8"/>
        <v>0</v>
      </c>
      <c r="AE37" s="208">
        <v>0</v>
      </c>
      <c r="AH37" s="208">
        <v>0</v>
      </c>
      <c r="AI37" s="223">
        <f>138050000</f>
        <v>138050000</v>
      </c>
      <c r="AJ37" s="224">
        <v>4.0500000000000001E-2</v>
      </c>
      <c r="AK37" s="208">
        <f t="shared" si="9"/>
        <v>15530.625</v>
      </c>
      <c r="AL37" s="223"/>
      <c r="AM37" s="224"/>
      <c r="AN37" s="208">
        <f t="shared" si="10"/>
        <v>0</v>
      </c>
      <c r="AO37" s="223"/>
      <c r="AP37" s="224"/>
      <c r="AQ37" s="208">
        <f t="shared" si="11"/>
        <v>0</v>
      </c>
      <c r="AR37" s="223"/>
      <c r="AS37" s="224"/>
      <c r="AT37" s="208">
        <f t="shared" si="12"/>
        <v>0</v>
      </c>
      <c r="AW37" s="208">
        <f t="shared" si="13"/>
        <v>0</v>
      </c>
      <c r="AZ37" s="208">
        <f t="shared" si="14"/>
        <v>0</v>
      </c>
      <c r="BC37" s="208">
        <f t="shared" si="15"/>
        <v>0</v>
      </c>
      <c r="BF37" s="208">
        <f t="shared" si="16"/>
        <v>0</v>
      </c>
      <c r="BI37" s="208">
        <f t="shared" si="17"/>
        <v>0</v>
      </c>
      <c r="BL37" s="208">
        <f t="shared" si="18"/>
        <v>0</v>
      </c>
      <c r="BO37" s="208">
        <f t="shared" si="19"/>
        <v>0</v>
      </c>
      <c r="BR37" s="208">
        <f t="shared" si="20"/>
        <v>0</v>
      </c>
      <c r="BU37" s="208">
        <f t="shared" si="21"/>
        <v>0</v>
      </c>
      <c r="BX37" s="208">
        <f t="shared" si="22"/>
        <v>0</v>
      </c>
      <c r="CA37" s="208">
        <f t="shared" si="23"/>
        <v>0</v>
      </c>
      <c r="CD37" s="208">
        <f t="shared" si="24"/>
        <v>0</v>
      </c>
      <c r="CG37" s="208">
        <f t="shared" si="25"/>
        <v>0</v>
      </c>
      <c r="CJ37" s="208">
        <f t="shared" si="26"/>
        <v>0</v>
      </c>
      <c r="CM37" s="208">
        <f t="shared" si="27"/>
        <v>0</v>
      </c>
      <c r="CP37" s="208">
        <f t="shared" si="28"/>
        <v>0</v>
      </c>
      <c r="CS37" s="208">
        <f t="shared" si="29"/>
        <v>0</v>
      </c>
      <c r="CV37" s="208">
        <f t="shared" si="30"/>
        <v>0</v>
      </c>
      <c r="CY37" s="208">
        <f t="shared" si="31"/>
        <v>0</v>
      </c>
      <c r="DB37" s="208">
        <f t="shared" si="32"/>
        <v>0</v>
      </c>
      <c r="DE37" s="208">
        <f t="shared" si="33"/>
        <v>0</v>
      </c>
      <c r="DH37" s="208">
        <f t="shared" si="34"/>
        <v>0</v>
      </c>
      <c r="DK37" s="208">
        <f t="shared" si="35"/>
        <v>0</v>
      </c>
      <c r="DN37" s="208">
        <f t="shared" si="36"/>
        <v>0</v>
      </c>
      <c r="DQ37" s="208">
        <f t="shared" si="37"/>
        <v>0</v>
      </c>
      <c r="DT37" s="208">
        <f t="shared" si="38"/>
        <v>0</v>
      </c>
      <c r="DW37" s="208">
        <f t="shared" si="39"/>
        <v>0</v>
      </c>
      <c r="DZ37" s="208"/>
      <c r="EA37" s="208"/>
      <c r="EB37" s="228">
        <f t="shared" si="40"/>
        <v>265400000</v>
      </c>
      <c r="EC37" s="228">
        <f t="shared" si="41"/>
        <v>127350000</v>
      </c>
      <c r="ED37" s="208">
        <f t="shared" si="42"/>
        <v>29330.656587500001</v>
      </c>
      <c r="EE37" s="209">
        <f t="shared" si="43"/>
        <v>3.9785366885832708E-2</v>
      </c>
      <c r="EG37" s="228">
        <f t="shared" si="44"/>
        <v>0</v>
      </c>
      <c r="EH37" s="208">
        <f t="shared" si="45"/>
        <v>0</v>
      </c>
      <c r="EI37" s="209">
        <f t="shared" si="46"/>
        <v>0</v>
      </c>
      <c r="EJ37" s="209"/>
      <c r="EK37" s="228">
        <f t="shared" si="47"/>
        <v>138050000</v>
      </c>
      <c r="EL37" s="228">
        <f t="shared" si="48"/>
        <v>0</v>
      </c>
      <c r="EM37" s="228">
        <f t="shared" si="49"/>
        <v>15530.625</v>
      </c>
      <c r="EN37" s="209">
        <f t="shared" si="50"/>
        <v>4.0500000000000001E-2</v>
      </c>
      <c r="EP37" s="208"/>
    </row>
    <row r="38" spans="1:146" x14ac:dyDescent="0.25">
      <c r="A38" s="222">
        <f t="shared" si="51"/>
        <v>45989</v>
      </c>
      <c r="B38" s="208">
        <v>110250000</v>
      </c>
      <c r="C38" s="209">
        <v>3.8808330000000002E-2</v>
      </c>
      <c r="D38" s="208">
        <f t="shared" si="0"/>
        <v>11885.051062500001</v>
      </c>
      <c r="G38" s="208">
        <f t="shared" si="1"/>
        <v>0</v>
      </c>
      <c r="J38" s="208">
        <f t="shared" si="2"/>
        <v>0</v>
      </c>
      <c r="M38" s="208">
        <f t="shared" si="3"/>
        <v>0</v>
      </c>
      <c r="P38" s="208">
        <f t="shared" si="4"/>
        <v>0</v>
      </c>
      <c r="S38" s="208">
        <f t="shared" si="5"/>
        <v>0</v>
      </c>
      <c r="V38" s="208">
        <f t="shared" si="6"/>
        <v>0</v>
      </c>
      <c r="Y38" s="208">
        <f t="shared" si="7"/>
        <v>0</v>
      </c>
      <c r="AB38" s="208">
        <f t="shared" si="8"/>
        <v>0</v>
      </c>
      <c r="AE38" s="208">
        <v>0</v>
      </c>
      <c r="AH38" s="208">
        <v>0</v>
      </c>
      <c r="AI38" s="223">
        <f>138050000+15875000</f>
        <v>153925000</v>
      </c>
      <c r="AJ38" s="224">
        <v>4.0500000000000001E-2</v>
      </c>
      <c r="AK38" s="208">
        <f t="shared" si="9"/>
        <v>17316.5625</v>
      </c>
      <c r="AL38" s="223"/>
      <c r="AM38" s="224"/>
      <c r="AN38" s="208">
        <f t="shared" si="10"/>
        <v>0</v>
      </c>
      <c r="AO38" s="223"/>
      <c r="AP38" s="224"/>
      <c r="AQ38" s="208">
        <f t="shared" si="11"/>
        <v>0</v>
      </c>
      <c r="AR38" s="223"/>
      <c r="AS38" s="224"/>
      <c r="AT38" s="208">
        <f t="shared" si="12"/>
        <v>0</v>
      </c>
      <c r="AW38" s="208">
        <f t="shared" si="13"/>
        <v>0</v>
      </c>
      <c r="AZ38" s="208">
        <f t="shared" si="14"/>
        <v>0</v>
      </c>
      <c r="BC38" s="208">
        <f t="shared" si="15"/>
        <v>0</v>
      </c>
      <c r="BF38" s="208">
        <f t="shared" si="16"/>
        <v>0</v>
      </c>
      <c r="BI38" s="208">
        <f t="shared" si="17"/>
        <v>0</v>
      </c>
      <c r="BL38" s="208">
        <f t="shared" si="18"/>
        <v>0</v>
      </c>
      <c r="BO38" s="208">
        <f t="shared" si="19"/>
        <v>0</v>
      </c>
      <c r="BR38" s="208">
        <f t="shared" si="20"/>
        <v>0</v>
      </c>
      <c r="BU38" s="208">
        <f t="shared" si="21"/>
        <v>0</v>
      </c>
      <c r="BX38" s="208">
        <f t="shared" si="22"/>
        <v>0</v>
      </c>
      <c r="CA38" s="208">
        <f t="shared" si="23"/>
        <v>0</v>
      </c>
      <c r="CD38" s="208">
        <f t="shared" si="24"/>
        <v>0</v>
      </c>
      <c r="CG38" s="208">
        <f t="shared" si="25"/>
        <v>0</v>
      </c>
      <c r="CJ38" s="208">
        <f t="shared" si="26"/>
        <v>0</v>
      </c>
      <c r="CM38" s="208">
        <f t="shared" si="27"/>
        <v>0</v>
      </c>
      <c r="CP38" s="208">
        <f t="shared" si="28"/>
        <v>0</v>
      </c>
      <c r="CS38" s="208">
        <f t="shared" si="29"/>
        <v>0</v>
      </c>
      <c r="CV38" s="208">
        <f t="shared" si="30"/>
        <v>0</v>
      </c>
      <c r="CY38" s="208">
        <f t="shared" si="31"/>
        <v>0</v>
      </c>
      <c r="DB38" s="208">
        <f t="shared" si="32"/>
        <v>0</v>
      </c>
      <c r="DE38" s="208">
        <f t="shared" si="33"/>
        <v>0</v>
      </c>
      <c r="DH38" s="208">
        <f t="shared" si="34"/>
        <v>0</v>
      </c>
      <c r="DK38" s="208">
        <f t="shared" si="35"/>
        <v>0</v>
      </c>
      <c r="DN38" s="208">
        <f t="shared" si="36"/>
        <v>0</v>
      </c>
      <c r="DQ38" s="208">
        <f t="shared" si="37"/>
        <v>0</v>
      </c>
      <c r="DT38" s="208">
        <f t="shared" si="38"/>
        <v>0</v>
      </c>
      <c r="DW38" s="208">
        <f t="shared" si="39"/>
        <v>0</v>
      </c>
      <c r="DZ38" s="208"/>
      <c r="EA38" s="208"/>
      <c r="EB38" s="228">
        <f t="shared" si="40"/>
        <v>264175000</v>
      </c>
      <c r="EC38" s="228">
        <f t="shared" si="41"/>
        <v>110250000</v>
      </c>
      <c r="ED38" s="208">
        <f t="shared" si="42"/>
        <v>29201.613562500002</v>
      </c>
      <c r="EE38" s="209">
        <f t="shared" si="43"/>
        <v>3.9794003529857104E-2</v>
      </c>
      <c r="EG38" s="228">
        <f t="shared" si="44"/>
        <v>0</v>
      </c>
      <c r="EH38" s="208">
        <f t="shared" si="45"/>
        <v>0</v>
      </c>
      <c r="EI38" s="209">
        <f t="shared" si="46"/>
        <v>0</v>
      </c>
      <c r="EJ38" s="209"/>
      <c r="EK38" s="228">
        <f t="shared" si="47"/>
        <v>153925000</v>
      </c>
      <c r="EL38" s="228">
        <f t="shared" si="48"/>
        <v>0</v>
      </c>
      <c r="EM38" s="228">
        <f t="shared" si="49"/>
        <v>17316.5625</v>
      </c>
      <c r="EN38" s="209">
        <f t="shared" si="50"/>
        <v>4.0500000000000001E-2</v>
      </c>
      <c r="EP38" s="208"/>
    </row>
    <row r="39" spans="1:146" x14ac:dyDescent="0.25">
      <c r="A39" s="222">
        <f t="shared" si="51"/>
        <v>45990</v>
      </c>
      <c r="B39" s="208">
        <v>110250000</v>
      </c>
      <c r="C39" s="209">
        <v>3.8808330000000002E-2</v>
      </c>
      <c r="D39" s="208">
        <f t="shared" si="0"/>
        <v>11885.051062500001</v>
      </c>
      <c r="G39" s="208">
        <f t="shared" si="1"/>
        <v>0</v>
      </c>
      <c r="J39" s="208">
        <f t="shared" si="2"/>
        <v>0</v>
      </c>
      <c r="M39" s="208">
        <f t="shared" si="3"/>
        <v>0</v>
      </c>
      <c r="P39" s="208">
        <f t="shared" si="4"/>
        <v>0</v>
      </c>
      <c r="S39" s="208">
        <f t="shared" si="5"/>
        <v>0</v>
      </c>
      <c r="V39" s="208">
        <f t="shared" si="6"/>
        <v>0</v>
      </c>
      <c r="Y39" s="208">
        <f t="shared" si="7"/>
        <v>0</v>
      </c>
      <c r="AB39" s="208">
        <f t="shared" si="8"/>
        <v>0</v>
      </c>
      <c r="AE39" s="208">
        <v>0</v>
      </c>
      <c r="AH39" s="208">
        <v>0</v>
      </c>
      <c r="AI39" s="223">
        <f>138050000+15875000</f>
        <v>153925000</v>
      </c>
      <c r="AJ39" s="224">
        <v>4.0500000000000001E-2</v>
      </c>
      <c r="AK39" s="208">
        <f t="shared" si="9"/>
        <v>17316.5625</v>
      </c>
      <c r="AL39" s="223"/>
      <c r="AM39" s="224"/>
      <c r="AN39" s="208">
        <f t="shared" si="10"/>
        <v>0</v>
      </c>
      <c r="AO39" s="223"/>
      <c r="AP39" s="224"/>
      <c r="AQ39" s="208">
        <f t="shared" si="11"/>
        <v>0</v>
      </c>
      <c r="AR39" s="223"/>
      <c r="AS39" s="224"/>
      <c r="AT39" s="208">
        <f t="shared" si="12"/>
        <v>0</v>
      </c>
      <c r="AW39" s="208">
        <f t="shared" si="13"/>
        <v>0</v>
      </c>
      <c r="AZ39" s="208">
        <f t="shared" si="14"/>
        <v>0</v>
      </c>
      <c r="BC39" s="208">
        <f t="shared" si="15"/>
        <v>0</v>
      </c>
      <c r="BF39" s="208">
        <f t="shared" si="16"/>
        <v>0</v>
      </c>
      <c r="BI39" s="208">
        <f t="shared" si="17"/>
        <v>0</v>
      </c>
      <c r="BL39" s="208">
        <f t="shared" si="18"/>
        <v>0</v>
      </c>
      <c r="BO39" s="208">
        <f t="shared" si="19"/>
        <v>0</v>
      </c>
      <c r="BR39" s="208">
        <f t="shared" si="20"/>
        <v>0</v>
      </c>
      <c r="BU39" s="208">
        <f t="shared" si="21"/>
        <v>0</v>
      </c>
      <c r="BX39" s="208">
        <f t="shared" si="22"/>
        <v>0</v>
      </c>
      <c r="CA39" s="208">
        <f t="shared" si="23"/>
        <v>0</v>
      </c>
      <c r="CD39" s="208">
        <f t="shared" si="24"/>
        <v>0</v>
      </c>
      <c r="CG39" s="208">
        <f t="shared" si="25"/>
        <v>0</v>
      </c>
      <c r="CJ39" s="208">
        <f t="shared" si="26"/>
        <v>0</v>
      </c>
      <c r="CM39" s="208">
        <f t="shared" si="27"/>
        <v>0</v>
      </c>
      <c r="CP39" s="208">
        <f t="shared" si="28"/>
        <v>0</v>
      </c>
      <c r="CS39" s="208">
        <f t="shared" si="29"/>
        <v>0</v>
      </c>
      <c r="CV39" s="208">
        <f t="shared" si="30"/>
        <v>0</v>
      </c>
      <c r="CY39" s="208">
        <f t="shared" si="31"/>
        <v>0</v>
      </c>
      <c r="DB39" s="208">
        <f t="shared" si="32"/>
        <v>0</v>
      </c>
      <c r="DE39" s="208">
        <f t="shared" si="33"/>
        <v>0</v>
      </c>
      <c r="DH39" s="208">
        <f t="shared" si="34"/>
        <v>0</v>
      </c>
      <c r="DK39" s="208">
        <f t="shared" si="35"/>
        <v>0</v>
      </c>
      <c r="DN39" s="208">
        <f t="shared" si="36"/>
        <v>0</v>
      </c>
      <c r="DQ39" s="208">
        <f t="shared" si="37"/>
        <v>0</v>
      </c>
      <c r="DT39" s="208">
        <f t="shared" si="38"/>
        <v>0</v>
      </c>
      <c r="DW39" s="208">
        <f t="shared" si="39"/>
        <v>0</v>
      </c>
      <c r="DZ39" s="208"/>
      <c r="EA39" s="208"/>
      <c r="EB39" s="228">
        <f t="shared" si="40"/>
        <v>264175000</v>
      </c>
      <c r="EC39" s="228">
        <f t="shared" si="41"/>
        <v>110250000</v>
      </c>
      <c r="ED39" s="208">
        <f t="shared" si="42"/>
        <v>29201.613562500002</v>
      </c>
      <c r="EE39" s="209">
        <f t="shared" si="43"/>
        <v>3.9794003529857104E-2</v>
      </c>
      <c r="EG39" s="228">
        <f t="shared" si="44"/>
        <v>0</v>
      </c>
      <c r="EH39" s="208">
        <f t="shared" si="45"/>
        <v>0</v>
      </c>
      <c r="EI39" s="209">
        <f t="shared" si="46"/>
        <v>0</v>
      </c>
      <c r="EJ39" s="209"/>
      <c r="EK39" s="228">
        <f t="shared" si="47"/>
        <v>153925000</v>
      </c>
      <c r="EL39" s="228">
        <f t="shared" si="48"/>
        <v>0</v>
      </c>
      <c r="EM39" s="228">
        <f t="shared" si="49"/>
        <v>17316.5625</v>
      </c>
      <c r="EN39" s="209">
        <f t="shared" si="50"/>
        <v>4.0500000000000001E-2</v>
      </c>
      <c r="EP39" s="208"/>
    </row>
    <row r="40" spans="1:146" x14ac:dyDescent="0.25">
      <c r="A40" s="222">
        <f t="shared" si="51"/>
        <v>45991</v>
      </c>
      <c r="B40" s="208">
        <v>110250000</v>
      </c>
      <c r="C40" s="209">
        <v>3.8808330000000002E-2</v>
      </c>
      <c r="D40" s="208">
        <f t="shared" si="0"/>
        <v>11885.051062500001</v>
      </c>
      <c r="G40" s="208">
        <f t="shared" si="1"/>
        <v>0</v>
      </c>
      <c r="J40" s="208">
        <f t="shared" si="2"/>
        <v>0</v>
      </c>
      <c r="M40" s="208">
        <f t="shared" si="3"/>
        <v>0</v>
      </c>
      <c r="P40" s="208">
        <f t="shared" si="4"/>
        <v>0</v>
      </c>
      <c r="S40" s="208">
        <f t="shared" si="5"/>
        <v>0</v>
      </c>
      <c r="V40" s="208">
        <f t="shared" si="6"/>
        <v>0</v>
      </c>
      <c r="Y40" s="208">
        <f t="shared" si="7"/>
        <v>0</v>
      </c>
      <c r="AB40" s="208">
        <f t="shared" si="8"/>
        <v>0</v>
      </c>
      <c r="AE40" s="208">
        <v>0</v>
      </c>
      <c r="AH40" s="208">
        <v>0</v>
      </c>
      <c r="AI40" s="223">
        <f>138050000+15875000</f>
        <v>153925000</v>
      </c>
      <c r="AJ40" s="224">
        <v>4.0500000000000001E-2</v>
      </c>
      <c r="AK40" s="208">
        <f t="shared" si="9"/>
        <v>17316.5625</v>
      </c>
      <c r="AL40" s="223"/>
      <c r="AM40" s="224"/>
      <c r="AN40" s="208">
        <f t="shared" si="10"/>
        <v>0</v>
      </c>
      <c r="AO40" s="223"/>
      <c r="AP40" s="224"/>
      <c r="AQ40" s="208">
        <f t="shared" si="11"/>
        <v>0</v>
      </c>
      <c r="AR40" s="223"/>
      <c r="AS40" s="224"/>
      <c r="AT40" s="208">
        <f t="shared" si="12"/>
        <v>0</v>
      </c>
      <c r="AW40" s="208">
        <f t="shared" si="13"/>
        <v>0</v>
      </c>
      <c r="AZ40" s="208">
        <f t="shared" si="14"/>
        <v>0</v>
      </c>
      <c r="BC40" s="208">
        <f t="shared" si="15"/>
        <v>0</v>
      </c>
      <c r="BF40" s="208">
        <f t="shared" si="16"/>
        <v>0</v>
      </c>
      <c r="BI40" s="208">
        <f t="shared" si="17"/>
        <v>0</v>
      </c>
      <c r="BL40" s="208">
        <f t="shared" si="18"/>
        <v>0</v>
      </c>
      <c r="BO40" s="208">
        <f t="shared" si="19"/>
        <v>0</v>
      </c>
      <c r="BR40" s="208">
        <f t="shared" si="20"/>
        <v>0</v>
      </c>
      <c r="BU40" s="208">
        <f t="shared" si="21"/>
        <v>0</v>
      </c>
      <c r="BX40" s="208">
        <f t="shared" si="22"/>
        <v>0</v>
      </c>
      <c r="CA40" s="208">
        <f t="shared" si="23"/>
        <v>0</v>
      </c>
      <c r="CD40" s="208">
        <f t="shared" si="24"/>
        <v>0</v>
      </c>
      <c r="CG40" s="208">
        <f t="shared" si="25"/>
        <v>0</v>
      </c>
      <c r="CJ40" s="208">
        <f t="shared" si="26"/>
        <v>0</v>
      </c>
      <c r="CM40" s="208">
        <f t="shared" si="27"/>
        <v>0</v>
      </c>
      <c r="CP40" s="208">
        <f t="shared" si="28"/>
        <v>0</v>
      </c>
      <c r="CS40" s="208">
        <f t="shared" si="29"/>
        <v>0</v>
      </c>
      <c r="CV40" s="208">
        <f t="shared" si="30"/>
        <v>0</v>
      </c>
      <c r="CY40" s="208">
        <f t="shared" si="31"/>
        <v>0</v>
      </c>
      <c r="DB40" s="208">
        <f t="shared" si="32"/>
        <v>0</v>
      </c>
      <c r="DE40" s="208">
        <f t="shared" si="33"/>
        <v>0</v>
      </c>
      <c r="DH40" s="208">
        <f t="shared" si="34"/>
        <v>0</v>
      </c>
      <c r="DK40" s="208">
        <f t="shared" si="35"/>
        <v>0</v>
      </c>
      <c r="DN40" s="208">
        <f t="shared" si="36"/>
        <v>0</v>
      </c>
      <c r="DQ40" s="208">
        <f t="shared" si="37"/>
        <v>0</v>
      </c>
      <c r="DT40" s="208">
        <f t="shared" si="38"/>
        <v>0</v>
      </c>
      <c r="DW40" s="208">
        <f t="shared" si="39"/>
        <v>0</v>
      </c>
      <c r="DZ40" s="208"/>
      <c r="EA40" s="208"/>
      <c r="EB40" s="228">
        <f t="shared" si="40"/>
        <v>264175000</v>
      </c>
      <c r="EC40" s="228">
        <f t="shared" si="41"/>
        <v>110250000</v>
      </c>
      <c r="ED40" s="208">
        <f t="shared" si="42"/>
        <v>29201.613562500002</v>
      </c>
      <c r="EE40" s="209">
        <f t="shared" si="43"/>
        <v>3.9794003529857104E-2</v>
      </c>
      <c r="EG40" s="228">
        <f t="shared" si="44"/>
        <v>0</v>
      </c>
      <c r="EH40" s="208">
        <f t="shared" si="45"/>
        <v>0</v>
      </c>
      <c r="EI40" s="209">
        <f t="shared" si="46"/>
        <v>0</v>
      </c>
      <c r="EJ40" s="209"/>
      <c r="EK40" s="228">
        <f t="shared" si="47"/>
        <v>153925000</v>
      </c>
      <c r="EL40" s="228">
        <f t="shared" si="48"/>
        <v>0</v>
      </c>
      <c r="EM40" s="228">
        <f t="shared" si="49"/>
        <v>17316.5625</v>
      </c>
      <c r="EN40" s="209">
        <f t="shared" si="50"/>
        <v>4.0500000000000001E-2</v>
      </c>
      <c r="EP40" s="208"/>
    </row>
    <row r="41" spans="1:146" x14ac:dyDescent="0.25">
      <c r="A41" s="243" t="s">
        <v>35</v>
      </c>
      <c r="D41" s="225">
        <f>SUM(D11:D40)</f>
        <v>555995.14932708337</v>
      </c>
      <c r="G41" s="225">
        <f>SUM(G11:G40)</f>
        <v>0</v>
      </c>
      <c r="J41" s="225">
        <f>SUM(J11:J40)</f>
        <v>0</v>
      </c>
      <c r="M41" s="225">
        <f>SUM(M11:M40)</f>
        <v>0</v>
      </c>
      <c r="P41" s="225">
        <f>SUM(P11:P40)</f>
        <v>0</v>
      </c>
      <c r="S41" s="225">
        <f>SUM(S11:S40)</f>
        <v>0</v>
      </c>
      <c r="V41" s="225">
        <f>SUM(V11:V40)</f>
        <v>0</v>
      </c>
      <c r="Y41" s="225">
        <f>SUM(Y11:Y40)</f>
        <v>0</v>
      </c>
      <c r="AB41" s="225">
        <f>SUM(AB11:AB40)</f>
        <v>0</v>
      </c>
      <c r="AE41" s="225">
        <f>SUM(AE11:AE40)</f>
        <v>0</v>
      </c>
      <c r="AH41" s="225">
        <f>SUM(AH11:AH40)</f>
        <v>0</v>
      </c>
      <c r="AK41" s="225">
        <f>SUM(AK11:AK40)</f>
        <v>356723.4375</v>
      </c>
      <c r="AN41" s="225">
        <f>SUM(AN11:AN40)</f>
        <v>0</v>
      </c>
      <c r="AQ41" s="225">
        <f>SUM(AQ11:AQ40)</f>
        <v>0</v>
      </c>
      <c r="AT41" s="225">
        <f>SUM(AT11:AT40)</f>
        <v>0</v>
      </c>
      <c r="AW41" s="225">
        <f>SUM(AW11:AW40)</f>
        <v>0</v>
      </c>
      <c r="AZ41" s="225">
        <f>SUM(AZ11:AZ40)</f>
        <v>0</v>
      </c>
      <c r="BC41" s="225">
        <f>SUM(BC11:BC40)</f>
        <v>0</v>
      </c>
      <c r="BF41" s="225">
        <f>SUM(BF11:BF40)</f>
        <v>0</v>
      </c>
      <c r="BI41" s="225">
        <f>SUM(BI11:BI40)</f>
        <v>0</v>
      </c>
      <c r="BL41" s="225">
        <f>SUM(BL11:BL40)</f>
        <v>0</v>
      </c>
      <c r="BO41" s="225">
        <f>SUM(BO11:BO40)</f>
        <v>0</v>
      </c>
      <c r="BR41" s="225">
        <f>SUM(BR11:BR40)</f>
        <v>0</v>
      </c>
      <c r="BU41" s="225">
        <f>SUM(BU11:BU40)</f>
        <v>0</v>
      </c>
      <c r="BX41" s="225">
        <f>SUM(BX11:BX40)</f>
        <v>0</v>
      </c>
      <c r="CA41" s="225">
        <f>SUM(CA11:CA40)</f>
        <v>0</v>
      </c>
      <c r="CD41" s="225">
        <f>SUM(CD11:CD40)</f>
        <v>0</v>
      </c>
      <c r="CG41" s="225">
        <f>SUM(CG11:CG40)</f>
        <v>0</v>
      </c>
      <c r="CJ41" s="225">
        <f>SUM(CJ11:CJ40)</f>
        <v>0</v>
      </c>
      <c r="CM41" s="225">
        <f>SUM(CM11:CM40)</f>
        <v>0</v>
      </c>
      <c r="CP41" s="225">
        <f>SUM(CP11:CP40)</f>
        <v>0</v>
      </c>
      <c r="CS41" s="225">
        <f>SUM(CS11:CS40)</f>
        <v>0</v>
      </c>
      <c r="CV41" s="225">
        <f>SUM(CV11:CV40)</f>
        <v>0</v>
      </c>
      <c r="CY41" s="225">
        <f>SUM(CY11:CY40)</f>
        <v>0</v>
      </c>
      <c r="DB41" s="225">
        <f>SUM(DB11:DB40)</f>
        <v>0</v>
      </c>
      <c r="DE41" s="225">
        <f>SUM(DE11:DE40)</f>
        <v>0</v>
      </c>
      <c r="DH41" s="225">
        <f>SUM(DH11:DH40)</f>
        <v>0</v>
      </c>
      <c r="DK41" s="225">
        <f>SUM(DK11:DK40)</f>
        <v>0</v>
      </c>
      <c r="DN41" s="225">
        <f>SUM(DN11:DN40)</f>
        <v>0</v>
      </c>
      <c r="DQ41" s="225">
        <f>SUM(DQ11:DQ40)</f>
        <v>0</v>
      </c>
      <c r="DT41" s="225">
        <f>SUM(DT11:DT40)</f>
        <v>0</v>
      </c>
      <c r="DW41" s="225">
        <f>SUM(DW11:DW40)</f>
        <v>0</v>
      </c>
      <c r="DZ41" s="208"/>
      <c r="EA41" s="208"/>
      <c r="EB41" s="208"/>
      <c r="EC41" s="208"/>
      <c r="ED41" s="225">
        <f>SUM(ED11:ED40)</f>
        <v>912718.58682708314</v>
      </c>
      <c r="EE41" s="209"/>
      <c r="EG41" s="208"/>
      <c r="EH41" s="225">
        <f>SUM(EH11:EH40)</f>
        <v>0</v>
      </c>
      <c r="EI41" s="209"/>
      <c r="EJ41" s="209"/>
      <c r="EK41" s="208"/>
      <c r="EL41" s="208"/>
      <c r="EM41" s="225">
        <f>SUM(EM11:EM40)</f>
        <v>356723.4375</v>
      </c>
      <c r="EN41" s="209"/>
    </row>
    <row r="43" spans="1:146" x14ac:dyDescent="0.25">
      <c r="EM43" s="226"/>
    </row>
    <row r="44" spans="1:146" x14ac:dyDescent="0.25">
      <c r="EM44" s="208"/>
    </row>
    <row r="45" spans="1:146" x14ac:dyDescent="0.25">
      <c r="EM45" s="208"/>
    </row>
    <row r="47" spans="1:146" x14ac:dyDescent="0.25">
      <c r="EM47" s="208"/>
    </row>
  </sheetData>
  <pageMargins left="0.7" right="0.7" top="0.75" bottom="0.75" header="0.3" footer="0.3"/>
  <pageSetup scale="60" orientation="portrait" r:id="rId1"/>
  <headerFooter>
    <oddFooter>&amp;CSchedule RL-1</oddFooter>
  </headerFooter>
  <colBreaks count="5" manualBreakCount="5">
    <brk id="34" max="1048575" man="1"/>
    <brk id="43" max="1048575" man="1"/>
    <brk id="55" max="1048575" man="1"/>
    <brk id="130" max="1048575" man="1"/>
    <brk id="14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3"/>
  <dimension ref="A1:EQ47"/>
  <sheetViews>
    <sheetView zoomScaleNormal="100" workbookViewId="0">
      <selection activeCell="B1" sqref="B1"/>
    </sheetView>
  </sheetViews>
  <sheetFormatPr defaultRowHeight="15" x14ac:dyDescent="0.25"/>
  <cols>
    <col min="1" max="1" width="14.5703125" style="166" bestFit="1" customWidth="1"/>
    <col min="2" max="2" width="18" style="208" customWidth="1"/>
    <col min="3" max="3" width="15.42578125" style="209" bestFit="1" customWidth="1"/>
    <col min="4" max="4" width="15.42578125" style="166" bestFit="1" customWidth="1"/>
    <col min="5" max="5" width="15.5703125" style="208" bestFit="1" customWidth="1"/>
    <col min="6" max="6" width="12.28515625" style="209" bestFit="1" customWidth="1"/>
    <col min="7" max="7" width="18.42578125" style="166" bestFit="1" customWidth="1"/>
    <col min="8" max="8" width="15.42578125" style="208" hidden="1" customWidth="1"/>
    <col min="9" max="9" width="10.28515625" style="209" hidden="1" customWidth="1"/>
    <col min="10" max="10" width="13.42578125" style="166" hidden="1" customWidth="1"/>
    <col min="11" max="11" width="14.42578125" style="208" hidden="1" customWidth="1"/>
    <col min="12" max="12" width="10.28515625" style="209" hidden="1" customWidth="1"/>
    <col min="13" max="13" width="11.7109375" style="166" hidden="1" customWidth="1"/>
    <col min="14" max="14" width="14.42578125" style="208" hidden="1" customWidth="1"/>
    <col min="15" max="15" width="10.28515625" style="209" hidden="1" customWidth="1"/>
    <col min="16" max="16" width="11.7109375" style="166" hidden="1" customWidth="1"/>
    <col min="17" max="17" width="15.42578125" style="208" hidden="1" customWidth="1"/>
    <col min="18" max="18" width="10.28515625" style="209" hidden="1" customWidth="1"/>
    <col min="19" max="19" width="11.7109375" style="166" hidden="1" customWidth="1"/>
    <col min="20" max="20" width="15.42578125" style="208" hidden="1" customWidth="1"/>
    <col min="21" max="21" width="10.28515625" style="209" hidden="1" customWidth="1"/>
    <col min="22" max="22" width="11.7109375" style="166" hidden="1" customWidth="1"/>
    <col min="23" max="23" width="15.42578125" style="208" hidden="1" customWidth="1"/>
    <col min="24" max="24" width="10.28515625" style="209" hidden="1" customWidth="1"/>
    <col min="25" max="25" width="11.7109375" style="166" hidden="1" customWidth="1"/>
    <col min="26" max="26" width="15.42578125" style="208" hidden="1" customWidth="1"/>
    <col min="27" max="27" width="10.28515625" style="209" hidden="1" customWidth="1"/>
    <col min="28" max="28" width="11.7109375" style="166" hidden="1" customWidth="1"/>
    <col min="29" max="29" width="15.42578125" style="208" hidden="1" customWidth="1"/>
    <col min="30" max="30" width="10.28515625" style="209" hidden="1" customWidth="1"/>
    <col min="31" max="31" width="11.7109375" style="166" hidden="1" customWidth="1"/>
    <col min="32" max="32" width="14.42578125" style="208" hidden="1" customWidth="1"/>
    <col min="33" max="33" width="10.28515625" style="209" hidden="1" customWidth="1"/>
    <col min="34" max="34" width="10.7109375" style="166" hidden="1" customWidth="1"/>
    <col min="35" max="35" width="19.85546875" style="208" customWidth="1"/>
    <col min="36" max="36" width="11.7109375" style="209" customWidth="1"/>
    <col min="37" max="37" width="16.140625" style="166" customWidth="1"/>
    <col min="38" max="38" width="19.28515625" style="208" customWidth="1"/>
    <col min="39" max="39" width="13.140625" style="209" customWidth="1"/>
    <col min="40" max="40" width="13.7109375" style="166" bestFit="1" customWidth="1"/>
    <col min="41" max="41" width="15.42578125" style="208" bestFit="1" customWidth="1"/>
    <col min="42" max="42" width="12.28515625" style="209" bestFit="1" customWidth="1"/>
    <col min="43" max="43" width="12.5703125" style="166" bestFit="1" customWidth="1"/>
    <col min="44" max="44" width="15.42578125" style="208" bestFit="1" customWidth="1"/>
    <col min="45" max="45" width="10.28515625" style="209" bestFit="1" customWidth="1"/>
    <col min="46" max="46" width="11.7109375" style="166" bestFit="1" customWidth="1"/>
    <col min="47" max="47" width="14.42578125" style="208" customWidth="1"/>
    <col min="48" max="48" width="10.28515625" style="209" customWidth="1"/>
    <col min="49" max="49" width="10.7109375" style="166" customWidth="1"/>
    <col min="50" max="50" width="14.42578125" style="208" customWidth="1"/>
    <col min="51" max="51" width="10.28515625" style="209" customWidth="1"/>
    <col min="52" max="52" width="10.7109375" style="166" customWidth="1"/>
    <col min="53" max="53" width="14.42578125" style="208" customWidth="1"/>
    <col min="54" max="54" width="10.28515625" style="209" customWidth="1"/>
    <col min="55" max="55" width="10.7109375" style="166" customWidth="1"/>
    <col min="56" max="56" width="14.42578125" style="208" customWidth="1"/>
    <col min="57" max="57" width="10.28515625" style="209" customWidth="1"/>
    <col min="58" max="58" width="10.7109375" style="166" customWidth="1"/>
    <col min="59" max="59" width="14.42578125" style="208" customWidth="1"/>
    <col min="60" max="60" width="10.28515625" style="209" customWidth="1"/>
    <col min="61" max="61" width="10.7109375" style="166" customWidth="1"/>
    <col min="62" max="62" width="14.42578125" style="208" customWidth="1"/>
    <col min="63" max="63" width="10.28515625" style="209" customWidth="1"/>
    <col min="64" max="64" width="10.7109375" style="166" customWidth="1"/>
    <col min="65" max="65" width="14.42578125" style="208" hidden="1" customWidth="1"/>
    <col min="66" max="66" width="10.28515625" style="209" hidden="1" customWidth="1"/>
    <col min="67" max="67" width="10.7109375" style="166" hidden="1" customWidth="1"/>
    <col min="68" max="68" width="14.42578125" style="208" hidden="1" customWidth="1"/>
    <col min="69" max="69" width="10.28515625" style="209" hidden="1" customWidth="1"/>
    <col min="70" max="70" width="10.7109375" style="166" hidden="1" customWidth="1"/>
    <col min="71" max="71" width="14.42578125" style="208" hidden="1" customWidth="1"/>
    <col min="72" max="72" width="10.28515625" style="209" hidden="1" customWidth="1"/>
    <col min="73" max="73" width="10.7109375" style="166" hidden="1" customWidth="1"/>
    <col min="74" max="74" width="14.42578125" style="208" hidden="1" customWidth="1"/>
    <col min="75" max="75" width="10.28515625" style="209" hidden="1" customWidth="1"/>
    <col min="76" max="76" width="10.7109375" style="166" hidden="1" customWidth="1"/>
    <col min="77" max="77" width="14.42578125" style="208" hidden="1" customWidth="1"/>
    <col min="78" max="78" width="10.28515625" style="209" hidden="1" customWidth="1"/>
    <col min="79" max="79" width="10.7109375" style="166" hidden="1" customWidth="1"/>
    <col min="80" max="80" width="14.42578125" style="208" hidden="1" customWidth="1"/>
    <col min="81" max="81" width="10.28515625" style="209" hidden="1" customWidth="1"/>
    <col min="82" max="82" width="10.7109375" style="166" hidden="1" customWidth="1"/>
    <col min="83" max="83" width="14.42578125" style="208" hidden="1" customWidth="1"/>
    <col min="84" max="84" width="10.28515625" style="209" hidden="1" customWidth="1"/>
    <col min="85" max="85" width="10.7109375" style="166" hidden="1" customWidth="1"/>
    <col min="86" max="86" width="14.42578125" style="208" hidden="1" customWidth="1"/>
    <col min="87" max="87" width="10.28515625" style="209" hidden="1" customWidth="1"/>
    <col min="88" max="88" width="10.7109375" style="166" hidden="1" customWidth="1"/>
    <col min="89" max="89" width="14.42578125" style="208" hidden="1" customWidth="1"/>
    <col min="90" max="90" width="10.28515625" style="209" hidden="1" customWidth="1"/>
    <col min="91" max="91" width="10.7109375" style="166" hidden="1" customWidth="1"/>
    <col min="92" max="92" width="14.42578125" style="208" hidden="1" customWidth="1"/>
    <col min="93" max="93" width="10.28515625" style="209" hidden="1" customWidth="1"/>
    <col min="94" max="94" width="10.7109375" style="166" hidden="1" customWidth="1"/>
    <col min="95" max="95" width="14.42578125" style="208" hidden="1" customWidth="1"/>
    <col min="96" max="96" width="10.28515625" style="209" hidden="1" customWidth="1"/>
    <col min="97" max="97" width="10.7109375" style="166" hidden="1" customWidth="1"/>
    <col min="98" max="98" width="14.42578125" style="208" hidden="1" customWidth="1"/>
    <col min="99" max="99" width="10.28515625" style="209" hidden="1" customWidth="1"/>
    <col min="100" max="100" width="10.7109375" style="166" hidden="1" customWidth="1"/>
    <col min="101" max="101" width="14.42578125" style="208" hidden="1" customWidth="1"/>
    <col min="102" max="102" width="10.28515625" style="209" hidden="1" customWidth="1"/>
    <col min="103" max="103" width="10.7109375" style="166" hidden="1" customWidth="1"/>
    <col min="104" max="104" width="14.42578125" style="208" hidden="1" customWidth="1"/>
    <col min="105" max="105" width="10.28515625" style="209" hidden="1" customWidth="1"/>
    <col min="106" max="106" width="10.7109375" style="166" hidden="1" customWidth="1"/>
    <col min="107" max="107" width="14.42578125" style="208" hidden="1" customWidth="1"/>
    <col min="108" max="108" width="10.28515625" style="209" hidden="1" customWidth="1"/>
    <col min="109" max="109" width="10.7109375" style="166" hidden="1" customWidth="1"/>
    <col min="110" max="110" width="14.42578125" style="208" hidden="1" customWidth="1"/>
    <col min="111" max="111" width="10.28515625" style="209" hidden="1" customWidth="1"/>
    <col min="112" max="112" width="10.7109375" style="166" hidden="1" customWidth="1"/>
    <col min="113" max="113" width="14.42578125" style="208" hidden="1" customWidth="1"/>
    <col min="114" max="114" width="10.28515625" style="209" hidden="1" customWidth="1"/>
    <col min="115" max="115" width="10.7109375" style="166" hidden="1" customWidth="1"/>
    <col min="116" max="116" width="14.42578125" style="208" hidden="1" customWidth="1"/>
    <col min="117" max="117" width="10.28515625" style="209" hidden="1" customWidth="1"/>
    <col min="118" max="118" width="10.7109375" style="166" hidden="1" customWidth="1"/>
    <col min="119" max="119" width="14.42578125" style="208" hidden="1" customWidth="1"/>
    <col min="120" max="120" width="10.28515625" style="209" hidden="1" customWidth="1"/>
    <col min="121" max="121" width="10.7109375" style="166" hidden="1" customWidth="1"/>
    <col min="122" max="122" width="14.42578125" style="208" hidden="1" customWidth="1"/>
    <col min="123" max="123" width="10.28515625" style="209" hidden="1" customWidth="1"/>
    <col min="124" max="124" width="10.7109375" style="166" hidden="1" customWidth="1"/>
    <col min="125" max="125" width="14.42578125" style="208" hidden="1" customWidth="1"/>
    <col min="126" max="126" width="10.28515625" style="209" hidden="1" customWidth="1"/>
    <col min="127" max="127" width="10.7109375" style="166" hidden="1" customWidth="1"/>
    <col min="128" max="128" width="14.42578125" style="208" hidden="1" customWidth="1"/>
    <col min="129" max="129" width="10.28515625" style="209" hidden="1" customWidth="1"/>
    <col min="130" max="130" width="10.7109375" style="166" hidden="1" customWidth="1"/>
    <col min="131" max="131" width="2.7109375" style="166" customWidth="1"/>
    <col min="132" max="132" width="18.7109375" style="166" customWidth="1"/>
    <col min="133" max="133" width="15.42578125" style="166" hidden="1" customWidth="1"/>
    <col min="134" max="134" width="14.42578125" style="166" bestFit="1" customWidth="1"/>
    <col min="135" max="135" width="20.140625" style="166" customWidth="1"/>
    <col min="136" max="136" width="2.7109375" style="166" customWidth="1"/>
    <col min="137" max="137" width="15.42578125" style="166" hidden="1" customWidth="1"/>
    <col min="138" max="138" width="14.42578125" style="166" hidden="1" customWidth="1"/>
    <col min="139" max="139" width="12.42578125" style="166" hidden="1" customWidth="1"/>
    <col min="140" max="140" width="2.7109375" style="166" hidden="1" customWidth="1"/>
    <col min="141" max="141" width="18.5703125" style="166" customWidth="1"/>
    <col min="142" max="142" width="15.42578125" style="166" hidden="1" customWidth="1"/>
    <col min="143" max="143" width="14.42578125" style="166" bestFit="1" customWidth="1"/>
    <col min="144" max="144" width="18.42578125" style="166" bestFit="1" customWidth="1"/>
    <col min="145" max="145" width="42.85546875" style="166" bestFit="1" customWidth="1"/>
    <col min="146" max="146" width="19.42578125" style="166" bestFit="1" customWidth="1"/>
    <col min="147" max="147" width="23.140625" style="166" bestFit="1" customWidth="1"/>
    <col min="148" max="16384" width="9.140625" style="166"/>
  </cols>
  <sheetData>
    <row r="1" spans="1:147" s="175" customFormat="1" x14ac:dyDescent="0.25">
      <c r="A1" s="227" t="s">
        <v>0</v>
      </c>
      <c r="B1" s="228"/>
      <c r="C1" s="229"/>
      <c r="E1" s="228"/>
      <c r="F1" s="229"/>
      <c r="H1" s="228"/>
      <c r="I1" s="229"/>
      <c r="K1" s="228"/>
      <c r="L1" s="229"/>
      <c r="N1" s="228"/>
      <c r="O1" s="229"/>
      <c r="Q1" s="228"/>
      <c r="R1" s="229"/>
      <c r="T1" s="228"/>
      <c r="U1" s="229"/>
      <c r="W1" s="228"/>
      <c r="X1" s="229"/>
      <c r="Z1" s="228"/>
      <c r="AA1" s="229"/>
      <c r="AC1" s="228"/>
      <c r="AD1" s="229"/>
      <c r="AF1" s="228"/>
      <c r="AG1" s="229"/>
      <c r="AI1" s="228"/>
      <c r="AJ1" s="229"/>
      <c r="AL1" s="228"/>
      <c r="AM1" s="229"/>
      <c r="AO1" s="228"/>
      <c r="AP1" s="229"/>
      <c r="AR1" s="228"/>
      <c r="AS1" s="229"/>
      <c r="AU1" s="228"/>
      <c r="AV1" s="229"/>
      <c r="AX1" s="228"/>
      <c r="AY1" s="229"/>
      <c r="BA1" s="228"/>
      <c r="BB1" s="229"/>
      <c r="BD1" s="228"/>
      <c r="BE1" s="229"/>
      <c r="BG1" s="228"/>
      <c r="BH1" s="229"/>
      <c r="BJ1" s="228"/>
      <c r="BK1" s="229"/>
      <c r="BM1" s="228"/>
      <c r="BN1" s="229"/>
      <c r="BP1" s="228"/>
      <c r="BQ1" s="229"/>
      <c r="BS1" s="228"/>
      <c r="BT1" s="229"/>
      <c r="BV1" s="228"/>
      <c r="BW1" s="229"/>
      <c r="BY1" s="228"/>
      <c r="BZ1" s="229"/>
      <c r="CB1" s="228"/>
      <c r="CC1" s="229"/>
      <c r="CE1" s="228"/>
      <c r="CF1" s="229"/>
      <c r="CH1" s="228"/>
      <c r="CI1" s="229"/>
      <c r="CK1" s="228"/>
      <c r="CL1" s="229"/>
      <c r="CN1" s="228"/>
      <c r="CO1" s="229"/>
      <c r="CQ1" s="228"/>
      <c r="CR1" s="229"/>
      <c r="CT1" s="228"/>
      <c r="CU1" s="229"/>
      <c r="CW1" s="228"/>
      <c r="CX1" s="229"/>
      <c r="CZ1" s="228"/>
      <c r="DA1" s="229"/>
      <c r="DC1" s="228"/>
      <c r="DD1" s="229"/>
      <c r="DF1" s="228"/>
      <c r="DG1" s="229"/>
      <c r="DI1" s="228"/>
      <c r="DJ1" s="229"/>
      <c r="DL1" s="228"/>
      <c r="DM1" s="229"/>
      <c r="DO1" s="228"/>
      <c r="DP1" s="229"/>
      <c r="DR1" s="228"/>
      <c r="DS1" s="229"/>
      <c r="DU1" s="228"/>
      <c r="DV1" s="229"/>
      <c r="DX1" s="228"/>
      <c r="DY1" s="229"/>
      <c r="DZ1" s="230"/>
      <c r="ED1" s="169"/>
      <c r="EE1" s="231" t="s">
        <v>37</v>
      </c>
      <c r="EI1" s="169" t="s">
        <v>38</v>
      </c>
      <c r="EM1" s="169"/>
      <c r="EN1" s="169" t="s">
        <v>39</v>
      </c>
      <c r="EO1" s="227" t="s">
        <v>40</v>
      </c>
      <c r="EP1" s="227" t="s">
        <v>41</v>
      </c>
      <c r="EQ1" s="227" t="s">
        <v>42</v>
      </c>
    </row>
    <row r="2" spans="1:147" s="175" customFormat="1" ht="15.75" thickBot="1" x14ac:dyDescent="0.3">
      <c r="A2" s="227" t="s">
        <v>43</v>
      </c>
      <c r="B2" s="228"/>
      <c r="C2" s="229"/>
      <c r="E2" s="230"/>
      <c r="F2" s="229"/>
      <c r="G2" s="169"/>
      <c r="H2" s="228"/>
      <c r="I2" s="229"/>
      <c r="K2" s="228"/>
      <c r="L2" s="229"/>
      <c r="N2" s="228"/>
      <c r="O2" s="229"/>
      <c r="Q2" s="228"/>
      <c r="R2" s="229"/>
      <c r="T2" s="228"/>
      <c r="U2" s="229"/>
      <c r="W2" s="228"/>
      <c r="X2" s="229"/>
      <c r="Z2" s="228"/>
      <c r="AA2" s="229"/>
      <c r="AC2" s="228"/>
      <c r="AD2" s="229"/>
      <c r="AF2" s="228"/>
      <c r="AG2" s="229"/>
      <c r="AI2" s="228"/>
      <c r="AJ2" s="229"/>
      <c r="AL2" s="228"/>
      <c r="AM2" s="229"/>
      <c r="AO2" s="228"/>
      <c r="AP2" s="229"/>
      <c r="AR2" s="228"/>
      <c r="AS2" s="229"/>
      <c r="AU2" s="228"/>
      <c r="AV2" s="229"/>
      <c r="AX2" s="228"/>
      <c r="AY2" s="229"/>
      <c r="BA2" s="228"/>
      <c r="BB2" s="229"/>
      <c r="BD2" s="228"/>
      <c r="BE2" s="229"/>
      <c r="BG2" s="228"/>
      <c r="BH2" s="229"/>
      <c r="BJ2" s="228"/>
      <c r="BK2" s="229"/>
      <c r="BM2" s="228"/>
      <c r="BN2" s="229"/>
      <c r="BP2" s="228"/>
      <c r="BQ2" s="229"/>
      <c r="BS2" s="228"/>
      <c r="BT2" s="229"/>
      <c r="BV2" s="228"/>
      <c r="BW2" s="229"/>
      <c r="BY2" s="228"/>
      <c r="BZ2" s="229"/>
      <c r="CB2" s="228"/>
      <c r="CC2" s="229"/>
      <c r="CE2" s="228"/>
      <c r="CF2" s="229"/>
      <c r="CH2" s="228"/>
      <c r="CI2" s="229"/>
      <c r="CK2" s="228"/>
      <c r="CL2" s="229"/>
      <c r="CN2" s="228"/>
      <c r="CO2" s="229"/>
      <c r="CQ2" s="228"/>
      <c r="CR2" s="229"/>
      <c r="CT2" s="228"/>
      <c r="CU2" s="229"/>
      <c r="CW2" s="228"/>
      <c r="CX2" s="229"/>
      <c r="CZ2" s="228"/>
      <c r="DA2" s="229"/>
      <c r="DC2" s="228"/>
      <c r="DD2" s="229"/>
      <c r="DF2" s="228"/>
      <c r="DG2" s="229"/>
      <c r="DI2" s="228"/>
      <c r="DJ2" s="229"/>
      <c r="DL2" s="228"/>
      <c r="DM2" s="229"/>
      <c r="DO2" s="228"/>
      <c r="DP2" s="229"/>
      <c r="DR2" s="228"/>
      <c r="DS2" s="229"/>
      <c r="DU2" s="228"/>
      <c r="DV2" s="229"/>
      <c r="DX2" s="228"/>
      <c r="DY2" s="229"/>
      <c r="EB2" s="166" t="s">
        <v>44</v>
      </c>
      <c r="EC2" s="166"/>
      <c r="ED2" s="208"/>
      <c r="EE2" s="208">
        <f>EB41</f>
        <v>470625000</v>
      </c>
      <c r="EI2" s="208">
        <f>EG40</f>
        <v>0</v>
      </c>
      <c r="EM2" s="208"/>
      <c r="EN2" s="208">
        <f>EK41</f>
        <v>470625000</v>
      </c>
      <c r="EO2" s="232">
        <v>-81343.75</v>
      </c>
      <c r="EP2" s="228">
        <f>EN2+EO2</f>
        <v>470543656.25</v>
      </c>
      <c r="EQ2" s="228">
        <f>EE2+EO2</f>
        <v>470543656.25</v>
      </c>
    </row>
    <row r="3" spans="1:147" ht="15.75" thickTop="1" x14ac:dyDescent="0.25">
      <c r="A3" s="233" t="s">
        <v>265</v>
      </c>
      <c r="E3" s="234" t="s">
        <v>45</v>
      </c>
      <c r="F3" s="210"/>
      <c r="G3" s="211"/>
      <c r="EB3" s="166" t="s">
        <v>46</v>
      </c>
      <c r="ED3" s="208"/>
      <c r="EE3" s="208">
        <f>AVERAGE(EB11:EB41)</f>
        <v>303439516.12903225</v>
      </c>
      <c r="EI3" s="208">
        <f>AVERAGE(EG11:EG40)</f>
        <v>0</v>
      </c>
      <c r="EM3" s="208"/>
      <c r="EN3" s="208">
        <f>AVERAGE(EK11:EK41)</f>
        <v>211905645.16129032</v>
      </c>
    </row>
    <row r="4" spans="1:147" x14ac:dyDescent="0.25">
      <c r="E4" s="212" t="s">
        <v>44</v>
      </c>
      <c r="F4" s="208"/>
      <c r="G4" s="213">
        <f>EQ2</f>
        <v>470543656.25</v>
      </c>
      <c r="AI4" s="227" t="s">
        <v>47</v>
      </c>
      <c r="EB4" s="166" t="s">
        <v>48</v>
      </c>
      <c r="ED4" s="209"/>
      <c r="EE4" s="209">
        <f>IF(EE3=0,0,360*(AVERAGE(ED11:ED41)/EE3))</f>
        <v>3.8328288672903409E-2</v>
      </c>
      <c r="EI4" s="209">
        <f>IF(EI3=0,0,360*(AVERAGE(EH11:EH40)/EI3))</f>
        <v>0</v>
      </c>
      <c r="EM4" s="209"/>
      <c r="EN4" s="209">
        <f>IF(EN3=0,0,360*(AVERAGE(EM11:EM41)/EN3))</f>
        <v>3.8777469430627605E-2</v>
      </c>
      <c r="EO4" s="175" t="s">
        <v>239</v>
      </c>
      <c r="EQ4" s="169" t="s">
        <v>47</v>
      </c>
    </row>
    <row r="5" spans="1:147" x14ac:dyDescent="0.25">
      <c r="E5" s="212" t="s">
        <v>46</v>
      </c>
      <c r="F5" s="208"/>
      <c r="G5" s="213">
        <f>EE3</f>
        <v>303439516.12903225</v>
      </c>
      <c r="AI5" s="235" t="s">
        <v>39</v>
      </c>
      <c r="EB5" s="166" t="s">
        <v>49</v>
      </c>
      <c r="ED5" s="208"/>
      <c r="EE5" s="208">
        <f>MAX(EB11:EB41)</f>
        <v>470625000</v>
      </c>
      <c r="EI5" s="208">
        <f>MAX(EG11:EG40)</f>
        <v>0</v>
      </c>
      <c r="EM5" s="208"/>
      <c r="EN5" s="208">
        <f>MAX(EK11:EK41)</f>
        <v>470625000</v>
      </c>
      <c r="EO5" s="166" t="s">
        <v>240</v>
      </c>
    </row>
    <row r="6" spans="1:147" x14ac:dyDescent="0.25">
      <c r="E6" s="212" t="s">
        <v>48</v>
      </c>
      <c r="F6" s="208"/>
      <c r="G6" s="214">
        <f>EE4</f>
        <v>3.8328288672903409E-2</v>
      </c>
    </row>
    <row r="7" spans="1:147" ht="15.75" thickBot="1" x14ac:dyDescent="0.3">
      <c r="E7" s="215" t="s">
        <v>49</v>
      </c>
      <c r="F7" s="216"/>
      <c r="G7" s="217">
        <f>EE5</f>
        <v>470625000</v>
      </c>
      <c r="AI7" s="235" t="s">
        <v>39</v>
      </c>
      <c r="EB7" s="236" t="s">
        <v>50</v>
      </c>
      <c r="EC7" s="236"/>
      <c r="ED7" s="218"/>
      <c r="EE7" s="218"/>
      <c r="EG7" s="236" t="s">
        <v>51</v>
      </c>
      <c r="EH7" s="218"/>
      <c r="EI7" s="218"/>
      <c r="EJ7" s="165"/>
      <c r="EK7" s="236" t="s">
        <v>52</v>
      </c>
      <c r="EL7" s="236"/>
      <c r="EM7" s="218"/>
      <c r="EN7" s="218"/>
    </row>
    <row r="8" spans="1:147" ht="15.75" thickTop="1" x14ac:dyDescent="0.25">
      <c r="AI8" s="230" t="s">
        <v>53</v>
      </c>
      <c r="AL8" s="230" t="s">
        <v>53</v>
      </c>
      <c r="AO8" s="230" t="s">
        <v>53</v>
      </c>
      <c r="AR8" s="230" t="s">
        <v>53</v>
      </c>
      <c r="AU8" s="230" t="s">
        <v>53</v>
      </c>
      <c r="AX8" s="230" t="s">
        <v>53</v>
      </c>
      <c r="BA8" s="230" t="s">
        <v>53</v>
      </c>
      <c r="BD8" s="230" t="s">
        <v>53</v>
      </c>
      <c r="BG8" s="230" t="s">
        <v>53</v>
      </c>
      <c r="BJ8" s="230" t="s">
        <v>53</v>
      </c>
      <c r="BM8" s="230" t="s">
        <v>53</v>
      </c>
      <c r="BP8" s="230" t="s">
        <v>53</v>
      </c>
      <c r="BS8" s="230" t="s">
        <v>53</v>
      </c>
      <c r="BV8" s="230" t="s">
        <v>53</v>
      </c>
      <c r="BY8" s="230" t="s">
        <v>53</v>
      </c>
      <c r="CB8" s="230" t="s">
        <v>53</v>
      </c>
      <c r="CE8" s="230" t="s">
        <v>53</v>
      </c>
      <c r="CH8" s="230" t="s">
        <v>53</v>
      </c>
      <c r="CK8" s="230" t="s">
        <v>53</v>
      </c>
      <c r="CN8" s="230" t="s">
        <v>53</v>
      </c>
      <c r="CQ8" s="230" t="s">
        <v>53</v>
      </c>
      <c r="CT8" s="230" t="s">
        <v>53</v>
      </c>
      <c r="CW8" s="230" t="s">
        <v>53</v>
      </c>
      <c r="CZ8" s="230" t="s">
        <v>53</v>
      </c>
      <c r="DC8" s="230" t="s">
        <v>53</v>
      </c>
      <c r="DF8" s="230" t="s">
        <v>53</v>
      </c>
      <c r="DI8" s="230" t="s">
        <v>53</v>
      </c>
      <c r="DL8" s="230" t="s">
        <v>53</v>
      </c>
      <c r="DO8" s="230" t="s">
        <v>53</v>
      </c>
      <c r="DR8" s="230" t="s">
        <v>53</v>
      </c>
      <c r="EB8" s="219"/>
      <c r="EC8" s="219"/>
      <c r="ED8" s="219"/>
      <c r="EE8" s="219" t="s">
        <v>54</v>
      </c>
      <c r="EG8" s="219"/>
      <c r="EH8" s="237" t="s">
        <v>38</v>
      </c>
      <c r="EI8" s="219" t="s">
        <v>54</v>
      </c>
      <c r="EJ8" s="219"/>
      <c r="EK8" s="169" t="s">
        <v>55</v>
      </c>
      <c r="EL8" s="169" t="s">
        <v>56</v>
      </c>
      <c r="EM8" s="237" t="s">
        <v>57</v>
      </c>
      <c r="EN8" s="219" t="s">
        <v>54</v>
      </c>
    </row>
    <row r="9" spans="1:147" x14ac:dyDescent="0.25">
      <c r="B9" s="220" t="s">
        <v>58</v>
      </c>
      <c r="C9" s="221"/>
      <c r="D9" s="218"/>
      <c r="E9" s="220" t="s">
        <v>59</v>
      </c>
      <c r="F9" s="221"/>
      <c r="G9" s="218"/>
      <c r="H9" s="220" t="s">
        <v>60</v>
      </c>
      <c r="I9" s="221"/>
      <c r="J9" s="218"/>
      <c r="K9" s="220" t="s">
        <v>61</v>
      </c>
      <c r="L9" s="221"/>
      <c r="M9" s="218"/>
      <c r="N9" s="220" t="s">
        <v>62</v>
      </c>
      <c r="O9" s="221"/>
      <c r="P9" s="218"/>
      <c r="Q9" s="220" t="s">
        <v>63</v>
      </c>
      <c r="R9" s="221"/>
      <c r="S9" s="218"/>
      <c r="T9" s="220" t="s">
        <v>64</v>
      </c>
      <c r="U9" s="221"/>
      <c r="V9" s="218"/>
      <c r="W9" s="220" t="s">
        <v>65</v>
      </c>
      <c r="X9" s="221"/>
      <c r="Y9" s="218"/>
      <c r="Z9" s="220" t="s">
        <v>66</v>
      </c>
      <c r="AA9" s="221"/>
      <c r="AB9" s="218"/>
      <c r="AC9" s="238" t="s">
        <v>67</v>
      </c>
      <c r="AD9" s="221"/>
      <c r="AE9" s="218"/>
      <c r="AF9" s="238" t="s">
        <v>68</v>
      </c>
      <c r="AG9" s="221"/>
      <c r="AH9" s="218"/>
      <c r="AI9" s="220" t="s">
        <v>69</v>
      </c>
      <c r="AJ9" s="221"/>
      <c r="AK9" s="218"/>
      <c r="AL9" s="220" t="s">
        <v>70</v>
      </c>
      <c r="AM9" s="221"/>
      <c r="AN9" s="218"/>
      <c r="AO9" s="220" t="s">
        <v>71</v>
      </c>
      <c r="AP9" s="221"/>
      <c r="AQ9" s="218"/>
      <c r="AR9" s="220" t="s">
        <v>72</v>
      </c>
      <c r="AS9" s="221"/>
      <c r="AT9" s="218"/>
      <c r="AU9" s="220" t="s">
        <v>73</v>
      </c>
      <c r="AV9" s="221"/>
      <c r="AW9" s="218"/>
      <c r="AX9" s="220" t="s">
        <v>74</v>
      </c>
      <c r="AY9" s="221"/>
      <c r="AZ9" s="218"/>
      <c r="BA9" s="220" t="s">
        <v>75</v>
      </c>
      <c r="BB9" s="221"/>
      <c r="BC9" s="218"/>
      <c r="BD9" s="220" t="s">
        <v>76</v>
      </c>
      <c r="BE9" s="221"/>
      <c r="BF9" s="218"/>
      <c r="BG9" s="220" t="s">
        <v>77</v>
      </c>
      <c r="BH9" s="221"/>
      <c r="BI9" s="218"/>
      <c r="BJ9" s="220" t="s">
        <v>78</v>
      </c>
      <c r="BK9" s="221"/>
      <c r="BL9" s="218"/>
      <c r="BM9" s="220" t="s">
        <v>79</v>
      </c>
      <c r="BN9" s="221"/>
      <c r="BO9" s="218"/>
      <c r="BP9" s="220" t="s">
        <v>80</v>
      </c>
      <c r="BQ9" s="221"/>
      <c r="BR9" s="218"/>
      <c r="BS9" s="220" t="s">
        <v>81</v>
      </c>
      <c r="BT9" s="221"/>
      <c r="BU9" s="218"/>
      <c r="BV9" s="220" t="s">
        <v>82</v>
      </c>
      <c r="BW9" s="221"/>
      <c r="BX9" s="218"/>
      <c r="BY9" s="220" t="s">
        <v>83</v>
      </c>
      <c r="BZ9" s="221"/>
      <c r="CA9" s="218"/>
      <c r="CB9" s="220" t="s">
        <v>84</v>
      </c>
      <c r="CC9" s="221"/>
      <c r="CD9" s="218"/>
      <c r="CE9" s="220" t="s">
        <v>85</v>
      </c>
      <c r="CF9" s="221"/>
      <c r="CG9" s="218"/>
      <c r="CH9" s="220" t="s">
        <v>86</v>
      </c>
      <c r="CI9" s="221"/>
      <c r="CJ9" s="218"/>
      <c r="CK9" s="220" t="s">
        <v>87</v>
      </c>
      <c r="CL9" s="221"/>
      <c r="CM9" s="218"/>
      <c r="CN9" s="220" t="s">
        <v>88</v>
      </c>
      <c r="CO9" s="221"/>
      <c r="CP9" s="218"/>
      <c r="CQ9" s="220" t="s">
        <v>89</v>
      </c>
      <c r="CR9" s="221"/>
      <c r="CS9" s="218"/>
      <c r="CT9" s="220" t="s">
        <v>90</v>
      </c>
      <c r="CU9" s="221"/>
      <c r="CV9" s="218"/>
      <c r="CW9" s="220" t="s">
        <v>91</v>
      </c>
      <c r="CX9" s="221"/>
      <c r="CY9" s="218"/>
      <c r="CZ9" s="220" t="s">
        <v>92</v>
      </c>
      <c r="DA9" s="221"/>
      <c r="DB9" s="218"/>
      <c r="DC9" s="220" t="s">
        <v>93</v>
      </c>
      <c r="DD9" s="221"/>
      <c r="DE9" s="218"/>
      <c r="DF9" s="220" t="s">
        <v>94</v>
      </c>
      <c r="DG9" s="221"/>
      <c r="DH9" s="218"/>
      <c r="DI9" s="220" t="s">
        <v>95</v>
      </c>
      <c r="DJ9" s="221"/>
      <c r="DK9" s="218"/>
      <c r="DL9" s="220" t="s">
        <v>96</v>
      </c>
      <c r="DM9" s="221"/>
      <c r="DN9" s="218"/>
      <c r="DO9" s="220" t="s">
        <v>97</v>
      </c>
      <c r="DP9" s="221"/>
      <c r="DQ9" s="218"/>
      <c r="DR9" s="220" t="s">
        <v>98</v>
      </c>
      <c r="DS9" s="221"/>
      <c r="DT9" s="218"/>
      <c r="DU9" s="220" t="s">
        <v>99</v>
      </c>
      <c r="DV9" s="221"/>
      <c r="DW9" s="218"/>
      <c r="DX9" s="239" t="s">
        <v>100</v>
      </c>
      <c r="DY9" s="221"/>
      <c r="DZ9" s="218"/>
      <c r="EA9" s="165"/>
      <c r="EB9" s="169" t="s">
        <v>101</v>
      </c>
      <c r="EC9" s="169" t="s">
        <v>102</v>
      </c>
      <c r="ED9" s="219" t="s">
        <v>103</v>
      </c>
      <c r="EE9" s="219" t="s">
        <v>104</v>
      </c>
      <c r="EG9" s="237" t="s">
        <v>105</v>
      </c>
      <c r="EH9" s="219" t="s">
        <v>103</v>
      </c>
      <c r="EI9" s="219" t="s">
        <v>104</v>
      </c>
      <c r="EJ9" s="219"/>
      <c r="EK9" s="237" t="s">
        <v>57</v>
      </c>
      <c r="EL9" s="237" t="s">
        <v>57</v>
      </c>
      <c r="EM9" s="219" t="s">
        <v>103</v>
      </c>
      <c r="EN9" s="219" t="s">
        <v>104</v>
      </c>
    </row>
    <row r="10" spans="1:147" x14ac:dyDescent="0.25">
      <c r="A10" s="219" t="s">
        <v>106</v>
      </c>
      <c r="B10" s="240" t="s">
        <v>107</v>
      </c>
      <c r="C10" s="241" t="s">
        <v>108</v>
      </c>
      <c r="D10" s="242" t="s">
        <v>12</v>
      </c>
      <c r="E10" s="240" t="s">
        <v>107</v>
      </c>
      <c r="F10" s="241" t="s">
        <v>108</v>
      </c>
      <c r="G10" s="242" t="s">
        <v>12</v>
      </c>
      <c r="H10" s="240" t="s">
        <v>107</v>
      </c>
      <c r="I10" s="241" t="s">
        <v>108</v>
      </c>
      <c r="J10" s="242" t="s">
        <v>12</v>
      </c>
      <c r="K10" s="240" t="s">
        <v>107</v>
      </c>
      <c r="L10" s="241" t="s">
        <v>108</v>
      </c>
      <c r="M10" s="242" t="s">
        <v>12</v>
      </c>
      <c r="N10" s="240" t="s">
        <v>107</v>
      </c>
      <c r="O10" s="241" t="s">
        <v>108</v>
      </c>
      <c r="P10" s="242" t="s">
        <v>12</v>
      </c>
      <c r="Q10" s="240" t="s">
        <v>107</v>
      </c>
      <c r="R10" s="241" t="s">
        <v>108</v>
      </c>
      <c r="S10" s="242" t="s">
        <v>12</v>
      </c>
      <c r="T10" s="240" t="s">
        <v>107</v>
      </c>
      <c r="U10" s="241" t="s">
        <v>108</v>
      </c>
      <c r="V10" s="242" t="s">
        <v>12</v>
      </c>
      <c r="W10" s="240" t="s">
        <v>107</v>
      </c>
      <c r="X10" s="241" t="s">
        <v>108</v>
      </c>
      <c r="Y10" s="242" t="s">
        <v>12</v>
      </c>
      <c r="Z10" s="240" t="s">
        <v>107</v>
      </c>
      <c r="AA10" s="241" t="s">
        <v>108</v>
      </c>
      <c r="AB10" s="242" t="s">
        <v>12</v>
      </c>
      <c r="AC10" s="240" t="s">
        <v>107</v>
      </c>
      <c r="AD10" s="241" t="s">
        <v>108</v>
      </c>
      <c r="AE10" s="242" t="s">
        <v>12</v>
      </c>
      <c r="AF10" s="240" t="s">
        <v>107</v>
      </c>
      <c r="AG10" s="241" t="s">
        <v>108</v>
      </c>
      <c r="AH10" s="242" t="s">
        <v>12</v>
      </c>
      <c r="AI10" s="240" t="s">
        <v>107</v>
      </c>
      <c r="AJ10" s="241" t="s">
        <v>108</v>
      </c>
      <c r="AK10" s="242" t="s">
        <v>12</v>
      </c>
      <c r="AL10" s="240" t="s">
        <v>107</v>
      </c>
      <c r="AM10" s="241" t="s">
        <v>108</v>
      </c>
      <c r="AN10" s="242" t="s">
        <v>12</v>
      </c>
      <c r="AO10" s="240" t="s">
        <v>107</v>
      </c>
      <c r="AP10" s="241" t="s">
        <v>108</v>
      </c>
      <c r="AQ10" s="242" t="s">
        <v>12</v>
      </c>
      <c r="AR10" s="240" t="s">
        <v>107</v>
      </c>
      <c r="AS10" s="241" t="s">
        <v>108</v>
      </c>
      <c r="AT10" s="242" t="s">
        <v>12</v>
      </c>
      <c r="AU10" s="240" t="s">
        <v>107</v>
      </c>
      <c r="AV10" s="241" t="s">
        <v>108</v>
      </c>
      <c r="AW10" s="242" t="s">
        <v>12</v>
      </c>
      <c r="AX10" s="240" t="s">
        <v>107</v>
      </c>
      <c r="AY10" s="241" t="s">
        <v>108</v>
      </c>
      <c r="AZ10" s="242" t="s">
        <v>12</v>
      </c>
      <c r="BA10" s="240" t="s">
        <v>107</v>
      </c>
      <c r="BB10" s="241" t="s">
        <v>108</v>
      </c>
      <c r="BC10" s="242" t="s">
        <v>12</v>
      </c>
      <c r="BD10" s="240" t="s">
        <v>107</v>
      </c>
      <c r="BE10" s="241" t="s">
        <v>108</v>
      </c>
      <c r="BF10" s="242" t="s">
        <v>12</v>
      </c>
      <c r="BG10" s="240" t="s">
        <v>107</v>
      </c>
      <c r="BH10" s="241" t="s">
        <v>108</v>
      </c>
      <c r="BI10" s="242" t="s">
        <v>12</v>
      </c>
      <c r="BJ10" s="240" t="s">
        <v>107</v>
      </c>
      <c r="BK10" s="241" t="s">
        <v>108</v>
      </c>
      <c r="BL10" s="242" t="s">
        <v>12</v>
      </c>
      <c r="BM10" s="240" t="s">
        <v>107</v>
      </c>
      <c r="BN10" s="241" t="s">
        <v>108</v>
      </c>
      <c r="BO10" s="242" t="s">
        <v>12</v>
      </c>
      <c r="BP10" s="240" t="s">
        <v>107</v>
      </c>
      <c r="BQ10" s="241" t="s">
        <v>108</v>
      </c>
      <c r="BR10" s="242" t="s">
        <v>12</v>
      </c>
      <c r="BS10" s="240" t="s">
        <v>107</v>
      </c>
      <c r="BT10" s="241" t="s">
        <v>108</v>
      </c>
      <c r="BU10" s="242" t="s">
        <v>12</v>
      </c>
      <c r="BV10" s="240" t="s">
        <v>107</v>
      </c>
      <c r="BW10" s="241" t="s">
        <v>108</v>
      </c>
      <c r="BX10" s="242" t="s">
        <v>12</v>
      </c>
      <c r="BY10" s="240" t="s">
        <v>107</v>
      </c>
      <c r="BZ10" s="241" t="s">
        <v>108</v>
      </c>
      <c r="CA10" s="242" t="s">
        <v>12</v>
      </c>
      <c r="CB10" s="240" t="s">
        <v>107</v>
      </c>
      <c r="CC10" s="241" t="s">
        <v>108</v>
      </c>
      <c r="CD10" s="242" t="s">
        <v>12</v>
      </c>
      <c r="CE10" s="240" t="s">
        <v>107</v>
      </c>
      <c r="CF10" s="241" t="s">
        <v>108</v>
      </c>
      <c r="CG10" s="242" t="s">
        <v>12</v>
      </c>
      <c r="CH10" s="240" t="s">
        <v>107</v>
      </c>
      <c r="CI10" s="241" t="s">
        <v>108</v>
      </c>
      <c r="CJ10" s="242" t="s">
        <v>12</v>
      </c>
      <c r="CK10" s="240" t="s">
        <v>107</v>
      </c>
      <c r="CL10" s="241" t="s">
        <v>108</v>
      </c>
      <c r="CM10" s="242" t="s">
        <v>12</v>
      </c>
      <c r="CN10" s="240" t="s">
        <v>107</v>
      </c>
      <c r="CO10" s="241" t="s">
        <v>108</v>
      </c>
      <c r="CP10" s="242" t="s">
        <v>12</v>
      </c>
      <c r="CQ10" s="240" t="s">
        <v>107</v>
      </c>
      <c r="CR10" s="241" t="s">
        <v>108</v>
      </c>
      <c r="CS10" s="242" t="s">
        <v>12</v>
      </c>
      <c r="CT10" s="240" t="s">
        <v>107</v>
      </c>
      <c r="CU10" s="241" t="s">
        <v>108</v>
      </c>
      <c r="CV10" s="242" t="s">
        <v>12</v>
      </c>
      <c r="CW10" s="240" t="s">
        <v>107</v>
      </c>
      <c r="CX10" s="241" t="s">
        <v>108</v>
      </c>
      <c r="CY10" s="242" t="s">
        <v>12</v>
      </c>
      <c r="CZ10" s="240" t="s">
        <v>107</v>
      </c>
      <c r="DA10" s="241" t="s">
        <v>108</v>
      </c>
      <c r="DB10" s="242" t="s">
        <v>12</v>
      </c>
      <c r="DC10" s="240" t="s">
        <v>107</v>
      </c>
      <c r="DD10" s="241" t="s">
        <v>108</v>
      </c>
      <c r="DE10" s="242" t="s">
        <v>12</v>
      </c>
      <c r="DF10" s="240" t="s">
        <v>107</v>
      </c>
      <c r="DG10" s="241" t="s">
        <v>108</v>
      </c>
      <c r="DH10" s="242" t="s">
        <v>12</v>
      </c>
      <c r="DI10" s="240" t="s">
        <v>107</v>
      </c>
      <c r="DJ10" s="241" t="s">
        <v>108</v>
      </c>
      <c r="DK10" s="242" t="s">
        <v>12</v>
      </c>
      <c r="DL10" s="240" t="s">
        <v>107</v>
      </c>
      <c r="DM10" s="241" t="s">
        <v>108</v>
      </c>
      <c r="DN10" s="242" t="s">
        <v>12</v>
      </c>
      <c r="DO10" s="240" t="s">
        <v>107</v>
      </c>
      <c r="DP10" s="241" t="s">
        <v>108</v>
      </c>
      <c r="DQ10" s="242" t="s">
        <v>12</v>
      </c>
      <c r="DR10" s="240" t="s">
        <v>107</v>
      </c>
      <c r="DS10" s="241" t="s">
        <v>108</v>
      </c>
      <c r="DT10" s="242" t="s">
        <v>12</v>
      </c>
      <c r="DU10" s="240" t="s">
        <v>107</v>
      </c>
      <c r="DV10" s="241" t="s">
        <v>108</v>
      </c>
      <c r="DW10" s="242" t="s">
        <v>12</v>
      </c>
      <c r="DX10" s="240" t="s">
        <v>107</v>
      </c>
      <c r="DY10" s="241"/>
      <c r="DZ10" s="242"/>
      <c r="EA10" s="242"/>
      <c r="EB10" s="242" t="s">
        <v>109</v>
      </c>
      <c r="EC10" s="242" t="s">
        <v>109</v>
      </c>
      <c r="ED10" s="242" t="s">
        <v>12</v>
      </c>
      <c r="EE10" s="242" t="s">
        <v>108</v>
      </c>
      <c r="EG10" s="242" t="s">
        <v>109</v>
      </c>
      <c r="EH10" s="242" t="s">
        <v>12</v>
      </c>
      <c r="EI10" s="242" t="s">
        <v>108</v>
      </c>
      <c r="EJ10" s="242"/>
      <c r="EK10" s="242" t="s">
        <v>109</v>
      </c>
      <c r="EL10" s="242" t="s">
        <v>109</v>
      </c>
      <c r="EM10" s="242" t="s">
        <v>12</v>
      </c>
      <c r="EN10" s="242" t="s">
        <v>108</v>
      </c>
    </row>
    <row r="11" spans="1:147" x14ac:dyDescent="0.25">
      <c r="A11" s="222">
        <v>45992</v>
      </c>
      <c r="B11" s="208">
        <v>77425000</v>
      </c>
      <c r="C11" s="209">
        <v>3.8475200000000001E-2</v>
      </c>
      <c r="D11" s="208">
        <f>(B11*C11)/360</f>
        <v>8274.8398888888878</v>
      </c>
      <c r="G11" s="208">
        <f>(E11*F11)/360</f>
        <v>0</v>
      </c>
      <c r="J11" s="208">
        <f>(H11*I11)/360</f>
        <v>0</v>
      </c>
      <c r="M11" s="208">
        <f>(K11*L11)/360</f>
        <v>0</v>
      </c>
      <c r="P11" s="208">
        <f>(N11*O11)/360</f>
        <v>0</v>
      </c>
      <c r="S11" s="208">
        <f>(Q11*R11)/360</f>
        <v>0</v>
      </c>
      <c r="V11" s="208">
        <f>(T11*U11)/360</f>
        <v>0</v>
      </c>
      <c r="Y11" s="208">
        <f>(W11*X11)/360</f>
        <v>0</v>
      </c>
      <c r="AB11" s="208">
        <f>(Z11*AA11)/360</f>
        <v>0</v>
      </c>
      <c r="AE11" s="208">
        <v>0</v>
      </c>
      <c r="AH11" s="208">
        <v>0</v>
      </c>
      <c r="AI11" s="223">
        <f>197775000</f>
        <v>197775000</v>
      </c>
      <c r="AJ11" s="224">
        <v>4.0500000000000001E-2</v>
      </c>
      <c r="AK11" s="208">
        <f>(AI11*AJ11)/360</f>
        <v>22249.6875</v>
      </c>
      <c r="AL11" s="223"/>
      <c r="AM11" s="224"/>
      <c r="AN11" s="208">
        <f>(AL11*AM11)/360</f>
        <v>0</v>
      </c>
      <c r="AO11" s="223"/>
      <c r="AP11" s="224"/>
      <c r="AQ11" s="208">
        <f>(AO11*AP11)/360</f>
        <v>0</v>
      </c>
      <c r="AR11" s="223"/>
      <c r="AS11" s="224"/>
      <c r="AT11" s="208">
        <f>(AR11*AS11)/360</f>
        <v>0</v>
      </c>
      <c r="AW11" s="208">
        <f>(AU11*AV11)/360</f>
        <v>0</v>
      </c>
      <c r="AZ11" s="208">
        <f>(AX11*AY11)/360</f>
        <v>0</v>
      </c>
      <c r="BC11" s="208">
        <f>(BA11*BB11)/360</f>
        <v>0</v>
      </c>
      <c r="BF11" s="208">
        <f>(BD11*BE11)/360</f>
        <v>0</v>
      </c>
      <c r="BI11" s="208">
        <f>(BG11*BH11)/360</f>
        <v>0</v>
      </c>
      <c r="BL11" s="208">
        <f>(BJ11*BK11)/360</f>
        <v>0</v>
      </c>
      <c r="BO11" s="208">
        <f>(BM11*BN11)/360</f>
        <v>0</v>
      </c>
      <c r="BR11" s="208">
        <f>(BP11*BQ11)/360</f>
        <v>0</v>
      </c>
      <c r="BU11" s="208">
        <f>(BS11*BT11)/360</f>
        <v>0</v>
      </c>
      <c r="BX11" s="208">
        <f>(BV11*BW11)/360</f>
        <v>0</v>
      </c>
      <c r="CA11" s="208">
        <f>(BY11*BZ11)/360</f>
        <v>0</v>
      </c>
      <c r="CD11" s="208">
        <f>(CB11*CC11)/360</f>
        <v>0</v>
      </c>
      <c r="CG11" s="208">
        <f>(CE11*CF11)/360</f>
        <v>0</v>
      </c>
      <c r="CJ11" s="208">
        <f>(CH11*CI11)/360</f>
        <v>0</v>
      </c>
      <c r="CM11" s="208">
        <f>(CK11*CL11)/360</f>
        <v>0</v>
      </c>
      <c r="CP11" s="208">
        <f>(CN11*CO11)/360</f>
        <v>0</v>
      </c>
      <c r="CS11" s="208">
        <f>(CQ11*CR11)/360</f>
        <v>0</v>
      </c>
      <c r="CV11" s="208">
        <f>(CT11*CU11)/360</f>
        <v>0</v>
      </c>
      <c r="CY11" s="208">
        <f>(CW11*CX11)/360</f>
        <v>0</v>
      </c>
      <c r="DB11" s="208">
        <f>(CZ11*DA11)/360</f>
        <v>0</v>
      </c>
      <c r="DE11" s="208">
        <f>(DC11*DD11)/360</f>
        <v>0</v>
      </c>
      <c r="DH11" s="208">
        <f>(DF11*DG11)/360</f>
        <v>0</v>
      </c>
      <c r="DK11" s="208">
        <f>(DI11*DJ11)/360</f>
        <v>0</v>
      </c>
      <c r="DN11" s="208">
        <f>(DL11*DM11)/360</f>
        <v>0</v>
      </c>
      <c r="DQ11" s="208">
        <f>(DO11*DP11)/360</f>
        <v>0</v>
      </c>
      <c r="DT11" s="208">
        <f>(DR11*DS11)/360</f>
        <v>0</v>
      </c>
      <c r="DW11" s="208">
        <f>(DU11*DV11)/360</f>
        <v>0</v>
      </c>
      <c r="DZ11" s="208"/>
      <c r="EA11" s="208"/>
      <c r="EB11" s="228">
        <f>B11+E11+H11+K11+N11+Q11+T11+W11+Z11+AC11+AF11+AL11+AO11+AR11+AU11+AX11+BA11+BD11+BG11+DU11+AI11+DR11+DO11+DL11+DI11+DF11+DC11+CZ11+CW11+CT11+CQ11+CN11+CK11+CH11+CE11+CB11+BY11+BV11+BS11+BP11+BM11+BJ11</f>
        <v>275200000</v>
      </c>
      <c r="EC11" s="228">
        <f>EB11-EK11+EL11</f>
        <v>77425000</v>
      </c>
      <c r="ED11" s="208">
        <f>D11+G11+J11+M11+P11+S11+V11+Y11+AB11+AE11+AH11+AK11+AN11+AQ11+AT11+AW11+AZ11+BC11+BF11+BI11+DW11+DT11+DQ11+DN11+DK11+DH11+DE11+DB11+CY11+CV11+CS11+CP11+CM11+CJ11+CG11+CD11+CA11+BX11+BU11+BR11+BO11+BL11</f>
        <v>30524.527388888888</v>
      </c>
      <c r="EE11" s="209">
        <f>IF(EB11&lt;&gt;0,((ED11/EB11)*360),0)</f>
        <v>3.9930341061046509E-2</v>
      </c>
      <c r="EG11" s="228">
        <f>Q11+T11+W11+Z11+AC11+AF11</f>
        <v>0</v>
      </c>
      <c r="EH11" s="208">
        <f>S11+V11+Y11+AB11+AE11+AH11</f>
        <v>0</v>
      </c>
      <c r="EI11" s="209">
        <f>IF(EG11&lt;&gt;0,((EH11/EG11)*360),0)</f>
        <v>0</v>
      </c>
      <c r="EJ11" s="209"/>
      <c r="EK11" s="228">
        <f>DR11+DL11+DI11+DF11+DC11+CZ11+CW11+CT11+CQ11+CN11+CK11+CH11+CE11+CB11+BY11+BV11+BS11+BP11+BM11+BJ11+BG11+BD11+BA11+AX11+AU11+AR11+AO11+AL11+AI11+DO11</f>
        <v>197775000</v>
      </c>
      <c r="EL11" s="228">
        <f>DX11</f>
        <v>0</v>
      </c>
      <c r="EM11" s="228">
        <f>DT11+DQ11+DN11+DK11+DH11+DE11+DB11+CY11+CV11+CS11+CP11+CM11+CJ11+CG11+CD11+CA11+BX11+BU11+BR11+BO11+BL11+BI11+BF11+BC11+AZ11+AW11+AT11+AQ11+AN11+AK11</f>
        <v>22249.6875</v>
      </c>
      <c r="EN11" s="209">
        <f>IF(EK11&lt;&gt;0,((EM11/EK11)*360),0)</f>
        <v>4.0500000000000001E-2</v>
      </c>
      <c r="EP11" s="208"/>
    </row>
    <row r="12" spans="1:147" x14ac:dyDescent="0.25">
      <c r="A12" s="222">
        <f>1+A11</f>
        <v>45993</v>
      </c>
      <c r="B12" s="208">
        <v>93200000</v>
      </c>
      <c r="C12" s="209">
        <v>3.8755959999999999E-2</v>
      </c>
      <c r="D12" s="208">
        <f t="shared" ref="D12:D41" si="0">(B12*C12)/360</f>
        <v>10033.487422222222</v>
      </c>
      <c r="G12" s="208">
        <f t="shared" ref="G12:G41" si="1">(E12*F12)/360</f>
        <v>0</v>
      </c>
      <c r="J12" s="208">
        <f t="shared" ref="J12:J41" si="2">(H12*I12)/360</f>
        <v>0</v>
      </c>
      <c r="M12" s="208">
        <f t="shared" ref="M12:M41" si="3">(K12*L12)/360</f>
        <v>0</v>
      </c>
      <c r="P12" s="208">
        <f t="shared" ref="P12:P41" si="4">(N12*O12)/360</f>
        <v>0</v>
      </c>
      <c r="S12" s="208">
        <f t="shared" ref="S12:S41" si="5">(Q12*R12)/360</f>
        <v>0</v>
      </c>
      <c r="V12" s="208">
        <f t="shared" ref="V12:V41" si="6">(T12*U12)/360</f>
        <v>0</v>
      </c>
      <c r="Y12" s="208">
        <f t="shared" ref="Y12:Y41" si="7">(W12*X12)/360</f>
        <v>0</v>
      </c>
      <c r="AB12" s="208">
        <f t="shared" ref="AB12:AB41" si="8">(Z12*AA12)/360</f>
        <v>0</v>
      </c>
      <c r="AE12" s="208">
        <v>0</v>
      </c>
      <c r="AH12" s="208">
        <v>0</v>
      </c>
      <c r="AI12" s="223">
        <v>174325000</v>
      </c>
      <c r="AJ12" s="224">
        <v>4.0500000000000001E-2</v>
      </c>
      <c r="AK12" s="208">
        <f t="shared" ref="AK12:AK41" si="9">(AI12*AJ12)/360</f>
        <v>19611.5625</v>
      </c>
      <c r="AL12" s="223"/>
      <c r="AM12" s="224"/>
      <c r="AN12" s="208">
        <f t="shared" ref="AN12:AN41" si="10">(AL12*AM12)/360</f>
        <v>0</v>
      </c>
      <c r="AO12" s="223"/>
      <c r="AP12" s="224"/>
      <c r="AQ12" s="208">
        <f t="shared" ref="AQ12:AQ41" si="11">(AO12*AP12)/360</f>
        <v>0</v>
      </c>
      <c r="AR12" s="223"/>
      <c r="AS12" s="224"/>
      <c r="AT12" s="208">
        <f t="shared" ref="AT12:AT41" si="12">(AR12*AS12)/360</f>
        <v>0</v>
      </c>
      <c r="AW12" s="208">
        <f t="shared" ref="AW12:AW41" si="13">(AU12*AV12)/360</f>
        <v>0</v>
      </c>
      <c r="AZ12" s="208">
        <f t="shared" ref="AZ12:AZ41" si="14">(AX12*AY12)/360</f>
        <v>0</v>
      </c>
      <c r="BC12" s="208">
        <f t="shared" ref="BC12:BC41" si="15">(BA12*BB12)/360</f>
        <v>0</v>
      </c>
      <c r="BF12" s="208">
        <f t="shared" ref="BF12:BF41" si="16">(BD12*BE12)/360</f>
        <v>0</v>
      </c>
      <c r="BI12" s="208">
        <f t="shared" ref="BI12:BI41" si="17">(BG12*BH12)/360</f>
        <v>0</v>
      </c>
      <c r="BL12" s="208">
        <f t="shared" ref="BL12:BL41" si="18">(BJ12*BK12)/360</f>
        <v>0</v>
      </c>
      <c r="BO12" s="208">
        <f t="shared" ref="BO12:BO41" si="19">(BM12*BN12)/360</f>
        <v>0</v>
      </c>
      <c r="BR12" s="208">
        <f t="shared" ref="BR12:BR41" si="20">(BP12*BQ12)/360</f>
        <v>0</v>
      </c>
      <c r="BU12" s="208">
        <f t="shared" ref="BU12:BU41" si="21">(BS12*BT12)/360</f>
        <v>0</v>
      </c>
      <c r="BX12" s="208">
        <f t="shared" ref="BX12:BX41" si="22">(BV12*BW12)/360</f>
        <v>0</v>
      </c>
      <c r="CA12" s="208">
        <f t="shared" ref="CA12:CA41" si="23">(BY12*BZ12)/360</f>
        <v>0</v>
      </c>
      <c r="CD12" s="208">
        <f t="shared" ref="CD12:CD41" si="24">(CB12*CC12)/360</f>
        <v>0</v>
      </c>
      <c r="CG12" s="208">
        <f t="shared" ref="CG12:CG41" si="25">(CE12*CF12)/360</f>
        <v>0</v>
      </c>
      <c r="CJ12" s="208">
        <f t="shared" ref="CJ12:CJ41" si="26">(CH12*CI12)/360</f>
        <v>0</v>
      </c>
      <c r="CM12" s="208">
        <f t="shared" ref="CM12:CM41" si="27">(CK12*CL12)/360</f>
        <v>0</v>
      </c>
      <c r="CP12" s="208">
        <f t="shared" ref="CP12:CP41" si="28">(CN12*CO12)/360</f>
        <v>0</v>
      </c>
      <c r="CS12" s="208">
        <f t="shared" ref="CS12:CS41" si="29">(CQ12*CR12)/360</f>
        <v>0</v>
      </c>
      <c r="CV12" s="208">
        <f t="shared" ref="CV12:CV41" si="30">(CT12*CU12)/360</f>
        <v>0</v>
      </c>
      <c r="CY12" s="208">
        <f t="shared" ref="CY12:CY41" si="31">(CW12*CX12)/360</f>
        <v>0</v>
      </c>
      <c r="DB12" s="208">
        <f t="shared" ref="DB12:DB41" si="32">(CZ12*DA12)/360</f>
        <v>0</v>
      </c>
      <c r="DE12" s="208">
        <f t="shared" ref="DE12:DE41" si="33">(DC12*DD12)/360</f>
        <v>0</v>
      </c>
      <c r="DH12" s="208">
        <f t="shared" ref="DH12:DH41" si="34">(DF12*DG12)/360</f>
        <v>0</v>
      </c>
      <c r="DK12" s="208">
        <f t="shared" ref="DK12:DK41" si="35">(DI12*DJ12)/360</f>
        <v>0</v>
      </c>
      <c r="DN12" s="208">
        <f t="shared" ref="DN12:DN41" si="36">(DL12*DM12)/360</f>
        <v>0</v>
      </c>
      <c r="DQ12" s="208">
        <f t="shared" ref="DQ12:DQ41" si="37">(DO12*DP12)/360</f>
        <v>0</v>
      </c>
      <c r="DT12" s="208">
        <f t="shared" ref="DT12:DT41" si="38">(DR12*DS12)/360</f>
        <v>0</v>
      </c>
      <c r="DW12" s="208">
        <f t="shared" ref="DW12:DW41" si="39">(DU12*DV12)/360</f>
        <v>0</v>
      </c>
      <c r="DZ12" s="208"/>
      <c r="EA12" s="208"/>
      <c r="EB12" s="228">
        <f t="shared" ref="EB12:EB41" si="40">B12+E12+H12+K12+N12+Q12+T12+W12+Z12+AC12+AF12+AL12+AO12+AR12+AU12+AX12+BA12+BD12+BG12+DU12+AI12+DR12+DO12+DL12+DI12+DF12+DC12+CZ12+CW12+CT12+CQ12+CN12+CK12+CH12+CE12+CB12+BY12+BV12+BS12+BP12+BM12+BJ12</f>
        <v>267525000</v>
      </c>
      <c r="EC12" s="228">
        <f t="shared" ref="EC12:EC41" si="41">EB12-EK12+EL12</f>
        <v>93200000</v>
      </c>
      <c r="ED12" s="208">
        <f t="shared" ref="ED12:ED41" si="42">D12+G12+J12+M12+P12+S12+V12+Y12+AB12+AE12+AH12+AK12+AN12+AQ12+AT12+AW12+AZ12+BC12+BF12+BI12+DW12+DT12+DQ12+DN12+DK12+DH12+DE12+DB12+CY12+CV12+CS12+CP12+CM12+CJ12+CG12+CD12+CA12+BX12+BU12+BR12+BO12+BL12</f>
        <v>29645.049922222221</v>
      </c>
      <c r="EE12" s="209">
        <f t="shared" ref="EE12:EE41" si="43">IF(EB12&lt;&gt;0,((ED12/EB12)*360),0)</f>
        <v>3.9892413688440327E-2</v>
      </c>
      <c r="EG12" s="228">
        <f t="shared" ref="EG12:EG41" si="44">Q12+T12+W12+Z12+AC12+AF12</f>
        <v>0</v>
      </c>
      <c r="EH12" s="208">
        <f t="shared" ref="EH12:EH41" si="45">S12+V12+Y12+AB12+AE12+AH12</f>
        <v>0</v>
      </c>
      <c r="EI12" s="209">
        <f t="shared" ref="EI12:EI41" si="46">IF(EG12&lt;&gt;0,((EH12/EG12)*360),0)</f>
        <v>0</v>
      </c>
      <c r="EJ12" s="209"/>
      <c r="EK12" s="228">
        <f t="shared" ref="EK12:EK41" si="47">DR12+DL12+DI12+DF12+DC12+CZ12+CW12+CT12+CQ12+CN12+CK12+CH12+CE12+CB12+BY12+BV12+BS12+BP12+BM12+BJ12+BG12+BD12+BA12+AX12+AU12+AR12+AO12+AL12+AI12+DO12</f>
        <v>174325000</v>
      </c>
      <c r="EL12" s="228">
        <f t="shared" ref="EL12:EL41" si="48">DX12</f>
        <v>0</v>
      </c>
      <c r="EM12" s="228">
        <f t="shared" ref="EM12:EM41" si="49">DT12+DQ12+DN12+DK12+DH12+DE12+DB12+CY12+CV12+CS12+CP12+CM12+CJ12+CG12+CD12+CA12+BX12+BU12+BR12+BO12+BL12+BI12+BF12+BC12+AZ12+AW12+AT12+AQ12+AN12+AK12</f>
        <v>19611.5625</v>
      </c>
      <c r="EN12" s="209">
        <f t="shared" ref="EN12:EN41" si="50">IF(EK12&lt;&gt;0,((EM12/EK12)*360),0)</f>
        <v>4.0500000000000001E-2</v>
      </c>
      <c r="EP12" s="208"/>
    </row>
    <row r="13" spans="1:147" x14ac:dyDescent="0.25">
      <c r="A13" s="222">
        <f t="shared" ref="A13:A41" si="51">1+A12</f>
        <v>45994</v>
      </c>
      <c r="B13" s="208">
        <v>99750000</v>
      </c>
      <c r="C13" s="209">
        <v>3.858806E-2</v>
      </c>
      <c r="D13" s="208">
        <f t="shared" si="0"/>
        <v>10692.108291666666</v>
      </c>
      <c r="G13" s="208">
        <f t="shared" si="1"/>
        <v>0</v>
      </c>
      <c r="J13" s="208">
        <f t="shared" si="2"/>
        <v>0</v>
      </c>
      <c r="M13" s="208">
        <f t="shared" si="3"/>
        <v>0</v>
      </c>
      <c r="P13" s="208">
        <f t="shared" si="4"/>
        <v>0</v>
      </c>
      <c r="S13" s="208">
        <f t="shared" si="5"/>
        <v>0</v>
      </c>
      <c r="V13" s="208">
        <f t="shared" si="6"/>
        <v>0</v>
      </c>
      <c r="Y13" s="208">
        <f t="shared" si="7"/>
        <v>0</v>
      </c>
      <c r="AB13" s="208">
        <f t="shared" si="8"/>
        <v>0</v>
      </c>
      <c r="AE13" s="208">
        <v>0</v>
      </c>
      <c r="AH13" s="208">
        <v>0</v>
      </c>
      <c r="AI13" s="223">
        <v>173225000</v>
      </c>
      <c r="AJ13" s="224">
        <v>4.0500000000000001E-2</v>
      </c>
      <c r="AK13" s="208">
        <f t="shared" si="9"/>
        <v>19487.8125</v>
      </c>
      <c r="AL13" s="223"/>
      <c r="AM13" s="224"/>
      <c r="AN13" s="208">
        <f t="shared" si="10"/>
        <v>0</v>
      </c>
      <c r="AO13" s="223"/>
      <c r="AP13" s="224"/>
      <c r="AQ13" s="208">
        <f t="shared" si="11"/>
        <v>0</v>
      </c>
      <c r="AR13" s="223"/>
      <c r="AS13" s="224"/>
      <c r="AT13" s="208">
        <f t="shared" si="12"/>
        <v>0</v>
      </c>
      <c r="AW13" s="208">
        <f t="shared" si="13"/>
        <v>0</v>
      </c>
      <c r="AZ13" s="208">
        <f t="shared" si="14"/>
        <v>0</v>
      </c>
      <c r="BC13" s="208">
        <f t="shared" si="15"/>
        <v>0</v>
      </c>
      <c r="BF13" s="208">
        <f t="shared" si="16"/>
        <v>0</v>
      </c>
      <c r="BI13" s="208">
        <f t="shared" si="17"/>
        <v>0</v>
      </c>
      <c r="BL13" s="208">
        <f t="shared" si="18"/>
        <v>0</v>
      </c>
      <c r="BO13" s="208">
        <f t="shared" si="19"/>
        <v>0</v>
      </c>
      <c r="BR13" s="208">
        <f t="shared" si="20"/>
        <v>0</v>
      </c>
      <c r="BU13" s="208">
        <f t="shared" si="21"/>
        <v>0</v>
      </c>
      <c r="BX13" s="208">
        <f t="shared" si="22"/>
        <v>0</v>
      </c>
      <c r="CA13" s="208">
        <f t="shared" si="23"/>
        <v>0</v>
      </c>
      <c r="CD13" s="208">
        <f t="shared" si="24"/>
        <v>0</v>
      </c>
      <c r="CG13" s="208">
        <f t="shared" si="25"/>
        <v>0</v>
      </c>
      <c r="CJ13" s="208">
        <f t="shared" si="26"/>
        <v>0</v>
      </c>
      <c r="CM13" s="208">
        <f t="shared" si="27"/>
        <v>0</v>
      </c>
      <c r="CP13" s="208">
        <f t="shared" si="28"/>
        <v>0</v>
      </c>
      <c r="CS13" s="208">
        <f t="shared" si="29"/>
        <v>0</v>
      </c>
      <c r="CV13" s="208">
        <f t="shared" si="30"/>
        <v>0</v>
      </c>
      <c r="CY13" s="208">
        <f t="shared" si="31"/>
        <v>0</v>
      </c>
      <c r="DB13" s="208">
        <f t="shared" si="32"/>
        <v>0</v>
      </c>
      <c r="DE13" s="208">
        <f t="shared" si="33"/>
        <v>0</v>
      </c>
      <c r="DH13" s="208">
        <f t="shared" si="34"/>
        <v>0</v>
      </c>
      <c r="DK13" s="208">
        <f t="shared" si="35"/>
        <v>0</v>
      </c>
      <c r="DN13" s="208">
        <f t="shared" si="36"/>
        <v>0</v>
      </c>
      <c r="DQ13" s="208">
        <f t="shared" si="37"/>
        <v>0</v>
      </c>
      <c r="DT13" s="208">
        <f t="shared" si="38"/>
        <v>0</v>
      </c>
      <c r="DW13" s="208">
        <f t="shared" si="39"/>
        <v>0</v>
      </c>
      <c r="DZ13" s="208"/>
      <c r="EA13" s="208"/>
      <c r="EB13" s="228">
        <f t="shared" si="40"/>
        <v>272975000</v>
      </c>
      <c r="EC13" s="228">
        <f t="shared" si="41"/>
        <v>99750000</v>
      </c>
      <c r="ED13" s="208">
        <f t="shared" si="42"/>
        <v>30179.920791666664</v>
      </c>
      <c r="EE13" s="209">
        <f t="shared" si="43"/>
        <v>3.9801342558842379E-2</v>
      </c>
      <c r="EG13" s="228">
        <f t="shared" si="44"/>
        <v>0</v>
      </c>
      <c r="EH13" s="208">
        <f t="shared" si="45"/>
        <v>0</v>
      </c>
      <c r="EI13" s="209">
        <f t="shared" si="46"/>
        <v>0</v>
      </c>
      <c r="EJ13" s="209"/>
      <c r="EK13" s="228">
        <f t="shared" si="47"/>
        <v>173225000</v>
      </c>
      <c r="EL13" s="228">
        <f t="shared" si="48"/>
        <v>0</v>
      </c>
      <c r="EM13" s="228">
        <f t="shared" si="49"/>
        <v>19487.8125</v>
      </c>
      <c r="EN13" s="209">
        <f t="shared" si="50"/>
        <v>4.0500000000000001E-2</v>
      </c>
      <c r="EP13" s="208"/>
    </row>
    <row r="14" spans="1:147" x14ac:dyDescent="0.25">
      <c r="A14" s="222">
        <f t="shared" si="51"/>
        <v>45995</v>
      </c>
      <c r="B14" s="208">
        <v>98900000</v>
      </c>
      <c r="C14" s="209">
        <v>3.9081659999999997E-2</v>
      </c>
      <c r="D14" s="208">
        <f t="shared" si="0"/>
        <v>10736.600483333332</v>
      </c>
      <c r="G14" s="208">
        <f t="shared" si="1"/>
        <v>0</v>
      </c>
      <c r="J14" s="208">
        <f t="shared" si="2"/>
        <v>0</v>
      </c>
      <c r="M14" s="208">
        <f t="shared" si="3"/>
        <v>0</v>
      </c>
      <c r="P14" s="208">
        <f t="shared" si="4"/>
        <v>0</v>
      </c>
      <c r="S14" s="208">
        <f t="shared" si="5"/>
        <v>0</v>
      </c>
      <c r="V14" s="208">
        <f t="shared" si="6"/>
        <v>0</v>
      </c>
      <c r="Y14" s="208">
        <f t="shared" si="7"/>
        <v>0</v>
      </c>
      <c r="AB14" s="208">
        <f t="shared" si="8"/>
        <v>0</v>
      </c>
      <c r="AE14" s="208">
        <v>0</v>
      </c>
      <c r="AH14" s="208">
        <v>0</v>
      </c>
      <c r="AI14" s="223">
        <v>176325000</v>
      </c>
      <c r="AJ14" s="224">
        <v>4.0500000000000001E-2</v>
      </c>
      <c r="AK14" s="208">
        <f t="shared" si="9"/>
        <v>19836.5625</v>
      </c>
      <c r="AL14" s="223"/>
      <c r="AM14" s="224"/>
      <c r="AN14" s="208">
        <f t="shared" si="10"/>
        <v>0</v>
      </c>
      <c r="AO14" s="223"/>
      <c r="AP14" s="224"/>
      <c r="AQ14" s="208">
        <f t="shared" si="11"/>
        <v>0</v>
      </c>
      <c r="AR14" s="223"/>
      <c r="AS14" s="224"/>
      <c r="AT14" s="208">
        <f t="shared" si="12"/>
        <v>0</v>
      </c>
      <c r="AW14" s="208">
        <f t="shared" si="13"/>
        <v>0</v>
      </c>
      <c r="AZ14" s="208">
        <f t="shared" si="14"/>
        <v>0</v>
      </c>
      <c r="BC14" s="208">
        <f t="shared" si="15"/>
        <v>0</v>
      </c>
      <c r="BF14" s="208">
        <f t="shared" si="16"/>
        <v>0</v>
      </c>
      <c r="BI14" s="208">
        <f t="shared" si="17"/>
        <v>0</v>
      </c>
      <c r="BL14" s="208">
        <f t="shared" si="18"/>
        <v>0</v>
      </c>
      <c r="BO14" s="208">
        <f t="shared" si="19"/>
        <v>0</v>
      </c>
      <c r="BR14" s="208">
        <f t="shared" si="20"/>
        <v>0</v>
      </c>
      <c r="BU14" s="208">
        <f t="shared" si="21"/>
        <v>0</v>
      </c>
      <c r="BX14" s="208">
        <f t="shared" si="22"/>
        <v>0</v>
      </c>
      <c r="CA14" s="208">
        <f t="shared" si="23"/>
        <v>0</v>
      </c>
      <c r="CD14" s="208">
        <f t="shared" si="24"/>
        <v>0</v>
      </c>
      <c r="CG14" s="208">
        <f t="shared" si="25"/>
        <v>0</v>
      </c>
      <c r="CJ14" s="208">
        <f t="shared" si="26"/>
        <v>0</v>
      </c>
      <c r="CM14" s="208">
        <f t="shared" si="27"/>
        <v>0</v>
      </c>
      <c r="CP14" s="208">
        <f t="shared" si="28"/>
        <v>0</v>
      </c>
      <c r="CS14" s="208">
        <f t="shared" si="29"/>
        <v>0</v>
      </c>
      <c r="CV14" s="208">
        <f t="shared" si="30"/>
        <v>0</v>
      </c>
      <c r="CY14" s="208">
        <f t="shared" si="31"/>
        <v>0</v>
      </c>
      <c r="DB14" s="208">
        <f t="shared" si="32"/>
        <v>0</v>
      </c>
      <c r="DE14" s="208">
        <f t="shared" si="33"/>
        <v>0</v>
      </c>
      <c r="DH14" s="208">
        <f t="shared" si="34"/>
        <v>0</v>
      </c>
      <c r="DK14" s="208">
        <f t="shared" si="35"/>
        <v>0</v>
      </c>
      <c r="DN14" s="208">
        <f t="shared" si="36"/>
        <v>0</v>
      </c>
      <c r="DQ14" s="208">
        <f t="shared" si="37"/>
        <v>0</v>
      </c>
      <c r="DT14" s="208">
        <f t="shared" si="38"/>
        <v>0</v>
      </c>
      <c r="DW14" s="208">
        <f t="shared" si="39"/>
        <v>0</v>
      </c>
      <c r="DZ14" s="208"/>
      <c r="EA14" s="208"/>
      <c r="EB14" s="228">
        <f t="shared" si="40"/>
        <v>275225000</v>
      </c>
      <c r="EC14" s="228">
        <f t="shared" si="41"/>
        <v>98900000</v>
      </c>
      <c r="ED14" s="208">
        <f t="shared" si="42"/>
        <v>30573.162983333332</v>
      </c>
      <c r="EE14" s="209">
        <f t="shared" si="43"/>
        <v>3.9990330362430736E-2</v>
      </c>
      <c r="EG14" s="228">
        <f t="shared" si="44"/>
        <v>0</v>
      </c>
      <c r="EH14" s="208">
        <f t="shared" si="45"/>
        <v>0</v>
      </c>
      <c r="EI14" s="209">
        <f t="shared" si="46"/>
        <v>0</v>
      </c>
      <c r="EJ14" s="209"/>
      <c r="EK14" s="228">
        <f t="shared" si="47"/>
        <v>176325000</v>
      </c>
      <c r="EL14" s="228">
        <f t="shared" si="48"/>
        <v>0</v>
      </c>
      <c r="EM14" s="228">
        <f t="shared" si="49"/>
        <v>19836.5625</v>
      </c>
      <c r="EN14" s="209">
        <f t="shared" si="50"/>
        <v>4.0500000000000001E-2</v>
      </c>
      <c r="EP14" s="208"/>
    </row>
    <row r="15" spans="1:147" x14ac:dyDescent="0.25">
      <c r="A15" s="222">
        <f t="shared" si="51"/>
        <v>45996</v>
      </c>
      <c r="B15" s="208">
        <v>93375000</v>
      </c>
      <c r="C15" s="209">
        <v>3.9100849999999999E-2</v>
      </c>
      <c r="D15" s="208">
        <f t="shared" si="0"/>
        <v>10141.78296875</v>
      </c>
      <c r="G15" s="208">
        <f t="shared" si="1"/>
        <v>0</v>
      </c>
      <c r="J15" s="208">
        <f t="shared" si="2"/>
        <v>0</v>
      </c>
      <c r="M15" s="208">
        <f t="shared" si="3"/>
        <v>0</v>
      </c>
      <c r="P15" s="208">
        <f t="shared" si="4"/>
        <v>0</v>
      </c>
      <c r="S15" s="208">
        <f t="shared" si="5"/>
        <v>0</v>
      </c>
      <c r="V15" s="208">
        <f t="shared" si="6"/>
        <v>0</v>
      </c>
      <c r="Y15" s="208">
        <f t="shared" si="7"/>
        <v>0</v>
      </c>
      <c r="AB15" s="208">
        <f t="shared" si="8"/>
        <v>0</v>
      </c>
      <c r="AE15" s="208">
        <v>0</v>
      </c>
      <c r="AH15" s="208">
        <v>0</v>
      </c>
      <c r="AI15" s="223">
        <v>190675000</v>
      </c>
      <c r="AJ15" s="224">
        <v>4.0500000000000001E-2</v>
      </c>
      <c r="AK15" s="208">
        <f t="shared" si="9"/>
        <v>21450.9375</v>
      </c>
      <c r="AL15" s="223"/>
      <c r="AM15" s="224"/>
      <c r="AN15" s="208">
        <f t="shared" si="10"/>
        <v>0</v>
      </c>
      <c r="AO15" s="223"/>
      <c r="AP15" s="224"/>
      <c r="AQ15" s="208">
        <f t="shared" si="11"/>
        <v>0</v>
      </c>
      <c r="AR15" s="223"/>
      <c r="AS15" s="224"/>
      <c r="AT15" s="208">
        <f t="shared" si="12"/>
        <v>0</v>
      </c>
      <c r="AW15" s="208">
        <f t="shared" si="13"/>
        <v>0</v>
      </c>
      <c r="AZ15" s="208">
        <f t="shared" si="14"/>
        <v>0</v>
      </c>
      <c r="BC15" s="208">
        <f t="shared" si="15"/>
        <v>0</v>
      </c>
      <c r="BF15" s="208">
        <f t="shared" si="16"/>
        <v>0</v>
      </c>
      <c r="BI15" s="208">
        <f t="shared" si="17"/>
        <v>0</v>
      </c>
      <c r="BL15" s="208">
        <f t="shared" si="18"/>
        <v>0</v>
      </c>
      <c r="BO15" s="208">
        <f t="shared" si="19"/>
        <v>0</v>
      </c>
      <c r="BR15" s="208">
        <f t="shared" si="20"/>
        <v>0</v>
      </c>
      <c r="BU15" s="208">
        <f t="shared" si="21"/>
        <v>0</v>
      </c>
      <c r="BX15" s="208">
        <f t="shared" si="22"/>
        <v>0</v>
      </c>
      <c r="CA15" s="208">
        <f t="shared" si="23"/>
        <v>0</v>
      </c>
      <c r="CD15" s="208">
        <f t="shared" si="24"/>
        <v>0</v>
      </c>
      <c r="CG15" s="208">
        <f t="shared" si="25"/>
        <v>0</v>
      </c>
      <c r="CJ15" s="208">
        <f t="shared" si="26"/>
        <v>0</v>
      </c>
      <c r="CM15" s="208">
        <f t="shared" si="27"/>
        <v>0</v>
      </c>
      <c r="CP15" s="208">
        <f t="shared" si="28"/>
        <v>0</v>
      </c>
      <c r="CS15" s="208">
        <f t="shared" si="29"/>
        <v>0</v>
      </c>
      <c r="CV15" s="208">
        <f t="shared" si="30"/>
        <v>0</v>
      </c>
      <c r="CY15" s="208">
        <f t="shared" si="31"/>
        <v>0</v>
      </c>
      <c r="DB15" s="208">
        <f t="shared" si="32"/>
        <v>0</v>
      </c>
      <c r="DE15" s="208">
        <f t="shared" si="33"/>
        <v>0</v>
      </c>
      <c r="DH15" s="208">
        <f t="shared" si="34"/>
        <v>0</v>
      </c>
      <c r="DK15" s="208">
        <f t="shared" si="35"/>
        <v>0</v>
      </c>
      <c r="DN15" s="208">
        <f t="shared" si="36"/>
        <v>0</v>
      </c>
      <c r="DQ15" s="208">
        <f t="shared" si="37"/>
        <v>0</v>
      </c>
      <c r="DT15" s="208">
        <f t="shared" si="38"/>
        <v>0</v>
      </c>
      <c r="DW15" s="208">
        <f t="shared" si="39"/>
        <v>0</v>
      </c>
      <c r="DZ15" s="208"/>
      <c r="EA15" s="208"/>
      <c r="EB15" s="228">
        <f t="shared" si="40"/>
        <v>284050000</v>
      </c>
      <c r="EC15" s="228">
        <f t="shared" si="41"/>
        <v>93375000</v>
      </c>
      <c r="ED15" s="208">
        <f t="shared" si="42"/>
        <v>31592.720468749998</v>
      </c>
      <c r="EE15" s="209">
        <f t="shared" si="43"/>
        <v>4.0040061146805139E-2</v>
      </c>
      <c r="EG15" s="228">
        <f t="shared" si="44"/>
        <v>0</v>
      </c>
      <c r="EH15" s="208">
        <f t="shared" si="45"/>
        <v>0</v>
      </c>
      <c r="EI15" s="209">
        <f t="shared" si="46"/>
        <v>0</v>
      </c>
      <c r="EJ15" s="209"/>
      <c r="EK15" s="228">
        <f t="shared" si="47"/>
        <v>190675000</v>
      </c>
      <c r="EL15" s="228">
        <f t="shared" si="48"/>
        <v>0</v>
      </c>
      <c r="EM15" s="228">
        <f t="shared" si="49"/>
        <v>21450.9375</v>
      </c>
      <c r="EN15" s="209">
        <f t="shared" si="50"/>
        <v>4.0500000000000001E-2</v>
      </c>
      <c r="EP15" s="208"/>
    </row>
    <row r="16" spans="1:147" x14ac:dyDescent="0.25">
      <c r="A16" s="222">
        <f t="shared" si="51"/>
        <v>45997</v>
      </c>
      <c r="B16" s="208">
        <v>93375000</v>
      </c>
      <c r="C16" s="209">
        <v>3.9100849999999999E-2</v>
      </c>
      <c r="D16" s="208">
        <f t="shared" si="0"/>
        <v>10141.78296875</v>
      </c>
      <c r="G16" s="208">
        <f t="shared" si="1"/>
        <v>0</v>
      </c>
      <c r="J16" s="208">
        <f t="shared" si="2"/>
        <v>0</v>
      </c>
      <c r="M16" s="208">
        <f t="shared" si="3"/>
        <v>0</v>
      </c>
      <c r="P16" s="208">
        <f t="shared" si="4"/>
        <v>0</v>
      </c>
      <c r="S16" s="208">
        <f t="shared" si="5"/>
        <v>0</v>
      </c>
      <c r="V16" s="208">
        <f t="shared" si="6"/>
        <v>0</v>
      </c>
      <c r="Y16" s="208">
        <f t="shared" si="7"/>
        <v>0</v>
      </c>
      <c r="AB16" s="208">
        <f t="shared" si="8"/>
        <v>0</v>
      </c>
      <c r="AE16" s="208">
        <v>0</v>
      </c>
      <c r="AH16" s="208">
        <v>0</v>
      </c>
      <c r="AI16" s="223">
        <v>190675000</v>
      </c>
      <c r="AJ16" s="224">
        <v>4.0500000000000001E-2</v>
      </c>
      <c r="AK16" s="208">
        <f t="shared" si="9"/>
        <v>21450.9375</v>
      </c>
      <c r="AL16" s="223"/>
      <c r="AM16" s="224"/>
      <c r="AN16" s="208">
        <f t="shared" si="10"/>
        <v>0</v>
      </c>
      <c r="AO16" s="223"/>
      <c r="AP16" s="224"/>
      <c r="AQ16" s="208">
        <f t="shared" si="11"/>
        <v>0</v>
      </c>
      <c r="AR16" s="223"/>
      <c r="AS16" s="224"/>
      <c r="AT16" s="208">
        <f t="shared" si="12"/>
        <v>0</v>
      </c>
      <c r="AW16" s="208">
        <f t="shared" si="13"/>
        <v>0</v>
      </c>
      <c r="AZ16" s="208">
        <f t="shared" si="14"/>
        <v>0</v>
      </c>
      <c r="BC16" s="208">
        <f t="shared" si="15"/>
        <v>0</v>
      </c>
      <c r="BF16" s="208">
        <f t="shared" si="16"/>
        <v>0</v>
      </c>
      <c r="BI16" s="208">
        <f t="shared" si="17"/>
        <v>0</v>
      </c>
      <c r="BL16" s="208">
        <f t="shared" si="18"/>
        <v>0</v>
      </c>
      <c r="BO16" s="208">
        <f t="shared" si="19"/>
        <v>0</v>
      </c>
      <c r="BR16" s="208">
        <f t="shared" si="20"/>
        <v>0</v>
      </c>
      <c r="BU16" s="208">
        <f t="shared" si="21"/>
        <v>0</v>
      </c>
      <c r="BX16" s="208">
        <f t="shared" si="22"/>
        <v>0</v>
      </c>
      <c r="CA16" s="208">
        <f t="shared" si="23"/>
        <v>0</v>
      </c>
      <c r="CD16" s="208">
        <f t="shared" si="24"/>
        <v>0</v>
      </c>
      <c r="CG16" s="208">
        <f t="shared" si="25"/>
        <v>0</v>
      </c>
      <c r="CJ16" s="208">
        <f t="shared" si="26"/>
        <v>0</v>
      </c>
      <c r="CM16" s="208">
        <f t="shared" si="27"/>
        <v>0</v>
      </c>
      <c r="CP16" s="208">
        <f t="shared" si="28"/>
        <v>0</v>
      </c>
      <c r="CS16" s="208">
        <f t="shared" si="29"/>
        <v>0</v>
      </c>
      <c r="CV16" s="208">
        <f t="shared" si="30"/>
        <v>0</v>
      </c>
      <c r="CY16" s="208">
        <f t="shared" si="31"/>
        <v>0</v>
      </c>
      <c r="DB16" s="208">
        <f t="shared" si="32"/>
        <v>0</v>
      </c>
      <c r="DE16" s="208">
        <f t="shared" si="33"/>
        <v>0</v>
      </c>
      <c r="DH16" s="208">
        <f t="shared" si="34"/>
        <v>0</v>
      </c>
      <c r="DK16" s="208">
        <f t="shared" si="35"/>
        <v>0</v>
      </c>
      <c r="DN16" s="208">
        <f t="shared" si="36"/>
        <v>0</v>
      </c>
      <c r="DQ16" s="208">
        <f t="shared" si="37"/>
        <v>0</v>
      </c>
      <c r="DT16" s="208">
        <f t="shared" si="38"/>
        <v>0</v>
      </c>
      <c r="DW16" s="208">
        <f t="shared" si="39"/>
        <v>0</v>
      </c>
      <c r="DZ16" s="208"/>
      <c r="EA16" s="208"/>
      <c r="EB16" s="228">
        <f t="shared" si="40"/>
        <v>284050000</v>
      </c>
      <c r="EC16" s="228">
        <f t="shared" si="41"/>
        <v>93375000</v>
      </c>
      <c r="ED16" s="208">
        <f t="shared" si="42"/>
        <v>31592.720468749998</v>
      </c>
      <c r="EE16" s="209">
        <f t="shared" si="43"/>
        <v>4.0040061146805139E-2</v>
      </c>
      <c r="EG16" s="228">
        <f t="shared" si="44"/>
        <v>0</v>
      </c>
      <c r="EH16" s="208">
        <f t="shared" si="45"/>
        <v>0</v>
      </c>
      <c r="EI16" s="209">
        <f t="shared" si="46"/>
        <v>0</v>
      </c>
      <c r="EJ16" s="209"/>
      <c r="EK16" s="228">
        <f t="shared" si="47"/>
        <v>190675000</v>
      </c>
      <c r="EL16" s="228">
        <f t="shared" si="48"/>
        <v>0</v>
      </c>
      <c r="EM16" s="228">
        <f t="shared" si="49"/>
        <v>21450.9375</v>
      </c>
      <c r="EN16" s="209">
        <f t="shared" si="50"/>
        <v>4.0500000000000001E-2</v>
      </c>
      <c r="EP16" s="208"/>
    </row>
    <row r="17" spans="1:146" x14ac:dyDescent="0.25">
      <c r="A17" s="222">
        <f t="shared" si="51"/>
        <v>45998</v>
      </c>
      <c r="B17" s="208">
        <v>93375000</v>
      </c>
      <c r="C17" s="209">
        <v>3.9100849999999999E-2</v>
      </c>
      <c r="D17" s="208">
        <f t="shared" si="0"/>
        <v>10141.78296875</v>
      </c>
      <c r="G17" s="208">
        <f t="shared" si="1"/>
        <v>0</v>
      </c>
      <c r="J17" s="208">
        <f t="shared" si="2"/>
        <v>0</v>
      </c>
      <c r="M17" s="208">
        <f t="shared" si="3"/>
        <v>0</v>
      </c>
      <c r="P17" s="208">
        <f t="shared" si="4"/>
        <v>0</v>
      </c>
      <c r="S17" s="208">
        <f t="shared" si="5"/>
        <v>0</v>
      </c>
      <c r="V17" s="208">
        <f t="shared" si="6"/>
        <v>0</v>
      </c>
      <c r="Y17" s="208">
        <f t="shared" si="7"/>
        <v>0</v>
      </c>
      <c r="AB17" s="208">
        <f t="shared" si="8"/>
        <v>0</v>
      </c>
      <c r="AE17" s="208">
        <v>0</v>
      </c>
      <c r="AH17" s="208">
        <v>0</v>
      </c>
      <c r="AI17" s="223">
        <v>190675000</v>
      </c>
      <c r="AJ17" s="224">
        <v>4.0500000000000001E-2</v>
      </c>
      <c r="AK17" s="208">
        <f t="shared" si="9"/>
        <v>21450.9375</v>
      </c>
      <c r="AL17" s="223"/>
      <c r="AM17" s="224"/>
      <c r="AN17" s="208">
        <f t="shared" si="10"/>
        <v>0</v>
      </c>
      <c r="AO17" s="223"/>
      <c r="AP17" s="224"/>
      <c r="AQ17" s="208">
        <f t="shared" si="11"/>
        <v>0</v>
      </c>
      <c r="AR17" s="223"/>
      <c r="AS17" s="224"/>
      <c r="AT17" s="208">
        <f t="shared" si="12"/>
        <v>0</v>
      </c>
      <c r="AW17" s="208">
        <f t="shared" si="13"/>
        <v>0</v>
      </c>
      <c r="AZ17" s="208">
        <f t="shared" si="14"/>
        <v>0</v>
      </c>
      <c r="BC17" s="208">
        <f t="shared" si="15"/>
        <v>0</v>
      </c>
      <c r="BF17" s="208">
        <f t="shared" si="16"/>
        <v>0</v>
      </c>
      <c r="BI17" s="208">
        <f t="shared" si="17"/>
        <v>0</v>
      </c>
      <c r="BL17" s="208">
        <f t="shared" si="18"/>
        <v>0</v>
      </c>
      <c r="BO17" s="208">
        <f t="shared" si="19"/>
        <v>0</v>
      </c>
      <c r="BR17" s="208">
        <f t="shared" si="20"/>
        <v>0</v>
      </c>
      <c r="BU17" s="208">
        <f t="shared" si="21"/>
        <v>0</v>
      </c>
      <c r="BX17" s="208">
        <f t="shared" si="22"/>
        <v>0</v>
      </c>
      <c r="CA17" s="208">
        <f t="shared" si="23"/>
        <v>0</v>
      </c>
      <c r="CD17" s="208">
        <f t="shared" si="24"/>
        <v>0</v>
      </c>
      <c r="CG17" s="208">
        <f t="shared" si="25"/>
        <v>0</v>
      </c>
      <c r="CJ17" s="208">
        <f t="shared" si="26"/>
        <v>0</v>
      </c>
      <c r="CM17" s="208">
        <f t="shared" si="27"/>
        <v>0</v>
      </c>
      <c r="CP17" s="208">
        <f t="shared" si="28"/>
        <v>0</v>
      </c>
      <c r="CS17" s="208">
        <f t="shared" si="29"/>
        <v>0</v>
      </c>
      <c r="CV17" s="208">
        <f t="shared" si="30"/>
        <v>0</v>
      </c>
      <c r="CY17" s="208">
        <f t="shared" si="31"/>
        <v>0</v>
      </c>
      <c r="DB17" s="208">
        <f t="shared" si="32"/>
        <v>0</v>
      </c>
      <c r="DE17" s="208">
        <f t="shared" si="33"/>
        <v>0</v>
      </c>
      <c r="DH17" s="208">
        <f t="shared" si="34"/>
        <v>0</v>
      </c>
      <c r="DK17" s="208">
        <f t="shared" si="35"/>
        <v>0</v>
      </c>
      <c r="DN17" s="208">
        <f t="shared" si="36"/>
        <v>0</v>
      </c>
      <c r="DQ17" s="208">
        <f t="shared" si="37"/>
        <v>0</v>
      </c>
      <c r="DT17" s="208">
        <f t="shared" si="38"/>
        <v>0</v>
      </c>
      <c r="DW17" s="208">
        <f t="shared" si="39"/>
        <v>0</v>
      </c>
      <c r="DZ17" s="208"/>
      <c r="EA17" s="208"/>
      <c r="EB17" s="228">
        <f t="shared" si="40"/>
        <v>284050000</v>
      </c>
      <c r="EC17" s="228">
        <f t="shared" si="41"/>
        <v>93375000</v>
      </c>
      <c r="ED17" s="208">
        <f t="shared" si="42"/>
        <v>31592.720468749998</v>
      </c>
      <c r="EE17" s="209">
        <f t="shared" si="43"/>
        <v>4.0040061146805139E-2</v>
      </c>
      <c r="EG17" s="228">
        <f t="shared" si="44"/>
        <v>0</v>
      </c>
      <c r="EH17" s="208">
        <f t="shared" si="45"/>
        <v>0</v>
      </c>
      <c r="EI17" s="209">
        <f t="shared" si="46"/>
        <v>0</v>
      </c>
      <c r="EJ17" s="209"/>
      <c r="EK17" s="228">
        <f t="shared" si="47"/>
        <v>190675000</v>
      </c>
      <c r="EL17" s="228">
        <f t="shared" si="48"/>
        <v>0</v>
      </c>
      <c r="EM17" s="228">
        <f t="shared" si="49"/>
        <v>21450.9375</v>
      </c>
      <c r="EN17" s="209">
        <f t="shared" si="50"/>
        <v>4.0500000000000001E-2</v>
      </c>
      <c r="EP17" s="208"/>
    </row>
    <row r="18" spans="1:146" x14ac:dyDescent="0.25">
      <c r="A18" s="222">
        <f t="shared" si="51"/>
        <v>45999</v>
      </c>
      <c r="B18" s="208">
        <v>89775000</v>
      </c>
      <c r="C18" s="209">
        <v>3.8734879999999999E-2</v>
      </c>
      <c r="D18" s="208">
        <f t="shared" si="0"/>
        <v>9659.5107000000007</v>
      </c>
      <c r="G18" s="208">
        <f t="shared" si="1"/>
        <v>0</v>
      </c>
      <c r="J18" s="208">
        <f t="shared" si="2"/>
        <v>0</v>
      </c>
      <c r="M18" s="208">
        <f t="shared" si="3"/>
        <v>0</v>
      </c>
      <c r="P18" s="208">
        <f t="shared" si="4"/>
        <v>0</v>
      </c>
      <c r="S18" s="208">
        <f t="shared" si="5"/>
        <v>0</v>
      </c>
      <c r="V18" s="208">
        <f t="shared" si="6"/>
        <v>0</v>
      </c>
      <c r="Y18" s="208">
        <f t="shared" si="7"/>
        <v>0</v>
      </c>
      <c r="AB18" s="208">
        <f t="shared" si="8"/>
        <v>0</v>
      </c>
      <c r="AE18" s="208">
        <v>0</v>
      </c>
      <c r="AH18" s="208">
        <v>0</v>
      </c>
      <c r="AI18" s="223">
        <v>204725000</v>
      </c>
      <c r="AJ18" s="224">
        <v>4.0500000000000001E-2</v>
      </c>
      <c r="AK18" s="208">
        <f t="shared" si="9"/>
        <v>23031.5625</v>
      </c>
      <c r="AL18" s="223"/>
      <c r="AM18" s="224"/>
      <c r="AN18" s="208">
        <f t="shared" si="10"/>
        <v>0</v>
      </c>
      <c r="AO18" s="223"/>
      <c r="AP18" s="224"/>
      <c r="AQ18" s="208">
        <f t="shared" si="11"/>
        <v>0</v>
      </c>
      <c r="AR18" s="223"/>
      <c r="AS18" s="224"/>
      <c r="AT18" s="208">
        <f t="shared" si="12"/>
        <v>0</v>
      </c>
      <c r="AW18" s="208">
        <f t="shared" si="13"/>
        <v>0</v>
      </c>
      <c r="AZ18" s="208">
        <f t="shared" si="14"/>
        <v>0</v>
      </c>
      <c r="BC18" s="208">
        <f t="shared" si="15"/>
        <v>0</v>
      </c>
      <c r="BF18" s="208">
        <f t="shared" si="16"/>
        <v>0</v>
      </c>
      <c r="BI18" s="208">
        <f t="shared" si="17"/>
        <v>0</v>
      </c>
      <c r="BL18" s="208">
        <f t="shared" si="18"/>
        <v>0</v>
      </c>
      <c r="BO18" s="208">
        <f t="shared" si="19"/>
        <v>0</v>
      </c>
      <c r="BR18" s="208">
        <f t="shared" si="20"/>
        <v>0</v>
      </c>
      <c r="BU18" s="208">
        <f t="shared" si="21"/>
        <v>0</v>
      </c>
      <c r="BX18" s="208">
        <f t="shared" si="22"/>
        <v>0</v>
      </c>
      <c r="CA18" s="208">
        <f t="shared" si="23"/>
        <v>0</v>
      </c>
      <c r="CD18" s="208">
        <f t="shared" si="24"/>
        <v>0</v>
      </c>
      <c r="CG18" s="208">
        <f t="shared" si="25"/>
        <v>0</v>
      </c>
      <c r="CJ18" s="208">
        <f t="shared" si="26"/>
        <v>0</v>
      </c>
      <c r="CM18" s="208">
        <f t="shared" si="27"/>
        <v>0</v>
      </c>
      <c r="CP18" s="208">
        <f t="shared" si="28"/>
        <v>0</v>
      </c>
      <c r="CS18" s="208">
        <f t="shared" si="29"/>
        <v>0</v>
      </c>
      <c r="CV18" s="208">
        <f t="shared" si="30"/>
        <v>0</v>
      </c>
      <c r="CY18" s="208">
        <f t="shared" si="31"/>
        <v>0</v>
      </c>
      <c r="DB18" s="208">
        <f t="shared" si="32"/>
        <v>0</v>
      </c>
      <c r="DE18" s="208">
        <f t="shared" si="33"/>
        <v>0</v>
      </c>
      <c r="DH18" s="208">
        <f t="shared" si="34"/>
        <v>0</v>
      </c>
      <c r="DK18" s="208">
        <f t="shared" si="35"/>
        <v>0</v>
      </c>
      <c r="DN18" s="208">
        <f t="shared" si="36"/>
        <v>0</v>
      </c>
      <c r="DQ18" s="208">
        <f t="shared" si="37"/>
        <v>0</v>
      </c>
      <c r="DT18" s="208">
        <f t="shared" si="38"/>
        <v>0</v>
      </c>
      <c r="DW18" s="208">
        <f t="shared" si="39"/>
        <v>0</v>
      </c>
      <c r="DZ18" s="208"/>
      <c r="EA18" s="208"/>
      <c r="EB18" s="228">
        <f t="shared" si="40"/>
        <v>294500000</v>
      </c>
      <c r="EC18" s="228">
        <f t="shared" si="41"/>
        <v>89775000</v>
      </c>
      <c r="ED18" s="208">
        <f t="shared" si="42"/>
        <v>32691.073199999999</v>
      </c>
      <c r="EE18" s="209">
        <f t="shared" si="43"/>
        <v>3.9961923096774196E-2</v>
      </c>
      <c r="EG18" s="228">
        <f t="shared" si="44"/>
        <v>0</v>
      </c>
      <c r="EH18" s="208">
        <f t="shared" si="45"/>
        <v>0</v>
      </c>
      <c r="EI18" s="209">
        <f t="shared" si="46"/>
        <v>0</v>
      </c>
      <c r="EJ18" s="209"/>
      <c r="EK18" s="228">
        <f t="shared" si="47"/>
        <v>204725000</v>
      </c>
      <c r="EL18" s="228">
        <f t="shared" si="48"/>
        <v>0</v>
      </c>
      <c r="EM18" s="228">
        <f t="shared" si="49"/>
        <v>23031.5625</v>
      </c>
      <c r="EN18" s="209">
        <f t="shared" si="50"/>
        <v>4.0500000000000001E-2</v>
      </c>
      <c r="EP18" s="208"/>
    </row>
    <row r="19" spans="1:146" x14ac:dyDescent="0.25">
      <c r="A19" s="222">
        <f t="shared" si="51"/>
        <v>46000</v>
      </c>
      <c r="B19" s="208">
        <v>91825000</v>
      </c>
      <c r="C19" s="209">
        <v>3.7991879999999999E-2</v>
      </c>
      <c r="D19" s="208">
        <f t="shared" si="0"/>
        <v>9690.5677250000008</v>
      </c>
      <c r="G19" s="208">
        <f t="shared" si="1"/>
        <v>0</v>
      </c>
      <c r="J19" s="208">
        <f t="shared" si="2"/>
        <v>0</v>
      </c>
      <c r="M19" s="208">
        <f t="shared" si="3"/>
        <v>0</v>
      </c>
      <c r="P19" s="208">
        <f t="shared" si="4"/>
        <v>0</v>
      </c>
      <c r="S19" s="208">
        <f t="shared" si="5"/>
        <v>0</v>
      </c>
      <c r="V19" s="208">
        <f t="shared" si="6"/>
        <v>0</v>
      </c>
      <c r="Y19" s="208">
        <f t="shared" si="7"/>
        <v>0</v>
      </c>
      <c r="AB19" s="208">
        <f t="shared" si="8"/>
        <v>0</v>
      </c>
      <c r="AE19" s="208">
        <v>0</v>
      </c>
      <c r="AH19" s="208">
        <v>0</v>
      </c>
      <c r="AI19" s="223">
        <f>204750000</f>
        <v>204750000</v>
      </c>
      <c r="AJ19" s="224">
        <v>4.0500000000000001E-2</v>
      </c>
      <c r="AK19" s="208">
        <f t="shared" si="9"/>
        <v>23034.375</v>
      </c>
      <c r="AL19" s="223"/>
      <c r="AM19" s="224"/>
      <c r="AN19" s="208">
        <f t="shared" si="10"/>
        <v>0</v>
      </c>
      <c r="AO19" s="223"/>
      <c r="AP19" s="224"/>
      <c r="AQ19" s="208">
        <f t="shared" si="11"/>
        <v>0</v>
      </c>
      <c r="AR19" s="223"/>
      <c r="AS19" s="224"/>
      <c r="AT19" s="208">
        <f t="shared" si="12"/>
        <v>0</v>
      </c>
      <c r="AW19" s="208">
        <f t="shared" si="13"/>
        <v>0</v>
      </c>
      <c r="AZ19" s="208">
        <f t="shared" si="14"/>
        <v>0</v>
      </c>
      <c r="BC19" s="208">
        <f t="shared" si="15"/>
        <v>0</v>
      </c>
      <c r="BF19" s="208">
        <f t="shared" si="16"/>
        <v>0</v>
      </c>
      <c r="BI19" s="208">
        <f t="shared" si="17"/>
        <v>0</v>
      </c>
      <c r="BL19" s="208">
        <f t="shared" si="18"/>
        <v>0</v>
      </c>
      <c r="BO19" s="208">
        <f t="shared" si="19"/>
        <v>0</v>
      </c>
      <c r="BR19" s="208">
        <f t="shared" si="20"/>
        <v>0</v>
      </c>
      <c r="BU19" s="208">
        <f t="shared" si="21"/>
        <v>0</v>
      </c>
      <c r="BX19" s="208">
        <f t="shared" si="22"/>
        <v>0</v>
      </c>
      <c r="CA19" s="208">
        <f t="shared" si="23"/>
        <v>0</v>
      </c>
      <c r="CD19" s="208">
        <f t="shared" si="24"/>
        <v>0</v>
      </c>
      <c r="CG19" s="208">
        <f t="shared" si="25"/>
        <v>0</v>
      </c>
      <c r="CJ19" s="208">
        <f t="shared" si="26"/>
        <v>0</v>
      </c>
      <c r="CM19" s="208">
        <f t="shared" si="27"/>
        <v>0</v>
      </c>
      <c r="CP19" s="208">
        <f t="shared" si="28"/>
        <v>0</v>
      </c>
      <c r="CS19" s="208">
        <f t="shared" si="29"/>
        <v>0</v>
      </c>
      <c r="CV19" s="208">
        <f t="shared" si="30"/>
        <v>0</v>
      </c>
      <c r="CY19" s="208">
        <f t="shared" si="31"/>
        <v>0</v>
      </c>
      <c r="DB19" s="208">
        <f t="shared" si="32"/>
        <v>0</v>
      </c>
      <c r="DE19" s="208">
        <f t="shared" si="33"/>
        <v>0</v>
      </c>
      <c r="DH19" s="208">
        <f t="shared" si="34"/>
        <v>0</v>
      </c>
      <c r="DK19" s="208">
        <f t="shared" si="35"/>
        <v>0</v>
      </c>
      <c r="DN19" s="208">
        <f t="shared" si="36"/>
        <v>0</v>
      </c>
      <c r="DQ19" s="208">
        <f t="shared" si="37"/>
        <v>0</v>
      </c>
      <c r="DT19" s="208">
        <f t="shared" si="38"/>
        <v>0</v>
      </c>
      <c r="DW19" s="208">
        <f t="shared" si="39"/>
        <v>0</v>
      </c>
      <c r="DZ19" s="208"/>
      <c r="EA19" s="208"/>
      <c r="EB19" s="228">
        <f t="shared" si="40"/>
        <v>296575000</v>
      </c>
      <c r="EC19" s="228">
        <f t="shared" si="41"/>
        <v>91825000</v>
      </c>
      <c r="ED19" s="208">
        <f t="shared" si="42"/>
        <v>32724.942725000001</v>
      </c>
      <c r="EE19" s="209">
        <f t="shared" si="43"/>
        <v>3.9723440549608025E-2</v>
      </c>
      <c r="EG19" s="228">
        <f t="shared" si="44"/>
        <v>0</v>
      </c>
      <c r="EH19" s="208">
        <f t="shared" si="45"/>
        <v>0</v>
      </c>
      <c r="EI19" s="209">
        <f t="shared" si="46"/>
        <v>0</v>
      </c>
      <c r="EJ19" s="209"/>
      <c r="EK19" s="228">
        <f t="shared" si="47"/>
        <v>204750000</v>
      </c>
      <c r="EL19" s="228">
        <f t="shared" si="48"/>
        <v>0</v>
      </c>
      <c r="EM19" s="228">
        <f t="shared" si="49"/>
        <v>23034.375</v>
      </c>
      <c r="EN19" s="209">
        <f t="shared" si="50"/>
        <v>4.0500000000000001E-2</v>
      </c>
      <c r="EP19" s="208"/>
    </row>
    <row r="20" spans="1:146" x14ac:dyDescent="0.25">
      <c r="A20" s="222">
        <f t="shared" si="51"/>
        <v>46001</v>
      </c>
      <c r="B20" s="208">
        <v>101925000</v>
      </c>
      <c r="C20" s="209">
        <v>3.7592399999999998E-2</v>
      </c>
      <c r="D20" s="208">
        <f t="shared" si="0"/>
        <v>10643.348249999999</v>
      </c>
      <c r="G20" s="208">
        <f t="shared" si="1"/>
        <v>0</v>
      </c>
      <c r="J20" s="208">
        <f t="shared" si="2"/>
        <v>0</v>
      </c>
      <c r="M20" s="208">
        <f t="shared" si="3"/>
        <v>0</v>
      </c>
      <c r="P20" s="208">
        <f t="shared" si="4"/>
        <v>0</v>
      </c>
      <c r="S20" s="208">
        <f t="shared" si="5"/>
        <v>0</v>
      </c>
      <c r="V20" s="208">
        <f t="shared" si="6"/>
        <v>0</v>
      </c>
      <c r="Y20" s="208">
        <f t="shared" si="7"/>
        <v>0</v>
      </c>
      <c r="AB20" s="208">
        <f t="shared" si="8"/>
        <v>0</v>
      </c>
      <c r="AE20" s="208">
        <v>0</v>
      </c>
      <c r="AH20" s="208">
        <v>0</v>
      </c>
      <c r="AI20" s="223">
        <f>200000000</f>
        <v>200000000</v>
      </c>
      <c r="AJ20" s="224">
        <v>4.0500000000000001E-2</v>
      </c>
      <c r="AK20" s="208">
        <f t="shared" si="9"/>
        <v>22500</v>
      </c>
      <c r="AL20" s="223"/>
      <c r="AM20" s="224"/>
      <c r="AN20" s="208">
        <f t="shared" si="10"/>
        <v>0</v>
      </c>
      <c r="AO20" s="223"/>
      <c r="AP20" s="224"/>
      <c r="AQ20" s="208">
        <f t="shared" si="11"/>
        <v>0</v>
      </c>
      <c r="AR20" s="223"/>
      <c r="AS20" s="224"/>
      <c r="AT20" s="208">
        <f t="shared" si="12"/>
        <v>0</v>
      </c>
      <c r="AW20" s="208">
        <f t="shared" si="13"/>
        <v>0</v>
      </c>
      <c r="AZ20" s="208">
        <f t="shared" si="14"/>
        <v>0</v>
      </c>
      <c r="BC20" s="208">
        <f t="shared" si="15"/>
        <v>0</v>
      </c>
      <c r="BF20" s="208">
        <f t="shared" si="16"/>
        <v>0</v>
      </c>
      <c r="BI20" s="208">
        <f t="shared" si="17"/>
        <v>0</v>
      </c>
      <c r="BL20" s="208">
        <f t="shared" si="18"/>
        <v>0</v>
      </c>
      <c r="BO20" s="208">
        <f t="shared" si="19"/>
        <v>0</v>
      </c>
      <c r="BR20" s="208">
        <f t="shared" si="20"/>
        <v>0</v>
      </c>
      <c r="BU20" s="208">
        <f t="shared" si="21"/>
        <v>0</v>
      </c>
      <c r="BX20" s="208">
        <f t="shared" si="22"/>
        <v>0</v>
      </c>
      <c r="CA20" s="208">
        <f t="shared" si="23"/>
        <v>0</v>
      </c>
      <c r="CD20" s="208">
        <f t="shared" si="24"/>
        <v>0</v>
      </c>
      <c r="CG20" s="208">
        <f t="shared" si="25"/>
        <v>0</v>
      </c>
      <c r="CJ20" s="208">
        <f t="shared" si="26"/>
        <v>0</v>
      </c>
      <c r="CM20" s="208">
        <f t="shared" si="27"/>
        <v>0</v>
      </c>
      <c r="CP20" s="208">
        <f t="shared" si="28"/>
        <v>0</v>
      </c>
      <c r="CS20" s="208">
        <f t="shared" si="29"/>
        <v>0</v>
      </c>
      <c r="CV20" s="208">
        <f t="shared" si="30"/>
        <v>0</v>
      </c>
      <c r="CY20" s="208">
        <f t="shared" si="31"/>
        <v>0</v>
      </c>
      <c r="DB20" s="208">
        <f t="shared" si="32"/>
        <v>0</v>
      </c>
      <c r="DE20" s="208">
        <f t="shared" si="33"/>
        <v>0</v>
      </c>
      <c r="DH20" s="208">
        <f t="shared" si="34"/>
        <v>0</v>
      </c>
      <c r="DK20" s="208">
        <f t="shared" si="35"/>
        <v>0</v>
      </c>
      <c r="DN20" s="208">
        <f t="shared" si="36"/>
        <v>0</v>
      </c>
      <c r="DQ20" s="208">
        <f t="shared" si="37"/>
        <v>0</v>
      </c>
      <c r="DT20" s="208">
        <f t="shared" si="38"/>
        <v>0</v>
      </c>
      <c r="DW20" s="208">
        <f t="shared" si="39"/>
        <v>0</v>
      </c>
      <c r="DZ20" s="208"/>
      <c r="EA20" s="208"/>
      <c r="EB20" s="228">
        <f t="shared" si="40"/>
        <v>301925000</v>
      </c>
      <c r="EC20" s="228">
        <f t="shared" si="41"/>
        <v>101925000</v>
      </c>
      <c r="ED20" s="208">
        <f t="shared" si="42"/>
        <v>33143.348249999995</v>
      </c>
      <c r="EE20" s="209">
        <f t="shared" si="43"/>
        <v>3.951844123540614E-2</v>
      </c>
      <c r="EG20" s="228">
        <f t="shared" si="44"/>
        <v>0</v>
      </c>
      <c r="EH20" s="208">
        <f t="shared" si="45"/>
        <v>0</v>
      </c>
      <c r="EI20" s="209">
        <f t="shared" si="46"/>
        <v>0</v>
      </c>
      <c r="EJ20" s="209"/>
      <c r="EK20" s="228">
        <f t="shared" si="47"/>
        <v>200000000</v>
      </c>
      <c r="EL20" s="228">
        <f t="shared" si="48"/>
        <v>0</v>
      </c>
      <c r="EM20" s="228">
        <f t="shared" si="49"/>
        <v>22500</v>
      </c>
      <c r="EN20" s="209">
        <f t="shared" si="50"/>
        <v>4.0500000000000001E-2</v>
      </c>
      <c r="EP20" s="208"/>
    </row>
    <row r="21" spans="1:146" x14ac:dyDescent="0.25">
      <c r="A21" s="222">
        <f t="shared" si="51"/>
        <v>46002</v>
      </c>
      <c r="B21" s="208">
        <v>95675000</v>
      </c>
      <c r="C21" s="209">
        <v>3.6565319999999998E-2</v>
      </c>
      <c r="D21" s="208">
        <f t="shared" si="0"/>
        <v>9717.7416416666656</v>
      </c>
      <c r="G21" s="208">
        <f t="shared" si="1"/>
        <v>0</v>
      </c>
      <c r="J21" s="208">
        <f t="shared" si="2"/>
        <v>0</v>
      </c>
      <c r="M21" s="208">
        <f t="shared" si="3"/>
        <v>0</v>
      </c>
      <c r="P21" s="208">
        <f t="shared" si="4"/>
        <v>0</v>
      </c>
      <c r="S21" s="208">
        <f t="shared" si="5"/>
        <v>0</v>
      </c>
      <c r="V21" s="208">
        <f t="shared" si="6"/>
        <v>0</v>
      </c>
      <c r="Y21" s="208">
        <f t="shared" si="7"/>
        <v>0</v>
      </c>
      <c r="AB21" s="208">
        <f t="shared" si="8"/>
        <v>0</v>
      </c>
      <c r="AE21" s="208">
        <v>0</v>
      </c>
      <c r="AH21" s="208">
        <v>0</v>
      </c>
      <c r="AI21" s="223">
        <f>210350000</f>
        <v>210350000</v>
      </c>
      <c r="AJ21" s="224">
        <v>3.7999999999999999E-2</v>
      </c>
      <c r="AK21" s="208">
        <f t="shared" si="9"/>
        <v>22203.611111111109</v>
      </c>
      <c r="AL21" s="223"/>
      <c r="AM21" s="224"/>
      <c r="AN21" s="208">
        <f t="shared" si="10"/>
        <v>0</v>
      </c>
      <c r="AO21" s="223"/>
      <c r="AP21" s="224"/>
      <c r="AQ21" s="208">
        <f t="shared" si="11"/>
        <v>0</v>
      </c>
      <c r="AR21" s="223"/>
      <c r="AS21" s="224"/>
      <c r="AT21" s="208">
        <f t="shared" si="12"/>
        <v>0</v>
      </c>
      <c r="AW21" s="208">
        <f t="shared" si="13"/>
        <v>0</v>
      </c>
      <c r="AZ21" s="208">
        <f t="shared" si="14"/>
        <v>0</v>
      </c>
      <c r="BC21" s="208">
        <f t="shared" si="15"/>
        <v>0</v>
      </c>
      <c r="BF21" s="208">
        <f t="shared" si="16"/>
        <v>0</v>
      </c>
      <c r="BI21" s="208">
        <f t="shared" si="17"/>
        <v>0</v>
      </c>
      <c r="BL21" s="208">
        <f t="shared" si="18"/>
        <v>0</v>
      </c>
      <c r="BO21" s="208">
        <f t="shared" si="19"/>
        <v>0</v>
      </c>
      <c r="BR21" s="208">
        <f t="shared" si="20"/>
        <v>0</v>
      </c>
      <c r="BU21" s="208">
        <f t="shared" si="21"/>
        <v>0</v>
      </c>
      <c r="BX21" s="208">
        <f t="shared" si="22"/>
        <v>0</v>
      </c>
      <c r="CA21" s="208">
        <f t="shared" si="23"/>
        <v>0</v>
      </c>
      <c r="CD21" s="208">
        <f t="shared" si="24"/>
        <v>0</v>
      </c>
      <c r="CG21" s="208">
        <f t="shared" si="25"/>
        <v>0</v>
      </c>
      <c r="CJ21" s="208">
        <f t="shared" si="26"/>
        <v>0</v>
      </c>
      <c r="CM21" s="208">
        <f t="shared" si="27"/>
        <v>0</v>
      </c>
      <c r="CP21" s="208">
        <f t="shared" si="28"/>
        <v>0</v>
      </c>
      <c r="CS21" s="208">
        <f t="shared" si="29"/>
        <v>0</v>
      </c>
      <c r="CV21" s="208">
        <f t="shared" si="30"/>
        <v>0</v>
      </c>
      <c r="CY21" s="208">
        <f t="shared" si="31"/>
        <v>0</v>
      </c>
      <c r="DB21" s="208">
        <f t="shared" si="32"/>
        <v>0</v>
      </c>
      <c r="DE21" s="208">
        <f t="shared" si="33"/>
        <v>0</v>
      </c>
      <c r="DH21" s="208">
        <f t="shared" si="34"/>
        <v>0</v>
      </c>
      <c r="DK21" s="208">
        <f t="shared" si="35"/>
        <v>0</v>
      </c>
      <c r="DN21" s="208">
        <f t="shared" si="36"/>
        <v>0</v>
      </c>
      <c r="DQ21" s="208">
        <f t="shared" si="37"/>
        <v>0</v>
      </c>
      <c r="DT21" s="208">
        <f t="shared" si="38"/>
        <v>0</v>
      </c>
      <c r="DW21" s="208">
        <f t="shared" si="39"/>
        <v>0</v>
      </c>
      <c r="DZ21" s="208"/>
      <c r="EA21" s="208"/>
      <c r="EB21" s="228">
        <f t="shared" si="40"/>
        <v>306025000</v>
      </c>
      <c r="EC21" s="228">
        <f t="shared" si="41"/>
        <v>95675000</v>
      </c>
      <c r="ED21" s="208">
        <f t="shared" si="42"/>
        <v>31921.352752777777</v>
      </c>
      <c r="EE21" s="209">
        <f t="shared" si="43"/>
        <v>3.7551464720202599E-2</v>
      </c>
      <c r="EG21" s="228">
        <f t="shared" si="44"/>
        <v>0</v>
      </c>
      <c r="EH21" s="208">
        <f t="shared" si="45"/>
        <v>0</v>
      </c>
      <c r="EI21" s="209">
        <f t="shared" si="46"/>
        <v>0</v>
      </c>
      <c r="EJ21" s="209"/>
      <c r="EK21" s="228">
        <f t="shared" si="47"/>
        <v>210350000</v>
      </c>
      <c r="EL21" s="228">
        <f t="shared" si="48"/>
        <v>0</v>
      </c>
      <c r="EM21" s="228">
        <f t="shared" si="49"/>
        <v>22203.611111111109</v>
      </c>
      <c r="EN21" s="209">
        <f t="shared" si="50"/>
        <v>3.7999999999999999E-2</v>
      </c>
      <c r="EP21" s="208"/>
    </row>
    <row r="22" spans="1:146" x14ac:dyDescent="0.25">
      <c r="A22" s="222">
        <f t="shared" si="51"/>
        <v>46003</v>
      </c>
      <c r="B22" s="208">
        <v>94075000</v>
      </c>
      <c r="C22" s="209">
        <v>3.692894E-2</v>
      </c>
      <c r="D22" s="208">
        <f t="shared" si="0"/>
        <v>9650.2500847222218</v>
      </c>
      <c r="G22" s="208">
        <f t="shared" si="1"/>
        <v>0</v>
      </c>
      <c r="J22" s="208">
        <f t="shared" si="2"/>
        <v>0</v>
      </c>
      <c r="M22" s="208">
        <f t="shared" si="3"/>
        <v>0</v>
      </c>
      <c r="P22" s="208">
        <f t="shared" si="4"/>
        <v>0</v>
      </c>
      <c r="S22" s="208">
        <f t="shared" si="5"/>
        <v>0</v>
      </c>
      <c r="V22" s="208">
        <f t="shared" si="6"/>
        <v>0</v>
      </c>
      <c r="Y22" s="208">
        <f t="shared" si="7"/>
        <v>0</v>
      </c>
      <c r="AB22" s="208">
        <f t="shared" si="8"/>
        <v>0</v>
      </c>
      <c r="AE22" s="208">
        <v>0</v>
      </c>
      <c r="AH22" s="208">
        <v>0</v>
      </c>
      <c r="AI22" s="223">
        <f>217000000</f>
        <v>217000000</v>
      </c>
      <c r="AJ22" s="224">
        <v>3.7999999999999999E-2</v>
      </c>
      <c r="AK22" s="208">
        <f t="shared" si="9"/>
        <v>22905.555555555555</v>
      </c>
      <c r="AL22" s="223"/>
      <c r="AM22" s="224"/>
      <c r="AN22" s="208">
        <f t="shared" si="10"/>
        <v>0</v>
      </c>
      <c r="AO22" s="223"/>
      <c r="AP22" s="224"/>
      <c r="AQ22" s="208">
        <f t="shared" si="11"/>
        <v>0</v>
      </c>
      <c r="AR22" s="223"/>
      <c r="AS22" s="224"/>
      <c r="AT22" s="208">
        <f t="shared" si="12"/>
        <v>0</v>
      </c>
      <c r="AW22" s="208">
        <f t="shared" si="13"/>
        <v>0</v>
      </c>
      <c r="AZ22" s="208">
        <f t="shared" si="14"/>
        <v>0</v>
      </c>
      <c r="BC22" s="208">
        <f t="shared" si="15"/>
        <v>0</v>
      </c>
      <c r="BF22" s="208">
        <f t="shared" si="16"/>
        <v>0</v>
      </c>
      <c r="BI22" s="208">
        <f t="shared" si="17"/>
        <v>0</v>
      </c>
      <c r="BL22" s="208">
        <f t="shared" si="18"/>
        <v>0</v>
      </c>
      <c r="BO22" s="208">
        <f t="shared" si="19"/>
        <v>0</v>
      </c>
      <c r="BR22" s="208">
        <f t="shared" si="20"/>
        <v>0</v>
      </c>
      <c r="BU22" s="208">
        <f t="shared" si="21"/>
        <v>0</v>
      </c>
      <c r="BX22" s="208">
        <f t="shared" si="22"/>
        <v>0</v>
      </c>
      <c r="CA22" s="208">
        <f t="shared" si="23"/>
        <v>0</v>
      </c>
      <c r="CD22" s="208">
        <f t="shared" si="24"/>
        <v>0</v>
      </c>
      <c r="CG22" s="208">
        <f t="shared" si="25"/>
        <v>0</v>
      </c>
      <c r="CJ22" s="208">
        <f t="shared" si="26"/>
        <v>0</v>
      </c>
      <c r="CM22" s="208">
        <f t="shared" si="27"/>
        <v>0</v>
      </c>
      <c r="CP22" s="208">
        <f t="shared" si="28"/>
        <v>0</v>
      </c>
      <c r="CS22" s="208">
        <f t="shared" si="29"/>
        <v>0</v>
      </c>
      <c r="CV22" s="208">
        <f t="shared" si="30"/>
        <v>0</v>
      </c>
      <c r="CY22" s="208">
        <f t="shared" si="31"/>
        <v>0</v>
      </c>
      <c r="DB22" s="208">
        <f t="shared" si="32"/>
        <v>0</v>
      </c>
      <c r="DE22" s="208">
        <f t="shared" si="33"/>
        <v>0</v>
      </c>
      <c r="DH22" s="208">
        <f t="shared" si="34"/>
        <v>0</v>
      </c>
      <c r="DK22" s="208">
        <f t="shared" si="35"/>
        <v>0</v>
      </c>
      <c r="DN22" s="208">
        <f t="shared" si="36"/>
        <v>0</v>
      </c>
      <c r="DQ22" s="208">
        <f t="shared" si="37"/>
        <v>0</v>
      </c>
      <c r="DT22" s="208">
        <f t="shared" si="38"/>
        <v>0</v>
      </c>
      <c r="DW22" s="208">
        <f t="shared" si="39"/>
        <v>0</v>
      </c>
      <c r="DZ22" s="208"/>
      <c r="EA22" s="208"/>
      <c r="EB22" s="228">
        <f t="shared" si="40"/>
        <v>311075000</v>
      </c>
      <c r="EC22" s="228">
        <f t="shared" si="41"/>
        <v>94075000</v>
      </c>
      <c r="ED22" s="208">
        <f t="shared" si="42"/>
        <v>32555.805640277777</v>
      </c>
      <c r="EE22" s="209">
        <f t="shared" si="43"/>
        <v>3.7676091072892388E-2</v>
      </c>
      <c r="EG22" s="228">
        <f t="shared" si="44"/>
        <v>0</v>
      </c>
      <c r="EH22" s="208">
        <f t="shared" si="45"/>
        <v>0</v>
      </c>
      <c r="EI22" s="209">
        <f t="shared" si="46"/>
        <v>0</v>
      </c>
      <c r="EJ22" s="209"/>
      <c r="EK22" s="228">
        <f t="shared" si="47"/>
        <v>217000000</v>
      </c>
      <c r="EL22" s="228">
        <f t="shared" si="48"/>
        <v>0</v>
      </c>
      <c r="EM22" s="228">
        <f t="shared" si="49"/>
        <v>22905.555555555555</v>
      </c>
      <c r="EN22" s="209">
        <f t="shared" si="50"/>
        <v>3.7999999999999999E-2</v>
      </c>
      <c r="EP22" s="208"/>
    </row>
    <row r="23" spans="1:146" x14ac:dyDescent="0.25">
      <c r="A23" s="222">
        <f t="shared" si="51"/>
        <v>46004</v>
      </c>
      <c r="B23" s="208">
        <v>94075000</v>
      </c>
      <c r="C23" s="209">
        <v>3.692894E-2</v>
      </c>
      <c r="D23" s="208">
        <f t="shared" si="0"/>
        <v>9650.2500847222218</v>
      </c>
      <c r="G23" s="208">
        <f t="shared" si="1"/>
        <v>0</v>
      </c>
      <c r="J23" s="208">
        <f t="shared" si="2"/>
        <v>0</v>
      </c>
      <c r="M23" s="208">
        <f t="shared" si="3"/>
        <v>0</v>
      </c>
      <c r="P23" s="208">
        <f t="shared" si="4"/>
        <v>0</v>
      </c>
      <c r="S23" s="208">
        <f t="shared" si="5"/>
        <v>0</v>
      </c>
      <c r="V23" s="208">
        <f t="shared" si="6"/>
        <v>0</v>
      </c>
      <c r="Y23" s="208">
        <f t="shared" si="7"/>
        <v>0</v>
      </c>
      <c r="AB23" s="208">
        <f t="shared" si="8"/>
        <v>0</v>
      </c>
      <c r="AE23" s="208">
        <v>0</v>
      </c>
      <c r="AH23" s="208">
        <v>0</v>
      </c>
      <c r="AI23" s="223">
        <f>217000000</f>
        <v>217000000</v>
      </c>
      <c r="AJ23" s="224">
        <v>3.7999999999999999E-2</v>
      </c>
      <c r="AK23" s="208">
        <f t="shared" si="9"/>
        <v>22905.555555555555</v>
      </c>
      <c r="AL23" s="223"/>
      <c r="AM23" s="224"/>
      <c r="AN23" s="208">
        <f t="shared" si="10"/>
        <v>0</v>
      </c>
      <c r="AO23" s="223"/>
      <c r="AP23" s="224"/>
      <c r="AQ23" s="208">
        <f t="shared" si="11"/>
        <v>0</v>
      </c>
      <c r="AR23" s="223"/>
      <c r="AS23" s="224"/>
      <c r="AT23" s="208">
        <f t="shared" si="12"/>
        <v>0</v>
      </c>
      <c r="AW23" s="208">
        <f t="shared" si="13"/>
        <v>0</v>
      </c>
      <c r="AZ23" s="208">
        <f t="shared" si="14"/>
        <v>0</v>
      </c>
      <c r="BC23" s="208">
        <f t="shared" si="15"/>
        <v>0</v>
      </c>
      <c r="BF23" s="208">
        <f t="shared" si="16"/>
        <v>0</v>
      </c>
      <c r="BI23" s="208">
        <f t="shared" si="17"/>
        <v>0</v>
      </c>
      <c r="BL23" s="208">
        <f t="shared" si="18"/>
        <v>0</v>
      </c>
      <c r="BO23" s="208">
        <f t="shared" si="19"/>
        <v>0</v>
      </c>
      <c r="BR23" s="208">
        <f t="shared" si="20"/>
        <v>0</v>
      </c>
      <c r="BU23" s="208">
        <f t="shared" si="21"/>
        <v>0</v>
      </c>
      <c r="BX23" s="208">
        <f t="shared" si="22"/>
        <v>0</v>
      </c>
      <c r="CA23" s="208">
        <f t="shared" si="23"/>
        <v>0</v>
      </c>
      <c r="CD23" s="208">
        <f t="shared" si="24"/>
        <v>0</v>
      </c>
      <c r="CG23" s="208">
        <f t="shared" si="25"/>
        <v>0</v>
      </c>
      <c r="CJ23" s="208">
        <f t="shared" si="26"/>
        <v>0</v>
      </c>
      <c r="CM23" s="208">
        <f t="shared" si="27"/>
        <v>0</v>
      </c>
      <c r="CP23" s="208">
        <f t="shared" si="28"/>
        <v>0</v>
      </c>
      <c r="CS23" s="208">
        <f t="shared" si="29"/>
        <v>0</v>
      </c>
      <c r="CV23" s="208">
        <f t="shared" si="30"/>
        <v>0</v>
      </c>
      <c r="CY23" s="208">
        <f t="shared" si="31"/>
        <v>0</v>
      </c>
      <c r="DB23" s="208">
        <f t="shared" si="32"/>
        <v>0</v>
      </c>
      <c r="DE23" s="208">
        <f t="shared" si="33"/>
        <v>0</v>
      </c>
      <c r="DH23" s="208">
        <f t="shared" si="34"/>
        <v>0</v>
      </c>
      <c r="DK23" s="208">
        <f t="shared" si="35"/>
        <v>0</v>
      </c>
      <c r="DN23" s="208">
        <f t="shared" si="36"/>
        <v>0</v>
      </c>
      <c r="DQ23" s="208">
        <f t="shared" si="37"/>
        <v>0</v>
      </c>
      <c r="DT23" s="208">
        <f t="shared" si="38"/>
        <v>0</v>
      </c>
      <c r="DW23" s="208">
        <f t="shared" si="39"/>
        <v>0</v>
      </c>
      <c r="DZ23" s="208"/>
      <c r="EA23" s="208"/>
      <c r="EB23" s="228">
        <f t="shared" si="40"/>
        <v>311075000</v>
      </c>
      <c r="EC23" s="228">
        <f t="shared" si="41"/>
        <v>94075000</v>
      </c>
      <c r="ED23" s="208">
        <f t="shared" si="42"/>
        <v>32555.805640277777</v>
      </c>
      <c r="EE23" s="209">
        <f t="shared" si="43"/>
        <v>3.7676091072892388E-2</v>
      </c>
      <c r="EG23" s="228">
        <f t="shared" si="44"/>
        <v>0</v>
      </c>
      <c r="EH23" s="208">
        <f t="shared" si="45"/>
        <v>0</v>
      </c>
      <c r="EI23" s="209">
        <f t="shared" si="46"/>
        <v>0</v>
      </c>
      <c r="EJ23" s="209"/>
      <c r="EK23" s="228">
        <f t="shared" si="47"/>
        <v>217000000</v>
      </c>
      <c r="EL23" s="228">
        <f t="shared" si="48"/>
        <v>0</v>
      </c>
      <c r="EM23" s="228">
        <f t="shared" si="49"/>
        <v>22905.555555555555</v>
      </c>
      <c r="EN23" s="209">
        <f t="shared" si="50"/>
        <v>3.7999999999999999E-2</v>
      </c>
      <c r="EP23" s="208"/>
    </row>
    <row r="24" spans="1:146" x14ac:dyDescent="0.25">
      <c r="A24" s="222">
        <f t="shared" si="51"/>
        <v>46005</v>
      </c>
      <c r="B24" s="208">
        <v>94075000</v>
      </c>
      <c r="C24" s="209">
        <v>3.692894E-2</v>
      </c>
      <c r="D24" s="208">
        <f t="shared" si="0"/>
        <v>9650.2500847222218</v>
      </c>
      <c r="G24" s="208">
        <f t="shared" si="1"/>
        <v>0</v>
      </c>
      <c r="J24" s="208">
        <f t="shared" si="2"/>
        <v>0</v>
      </c>
      <c r="M24" s="208">
        <f t="shared" si="3"/>
        <v>0</v>
      </c>
      <c r="P24" s="208">
        <f t="shared" si="4"/>
        <v>0</v>
      </c>
      <c r="S24" s="208">
        <f t="shared" si="5"/>
        <v>0</v>
      </c>
      <c r="V24" s="208">
        <f t="shared" si="6"/>
        <v>0</v>
      </c>
      <c r="Y24" s="208">
        <f t="shared" si="7"/>
        <v>0</v>
      </c>
      <c r="AB24" s="208">
        <f t="shared" si="8"/>
        <v>0</v>
      </c>
      <c r="AE24" s="208">
        <v>0</v>
      </c>
      <c r="AH24" s="208">
        <v>0</v>
      </c>
      <c r="AI24" s="223">
        <f>217000000</f>
        <v>217000000</v>
      </c>
      <c r="AJ24" s="224">
        <v>3.7999999999999999E-2</v>
      </c>
      <c r="AK24" s="208">
        <f t="shared" si="9"/>
        <v>22905.555555555555</v>
      </c>
      <c r="AL24" s="223"/>
      <c r="AM24" s="224"/>
      <c r="AN24" s="208">
        <f t="shared" si="10"/>
        <v>0</v>
      </c>
      <c r="AO24" s="223"/>
      <c r="AP24" s="224"/>
      <c r="AQ24" s="208">
        <f t="shared" si="11"/>
        <v>0</v>
      </c>
      <c r="AR24" s="223"/>
      <c r="AS24" s="224"/>
      <c r="AT24" s="208">
        <f t="shared" si="12"/>
        <v>0</v>
      </c>
      <c r="AW24" s="208">
        <f t="shared" si="13"/>
        <v>0</v>
      </c>
      <c r="AZ24" s="208">
        <f t="shared" si="14"/>
        <v>0</v>
      </c>
      <c r="BC24" s="208">
        <f t="shared" si="15"/>
        <v>0</v>
      </c>
      <c r="BF24" s="208">
        <f t="shared" si="16"/>
        <v>0</v>
      </c>
      <c r="BI24" s="208">
        <f t="shared" si="17"/>
        <v>0</v>
      </c>
      <c r="BL24" s="208">
        <f t="shared" si="18"/>
        <v>0</v>
      </c>
      <c r="BO24" s="208">
        <f t="shared" si="19"/>
        <v>0</v>
      </c>
      <c r="BR24" s="208">
        <f t="shared" si="20"/>
        <v>0</v>
      </c>
      <c r="BU24" s="208">
        <f t="shared" si="21"/>
        <v>0</v>
      </c>
      <c r="BX24" s="208">
        <f t="shared" si="22"/>
        <v>0</v>
      </c>
      <c r="CA24" s="208">
        <f t="shared" si="23"/>
        <v>0</v>
      </c>
      <c r="CD24" s="208">
        <f t="shared" si="24"/>
        <v>0</v>
      </c>
      <c r="CG24" s="208">
        <f t="shared" si="25"/>
        <v>0</v>
      </c>
      <c r="CJ24" s="208">
        <f t="shared" si="26"/>
        <v>0</v>
      </c>
      <c r="CM24" s="208">
        <f t="shared" si="27"/>
        <v>0</v>
      </c>
      <c r="CP24" s="208">
        <f t="shared" si="28"/>
        <v>0</v>
      </c>
      <c r="CS24" s="208">
        <f t="shared" si="29"/>
        <v>0</v>
      </c>
      <c r="CV24" s="208">
        <f t="shared" si="30"/>
        <v>0</v>
      </c>
      <c r="CY24" s="208">
        <f t="shared" si="31"/>
        <v>0</v>
      </c>
      <c r="DB24" s="208">
        <f t="shared" si="32"/>
        <v>0</v>
      </c>
      <c r="DE24" s="208">
        <f t="shared" si="33"/>
        <v>0</v>
      </c>
      <c r="DH24" s="208">
        <f t="shared" si="34"/>
        <v>0</v>
      </c>
      <c r="DK24" s="208">
        <f t="shared" si="35"/>
        <v>0</v>
      </c>
      <c r="DN24" s="208">
        <f t="shared" si="36"/>
        <v>0</v>
      </c>
      <c r="DQ24" s="208">
        <f t="shared" si="37"/>
        <v>0</v>
      </c>
      <c r="DT24" s="208">
        <f t="shared" si="38"/>
        <v>0</v>
      </c>
      <c r="DW24" s="208">
        <f t="shared" si="39"/>
        <v>0</v>
      </c>
      <c r="DZ24" s="208"/>
      <c r="EA24" s="208"/>
      <c r="EB24" s="228">
        <f t="shared" si="40"/>
        <v>311075000</v>
      </c>
      <c r="EC24" s="228">
        <f t="shared" si="41"/>
        <v>94075000</v>
      </c>
      <c r="ED24" s="208">
        <f t="shared" si="42"/>
        <v>32555.805640277777</v>
      </c>
      <c r="EE24" s="209">
        <f t="shared" si="43"/>
        <v>3.7676091072892388E-2</v>
      </c>
      <c r="EG24" s="228">
        <f t="shared" si="44"/>
        <v>0</v>
      </c>
      <c r="EH24" s="208">
        <f t="shared" si="45"/>
        <v>0</v>
      </c>
      <c r="EI24" s="209">
        <f t="shared" si="46"/>
        <v>0</v>
      </c>
      <c r="EJ24" s="209"/>
      <c r="EK24" s="228">
        <f t="shared" si="47"/>
        <v>217000000</v>
      </c>
      <c r="EL24" s="228">
        <f t="shared" si="48"/>
        <v>0</v>
      </c>
      <c r="EM24" s="228">
        <f t="shared" si="49"/>
        <v>22905.555555555555</v>
      </c>
      <c r="EN24" s="209">
        <f t="shared" si="50"/>
        <v>3.7999999999999999E-2</v>
      </c>
      <c r="EP24" s="208"/>
    </row>
    <row r="25" spans="1:146" x14ac:dyDescent="0.25">
      <c r="A25" s="222">
        <f t="shared" si="51"/>
        <v>46006</v>
      </c>
      <c r="B25" s="208">
        <v>56825000</v>
      </c>
      <c r="C25" s="209">
        <v>3.6839040000000003E-2</v>
      </c>
      <c r="D25" s="208">
        <f t="shared" si="0"/>
        <v>5814.9401333333335</v>
      </c>
      <c r="G25" s="208">
        <f t="shared" si="1"/>
        <v>0</v>
      </c>
      <c r="J25" s="208">
        <f t="shared" si="2"/>
        <v>0</v>
      </c>
      <c r="M25" s="208">
        <f t="shared" si="3"/>
        <v>0</v>
      </c>
      <c r="P25" s="208">
        <f t="shared" si="4"/>
        <v>0</v>
      </c>
      <c r="S25" s="208">
        <f t="shared" si="5"/>
        <v>0</v>
      </c>
      <c r="V25" s="208">
        <f t="shared" si="6"/>
        <v>0</v>
      </c>
      <c r="Y25" s="208">
        <f t="shared" si="7"/>
        <v>0</v>
      </c>
      <c r="AB25" s="208">
        <f t="shared" si="8"/>
        <v>0</v>
      </c>
      <c r="AE25" s="208">
        <v>0</v>
      </c>
      <c r="AH25" s="208">
        <v>0</v>
      </c>
      <c r="AI25" s="223">
        <f>269950000</f>
        <v>269950000</v>
      </c>
      <c r="AJ25" s="224">
        <v>3.7999999999999999E-2</v>
      </c>
      <c r="AK25" s="208">
        <f t="shared" si="9"/>
        <v>28494.722222222223</v>
      </c>
      <c r="AL25" s="223"/>
      <c r="AM25" s="224"/>
      <c r="AN25" s="208">
        <f t="shared" si="10"/>
        <v>0</v>
      </c>
      <c r="AO25" s="223"/>
      <c r="AP25" s="224"/>
      <c r="AQ25" s="208">
        <f t="shared" si="11"/>
        <v>0</v>
      </c>
      <c r="AR25" s="223"/>
      <c r="AS25" s="224"/>
      <c r="AT25" s="208">
        <f t="shared" si="12"/>
        <v>0</v>
      </c>
      <c r="AW25" s="208">
        <f t="shared" si="13"/>
        <v>0</v>
      </c>
      <c r="AZ25" s="208">
        <f t="shared" si="14"/>
        <v>0</v>
      </c>
      <c r="BC25" s="208">
        <f t="shared" si="15"/>
        <v>0</v>
      </c>
      <c r="BF25" s="208">
        <f t="shared" si="16"/>
        <v>0</v>
      </c>
      <c r="BI25" s="208">
        <f t="shared" si="17"/>
        <v>0</v>
      </c>
      <c r="BL25" s="208">
        <f t="shared" si="18"/>
        <v>0</v>
      </c>
      <c r="BO25" s="208">
        <f t="shared" si="19"/>
        <v>0</v>
      </c>
      <c r="BR25" s="208">
        <f t="shared" si="20"/>
        <v>0</v>
      </c>
      <c r="BU25" s="208">
        <f t="shared" si="21"/>
        <v>0</v>
      </c>
      <c r="BX25" s="208">
        <f t="shared" si="22"/>
        <v>0</v>
      </c>
      <c r="CA25" s="208">
        <f t="shared" si="23"/>
        <v>0</v>
      </c>
      <c r="CD25" s="208">
        <f t="shared" si="24"/>
        <v>0</v>
      </c>
      <c r="CG25" s="208">
        <f t="shared" si="25"/>
        <v>0</v>
      </c>
      <c r="CJ25" s="208">
        <f t="shared" si="26"/>
        <v>0</v>
      </c>
      <c r="CM25" s="208">
        <f t="shared" si="27"/>
        <v>0</v>
      </c>
      <c r="CP25" s="208">
        <f t="shared" si="28"/>
        <v>0</v>
      </c>
      <c r="CS25" s="208">
        <f t="shared" si="29"/>
        <v>0</v>
      </c>
      <c r="CV25" s="208">
        <f t="shared" si="30"/>
        <v>0</v>
      </c>
      <c r="CY25" s="208">
        <f t="shared" si="31"/>
        <v>0</v>
      </c>
      <c r="DB25" s="208">
        <f t="shared" si="32"/>
        <v>0</v>
      </c>
      <c r="DE25" s="208">
        <f t="shared" si="33"/>
        <v>0</v>
      </c>
      <c r="DH25" s="208">
        <f t="shared" si="34"/>
        <v>0</v>
      </c>
      <c r="DK25" s="208">
        <f t="shared" si="35"/>
        <v>0</v>
      </c>
      <c r="DN25" s="208">
        <f t="shared" si="36"/>
        <v>0</v>
      </c>
      <c r="DQ25" s="208">
        <f t="shared" si="37"/>
        <v>0</v>
      </c>
      <c r="DT25" s="208">
        <f t="shared" si="38"/>
        <v>0</v>
      </c>
      <c r="DW25" s="208">
        <f t="shared" si="39"/>
        <v>0</v>
      </c>
      <c r="DZ25" s="208"/>
      <c r="EA25" s="208"/>
      <c r="EB25" s="228">
        <f t="shared" si="40"/>
        <v>326775000</v>
      </c>
      <c r="EC25" s="228">
        <f t="shared" si="41"/>
        <v>56825000</v>
      </c>
      <c r="ED25" s="208">
        <f t="shared" si="42"/>
        <v>34309.662355555556</v>
      </c>
      <c r="EE25" s="209">
        <f t="shared" si="43"/>
        <v>3.7798113221635683E-2</v>
      </c>
      <c r="EG25" s="228">
        <f t="shared" si="44"/>
        <v>0</v>
      </c>
      <c r="EH25" s="208">
        <f t="shared" si="45"/>
        <v>0</v>
      </c>
      <c r="EI25" s="209">
        <f t="shared" si="46"/>
        <v>0</v>
      </c>
      <c r="EJ25" s="209"/>
      <c r="EK25" s="228">
        <f t="shared" si="47"/>
        <v>269950000</v>
      </c>
      <c r="EL25" s="228">
        <f t="shared" si="48"/>
        <v>0</v>
      </c>
      <c r="EM25" s="228">
        <f t="shared" si="49"/>
        <v>28494.722222222223</v>
      </c>
      <c r="EN25" s="209">
        <f t="shared" si="50"/>
        <v>3.7999999999999999E-2</v>
      </c>
      <c r="EP25" s="208"/>
    </row>
    <row r="26" spans="1:146" x14ac:dyDescent="0.25">
      <c r="A26" s="222">
        <f t="shared" si="51"/>
        <v>46007</v>
      </c>
      <c r="B26" s="208">
        <v>106775000</v>
      </c>
      <c r="C26" s="209">
        <v>3.6400000000000002E-2</v>
      </c>
      <c r="D26" s="208">
        <f t="shared" si="0"/>
        <v>10796.138888888889</v>
      </c>
      <c r="G26" s="208">
        <f t="shared" si="1"/>
        <v>0</v>
      </c>
      <c r="J26" s="208">
        <f t="shared" si="2"/>
        <v>0</v>
      </c>
      <c r="M26" s="208">
        <f t="shared" si="3"/>
        <v>0</v>
      </c>
      <c r="P26" s="208">
        <f t="shared" si="4"/>
        <v>0</v>
      </c>
      <c r="S26" s="208">
        <f t="shared" si="5"/>
        <v>0</v>
      </c>
      <c r="V26" s="208">
        <f t="shared" si="6"/>
        <v>0</v>
      </c>
      <c r="Y26" s="208">
        <f t="shared" si="7"/>
        <v>0</v>
      </c>
      <c r="AB26" s="208">
        <f t="shared" si="8"/>
        <v>0</v>
      </c>
      <c r="AE26" s="208">
        <v>0</v>
      </c>
      <c r="AH26" s="208">
        <v>0</v>
      </c>
      <c r="AI26" s="223">
        <f>160000000</f>
        <v>160000000</v>
      </c>
      <c r="AJ26" s="224">
        <v>3.7999999999999999E-2</v>
      </c>
      <c r="AK26" s="208">
        <f t="shared" si="9"/>
        <v>16888.888888888891</v>
      </c>
      <c r="AL26" s="223"/>
      <c r="AM26" s="224"/>
      <c r="AN26" s="208">
        <f t="shared" si="10"/>
        <v>0</v>
      </c>
      <c r="AO26" s="223"/>
      <c r="AP26" s="224"/>
      <c r="AQ26" s="208">
        <f t="shared" si="11"/>
        <v>0</v>
      </c>
      <c r="AR26" s="223"/>
      <c r="AS26" s="224"/>
      <c r="AT26" s="208">
        <f t="shared" si="12"/>
        <v>0</v>
      </c>
      <c r="AW26" s="208">
        <f t="shared" si="13"/>
        <v>0</v>
      </c>
      <c r="AZ26" s="208">
        <f t="shared" si="14"/>
        <v>0</v>
      </c>
      <c r="BC26" s="208">
        <f t="shared" si="15"/>
        <v>0</v>
      </c>
      <c r="BF26" s="208">
        <f t="shared" si="16"/>
        <v>0</v>
      </c>
      <c r="BI26" s="208">
        <f t="shared" si="17"/>
        <v>0</v>
      </c>
      <c r="BL26" s="208">
        <f t="shared" si="18"/>
        <v>0</v>
      </c>
      <c r="BO26" s="208">
        <f t="shared" si="19"/>
        <v>0</v>
      </c>
      <c r="BR26" s="208">
        <f t="shared" si="20"/>
        <v>0</v>
      </c>
      <c r="BU26" s="208">
        <f t="shared" si="21"/>
        <v>0</v>
      </c>
      <c r="BX26" s="208">
        <f t="shared" si="22"/>
        <v>0</v>
      </c>
      <c r="CA26" s="208">
        <f t="shared" si="23"/>
        <v>0</v>
      </c>
      <c r="CD26" s="208">
        <f t="shared" si="24"/>
        <v>0</v>
      </c>
      <c r="CG26" s="208">
        <f t="shared" si="25"/>
        <v>0</v>
      </c>
      <c r="CJ26" s="208">
        <f t="shared" si="26"/>
        <v>0</v>
      </c>
      <c r="CM26" s="208">
        <f t="shared" si="27"/>
        <v>0</v>
      </c>
      <c r="CP26" s="208">
        <f t="shared" si="28"/>
        <v>0</v>
      </c>
      <c r="CS26" s="208">
        <f t="shared" si="29"/>
        <v>0</v>
      </c>
      <c r="CV26" s="208">
        <f t="shared" si="30"/>
        <v>0</v>
      </c>
      <c r="CY26" s="208">
        <f t="shared" si="31"/>
        <v>0</v>
      </c>
      <c r="DB26" s="208">
        <f t="shared" si="32"/>
        <v>0</v>
      </c>
      <c r="DE26" s="208">
        <f t="shared" si="33"/>
        <v>0</v>
      </c>
      <c r="DH26" s="208">
        <f t="shared" si="34"/>
        <v>0</v>
      </c>
      <c r="DK26" s="208">
        <f t="shared" si="35"/>
        <v>0</v>
      </c>
      <c r="DN26" s="208">
        <f t="shared" si="36"/>
        <v>0</v>
      </c>
      <c r="DQ26" s="208">
        <f t="shared" si="37"/>
        <v>0</v>
      </c>
      <c r="DT26" s="208">
        <f t="shared" si="38"/>
        <v>0</v>
      </c>
      <c r="DW26" s="208">
        <f t="shared" si="39"/>
        <v>0</v>
      </c>
      <c r="DZ26" s="208"/>
      <c r="EA26" s="208"/>
      <c r="EB26" s="228">
        <f t="shared" si="40"/>
        <v>266775000</v>
      </c>
      <c r="EC26" s="228">
        <f t="shared" si="41"/>
        <v>106775000</v>
      </c>
      <c r="ED26" s="208">
        <f t="shared" si="42"/>
        <v>27685.027777777781</v>
      </c>
      <c r="EE26" s="209">
        <f t="shared" si="43"/>
        <v>3.7359610158373163E-2</v>
      </c>
      <c r="EG26" s="228">
        <f t="shared" si="44"/>
        <v>0</v>
      </c>
      <c r="EH26" s="208">
        <f t="shared" si="45"/>
        <v>0</v>
      </c>
      <c r="EI26" s="209">
        <f t="shared" si="46"/>
        <v>0</v>
      </c>
      <c r="EJ26" s="209"/>
      <c r="EK26" s="228">
        <f t="shared" si="47"/>
        <v>160000000</v>
      </c>
      <c r="EL26" s="228">
        <f t="shared" si="48"/>
        <v>0</v>
      </c>
      <c r="EM26" s="228">
        <f t="shared" si="49"/>
        <v>16888.888888888891</v>
      </c>
      <c r="EN26" s="209">
        <f t="shared" si="50"/>
        <v>3.8000000000000006E-2</v>
      </c>
      <c r="EP26" s="208"/>
    </row>
    <row r="27" spans="1:146" x14ac:dyDescent="0.25">
      <c r="A27" s="222">
        <f t="shared" si="51"/>
        <v>46008</v>
      </c>
      <c r="B27" s="208">
        <v>107925000</v>
      </c>
      <c r="C27" s="209">
        <v>3.6499999999999998E-2</v>
      </c>
      <c r="D27" s="208">
        <f t="shared" si="0"/>
        <v>10942.395833333332</v>
      </c>
      <c r="G27" s="208">
        <f t="shared" si="1"/>
        <v>0</v>
      </c>
      <c r="J27" s="208">
        <f t="shared" si="2"/>
        <v>0</v>
      </c>
      <c r="M27" s="208">
        <f t="shared" si="3"/>
        <v>0</v>
      </c>
      <c r="P27" s="208">
        <f t="shared" si="4"/>
        <v>0</v>
      </c>
      <c r="S27" s="208">
        <f t="shared" si="5"/>
        <v>0</v>
      </c>
      <c r="V27" s="208">
        <f t="shared" si="6"/>
        <v>0</v>
      </c>
      <c r="Y27" s="208">
        <f t="shared" si="7"/>
        <v>0</v>
      </c>
      <c r="AB27" s="208">
        <f t="shared" si="8"/>
        <v>0</v>
      </c>
      <c r="AE27" s="208">
        <v>0</v>
      </c>
      <c r="AH27" s="208">
        <v>0</v>
      </c>
      <c r="AI27" s="223">
        <f>75000000+75000000</f>
        <v>150000000</v>
      </c>
      <c r="AJ27" s="224">
        <v>3.7999999999999999E-2</v>
      </c>
      <c r="AK27" s="208">
        <f t="shared" si="9"/>
        <v>15833.333333333334</v>
      </c>
      <c r="AL27" s="223"/>
      <c r="AM27" s="224"/>
      <c r="AN27" s="208">
        <f t="shared" si="10"/>
        <v>0</v>
      </c>
      <c r="AO27" s="223"/>
      <c r="AP27" s="224"/>
      <c r="AQ27" s="208">
        <f t="shared" si="11"/>
        <v>0</v>
      </c>
      <c r="AR27" s="223"/>
      <c r="AS27" s="224"/>
      <c r="AT27" s="208">
        <f t="shared" si="12"/>
        <v>0</v>
      </c>
      <c r="AW27" s="208">
        <f t="shared" si="13"/>
        <v>0</v>
      </c>
      <c r="AZ27" s="208">
        <f t="shared" si="14"/>
        <v>0</v>
      </c>
      <c r="BC27" s="208">
        <f t="shared" si="15"/>
        <v>0</v>
      </c>
      <c r="BF27" s="208">
        <f t="shared" si="16"/>
        <v>0</v>
      </c>
      <c r="BI27" s="208">
        <f t="shared" si="17"/>
        <v>0</v>
      </c>
      <c r="BL27" s="208">
        <f t="shared" si="18"/>
        <v>0</v>
      </c>
      <c r="BO27" s="208">
        <f t="shared" si="19"/>
        <v>0</v>
      </c>
      <c r="BR27" s="208">
        <f t="shared" si="20"/>
        <v>0</v>
      </c>
      <c r="BU27" s="208">
        <f t="shared" si="21"/>
        <v>0</v>
      </c>
      <c r="BX27" s="208">
        <f t="shared" si="22"/>
        <v>0</v>
      </c>
      <c r="CA27" s="208">
        <f t="shared" si="23"/>
        <v>0</v>
      </c>
      <c r="CD27" s="208">
        <f t="shared" si="24"/>
        <v>0</v>
      </c>
      <c r="CG27" s="208">
        <f t="shared" si="25"/>
        <v>0</v>
      </c>
      <c r="CJ27" s="208">
        <f t="shared" si="26"/>
        <v>0</v>
      </c>
      <c r="CM27" s="208">
        <f t="shared" si="27"/>
        <v>0</v>
      </c>
      <c r="CP27" s="208">
        <f t="shared" si="28"/>
        <v>0</v>
      </c>
      <c r="CS27" s="208">
        <f t="shared" si="29"/>
        <v>0</v>
      </c>
      <c r="CV27" s="208">
        <f t="shared" si="30"/>
        <v>0</v>
      </c>
      <c r="CY27" s="208">
        <f t="shared" si="31"/>
        <v>0</v>
      </c>
      <c r="DB27" s="208">
        <f t="shared" si="32"/>
        <v>0</v>
      </c>
      <c r="DE27" s="208">
        <f t="shared" si="33"/>
        <v>0</v>
      </c>
      <c r="DH27" s="208">
        <f t="shared" si="34"/>
        <v>0</v>
      </c>
      <c r="DK27" s="208">
        <f t="shared" si="35"/>
        <v>0</v>
      </c>
      <c r="DN27" s="208">
        <f t="shared" si="36"/>
        <v>0</v>
      </c>
      <c r="DQ27" s="208">
        <f t="shared" si="37"/>
        <v>0</v>
      </c>
      <c r="DT27" s="208">
        <f t="shared" si="38"/>
        <v>0</v>
      </c>
      <c r="DW27" s="208">
        <f t="shared" si="39"/>
        <v>0</v>
      </c>
      <c r="DZ27" s="208"/>
      <c r="EA27" s="208"/>
      <c r="EB27" s="228">
        <f t="shared" si="40"/>
        <v>257925000</v>
      </c>
      <c r="EC27" s="228">
        <f t="shared" si="41"/>
        <v>107925000</v>
      </c>
      <c r="ED27" s="208">
        <f t="shared" si="42"/>
        <v>26775.729166666664</v>
      </c>
      <c r="EE27" s="209">
        <f t="shared" si="43"/>
        <v>3.7372346612387322E-2</v>
      </c>
      <c r="EG27" s="228">
        <f t="shared" si="44"/>
        <v>0</v>
      </c>
      <c r="EH27" s="208">
        <f t="shared" si="45"/>
        <v>0</v>
      </c>
      <c r="EI27" s="209">
        <f t="shared" si="46"/>
        <v>0</v>
      </c>
      <c r="EJ27" s="209"/>
      <c r="EK27" s="228">
        <f t="shared" si="47"/>
        <v>150000000</v>
      </c>
      <c r="EL27" s="228">
        <f t="shared" si="48"/>
        <v>0</v>
      </c>
      <c r="EM27" s="228">
        <f t="shared" si="49"/>
        <v>15833.333333333334</v>
      </c>
      <c r="EN27" s="209">
        <f t="shared" si="50"/>
        <v>3.7999999999999999E-2</v>
      </c>
      <c r="EP27" s="208"/>
    </row>
    <row r="28" spans="1:146" x14ac:dyDescent="0.25">
      <c r="A28" s="222">
        <f t="shared" si="51"/>
        <v>46009</v>
      </c>
      <c r="B28" s="208">
        <v>123175000</v>
      </c>
      <c r="C28" s="209">
        <v>3.6400000000000002E-2</v>
      </c>
      <c r="D28" s="208">
        <f t="shared" si="0"/>
        <v>12454.361111111111</v>
      </c>
      <c r="G28" s="208">
        <f t="shared" si="1"/>
        <v>0</v>
      </c>
      <c r="J28" s="208">
        <f t="shared" si="2"/>
        <v>0</v>
      </c>
      <c r="M28" s="208">
        <f t="shared" si="3"/>
        <v>0</v>
      </c>
      <c r="P28" s="208">
        <f t="shared" si="4"/>
        <v>0</v>
      </c>
      <c r="S28" s="208">
        <f t="shared" si="5"/>
        <v>0</v>
      </c>
      <c r="V28" s="208">
        <f t="shared" si="6"/>
        <v>0</v>
      </c>
      <c r="Y28" s="208">
        <f t="shared" si="7"/>
        <v>0</v>
      </c>
      <c r="AB28" s="208">
        <f t="shared" si="8"/>
        <v>0</v>
      </c>
      <c r="AE28" s="208">
        <v>0</v>
      </c>
      <c r="AH28" s="208">
        <v>0</v>
      </c>
      <c r="AI28" s="223">
        <f>75000000+50000000+14200000</f>
        <v>139200000</v>
      </c>
      <c r="AJ28" s="224">
        <v>3.7999999999999999E-2</v>
      </c>
      <c r="AK28" s="208">
        <f t="shared" si="9"/>
        <v>14693.333333333334</v>
      </c>
      <c r="AL28" s="223"/>
      <c r="AM28" s="224"/>
      <c r="AN28" s="208">
        <f t="shared" si="10"/>
        <v>0</v>
      </c>
      <c r="AO28" s="223"/>
      <c r="AP28" s="224"/>
      <c r="AQ28" s="208">
        <f t="shared" si="11"/>
        <v>0</v>
      </c>
      <c r="AR28" s="223"/>
      <c r="AS28" s="224"/>
      <c r="AT28" s="208">
        <f t="shared" si="12"/>
        <v>0</v>
      </c>
      <c r="AW28" s="208">
        <f t="shared" si="13"/>
        <v>0</v>
      </c>
      <c r="AZ28" s="208">
        <f t="shared" si="14"/>
        <v>0</v>
      </c>
      <c r="BC28" s="208">
        <f t="shared" si="15"/>
        <v>0</v>
      </c>
      <c r="BF28" s="208">
        <f t="shared" si="16"/>
        <v>0</v>
      </c>
      <c r="BI28" s="208">
        <f t="shared" si="17"/>
        <v>0</v>
      </c>
      <c r="BL28" s="208">
        <f t="shared" si="18"/>
        <v>0</v>
      </c>
      <c r="BO28" s="208">
        <f t="shared" si="19"/>
        <v>0</v>
      </c>
      <c r="BR28" s="208">
        <f t="shared" si="20"/>
        <v>0</v>
      </c>
      <c r="BU28" s="208">
        <f t="shared" si="21"/>
        <v>0</v>
      </c>
      <c r="BX28" s="208">
        <f t="shared" si="22"/>
        <v>0</v>
      </c>
      <c r="CA28" s="208">
        <f t="shared" si="23"/>
        <v>0</v>
      </c>
      <c r="CD28" s="208">
        <f t="shared" si="24"/>
        <v>0</v>
      </c>
      <c r="CG28" s="208">
        <f t="shared" si="25"/>
        <v>0</v>
      </c>
      <c r="CJ28" s="208">
        <f t="shared" si="26"/>
        <v>0</v>
      </c>
      <c r="CM28" s="208">
        <f t="shared" si="27"/>
        <v>0</v>
      </c>
      <c r="CP28" s="208">
        <f t="shared" si="28"/>
        <v>0</v>
      </c>
      <c r="CS28" s="208">
        <f t="shared" si="29"/>
        <v>0</v>
      </c>
      <c r="CV28" s="208">
        <f t="shared" si="30"/>
        <v>0</v>
      </c>
      <c r="CY28" s="208">
        <f t="shared" si="31"/>
        <v>0</v>
      </c>
      <c r="DB28" s="208">
        <f t="shared" si="32"/>
        <v>0</v>
      </c>
      <c r="DE28" s="208">
        <f t="shared" si="33"/>
        <v>0</v>
      </c>
      <c r="DH28" s="208">
        <f t="shared" si="34"/>
        <v>0</v>
      </c>
      <c r="DK28" s="208">
        <f t="shared" si="35"/>
        <v>0</v>
      </c>
      <c r="DN28" s="208">
        <f t="shared" si="36"/>
        <v>0</v>
      </c>
      <c r="DQ28" s="208">
        <f t="shared" si="37"/>
        <v>0</v>
      </c>
      <c r="DT28" s="208">
        <f t="shared" si="38"/>
        <v>0</v>
      </c>
      <c r="DW28" s="208">
        <f t="shared" si="39"/>
        <v>0</v>
      </c>
      <c r="DZ28" s="208"/>
      <c r="EA28" s="208"/>
      <c r="EB28" s="228">
        <f t="shared" si="40"/>
        <v>262375000</v>
      </c>
      <c r="EC28" s="228">
        <f t="shared" si="41"/>
        <v>123175000</v>
      </c>
      <c r="ED28" s="208">
        <f t="shared" si="42"/>
        <v>27147.694444444445</v>
      </c>
      <c r="EE28" s="209">
        <f t="shared" si="43"/>
        <v>3.7248861362553599E-2</v>
      </c>
      <c r="EG28" s="228">
        <f t="shared" si="44"/>
        <v>0</v>
      </c>
      <c r="EH28" s="208">
        <f t="shared" si="45"/>
        <v>0</v>
      </c>
      <c r="EI28" s="209">
        <f t="shared" si="46"/>
        <v>0</v>
      </c>
      <c r="EJ28" s="209"/>
      <c r="EK28" s="228">
        <f t="shared" si="47"/>
        <v>139200000</v>
      </c>
      <c r="EL28" s="228">
        <f t="shared" si="48"/>
        <v>0</v>
      </c>
      <c r="EM28" s="228">
        <f t="shared" si="49"/>
        <v>14693.333333333334</v>
      </c>
      <c r="EN28" s="209">
        <f t="shared" si="50"/>
        <v>3.7999999999999999E-2</v>
      </c>
      <c r="EP28" s="208"/>
    </row>
    <row r="29" spans="1:146" x14ac:dyDescent="0.25">
      <c r="A29" s="222">
        <f t="shared" si="51"/>
        <v>46010</v>
      </c>
      <c r="B29" s="208">
        <v>114300000</v>
      </c>
      <c r="C29" s="209">
        <v>3.6600000000000001E-2</v>
      </c>
      <c r="D29" s="208">
        <f t="shared" si="0"/>
        <v>11620.5</v>
      </c>
      <c r="G29" s="208">
        <f t="shared" si="1"/>
        <v>0</v>
      </c>
      <c r="J29" s="208">
        <f t="shared" si="2"/>
        <v>0</v>
      </c>
      <c r="M29" s="208">
        <f t="shared" si="3"/>
        <v>0</v>
      </c>
      <c r="P29" s="208">
        <f t="shared" si="4"/>
        <v>0</v>
      </c>
      <c r="S29" s="208">
        <f t="shared" si="5"/>
        <v>0</v>
      </c>
      <c r="V29" s="208">
        <f t="shared" si="6"/>
        <v>0</v>
      </c>
      <c r="Y29" s="208">
        <f t="shared" si="7"/>
        <v>0</v>
      </c>
      <c r="AB29" s="208">
        <f t="shared" si="8"/>
        <v>0</v>
      </c>
      <c r="AE29" s="208">
        <v>0</v>
      </c>
      <c r="AH29" s="208">
        <v>0</v>
      </c>
      <c r="AI29" s="223">
        <f>70000000+70000000+17525000</f>
        <v>157525000</v>
      </c>
      <c r="AJ29" s="224">
        <v>3.7999999999999999E-2</v>
      </c>
      <c r="AK29" s="208">
        <f t="shared" si="9"/>
        <v>16627.638888888891</v>
      </c>
      <c r="AL29" s="223"/>
      <c r="AM29" s="224"/>
      <c r="AN29" s="208">
        <f t="shared" si="10"/>
        <v>0</v>
      </c>
      <c r="AO29" s="223"/>
      <c r="AP29" s="224"/>
      <c r="AQ29" s="208">
        <f t="shared" si="11"/>
        <v>0</v>
      </c>
      <c r="AR29" s="223"/>
      <c r="AS29" s="224"/>
      <c r="AT29" s="208">
        <f t="shared" si="12"/>
        <v>0</v>
      </c>
      <c r="AW29" s="208">
        <f t="shared" si="13"/>
        <v>0</v>
      </c>
      <c r="AZ29" s="208">
        <f t="shared" si="14"/>
        <v>0</v>
      </c>
      <c r="BC29" s="208">
        <f t="shared" si="15"/>
        <v>0</v>
      </c>
      <c r="BF29" s="208">
        <f t="shared" si="16"/>
        <v>0</v>
      </c>
      <c r="BI29" s="208">
        <f t="shared" si="17"/>
        <v>0</v>
      </c>
      <c r="BL29" s="208">
        <f t="shared" si="18"/>
        <v>0</v>
      </c>
      <c r="BO29" s="208">
        <f t="shared" si="19"/>
        <v>0</v>
      </c>
      <c r="BR29" s="208">
        <f t="shared" si="20"/>
        <v>0</v>
      </c>
      <c r="BU29" s="208">
        <f t="shared" si="21"/>
        <v>0</v>
      </c>
      <c r="BX29" s="208">
        <f t="shared" si="22"/>
        <v>0</v>
      </c>
      <c r="CA29" s="208">
        <f t="shared" si="23"/>
        <v>0</v>
      </c>
      <c r="CD29" s="208">
        <f t="shared" si="24"/>
        <v>0</v>
      </c>
      <c r="CG29" s="208">
        <f t="shared" si="25"/>
        <v>0</v>
      </c>
      <c r="CJ29" s="208">
        <f t="shared" si="26"/>
        <v>0</v>
      </c>
      <c r="CM29" s="208">
        <f t="shared" si="27"/>
        <v>0</v>
      </c>
      <c r="CP29" s="208">
        <f t="shared" si="28"/>
        <v>0</v>
      </c>
      <c r="CS29" s="208">
        <f t="shared" si="29"/>
        <v>0</v>
      </c>
      <c r="CV29" s="208">
        <f t="shared" si="30"/>
        <v>0</v>
      </c>
      <c r="CY29" s="208">
        <f t="shared" si="31"/>
        <v>0</v>
      </c>
      <c r="DB29" s="208">
        <f t="shared" si="32"/>
        <v>0</v>
      </c>
      <c r="DE29" s="208">
        <f t="shared" si="33"/>
        <v>0</v>
      </c>
      <c r="DH29" s="208">
        <f t="shared" si="34"/>
        <v>0</v>
      </c>
      <c r="DK29" s="208">
        <f t="shared" si="35"/>
        <v>0</v>
      </c>
      <c r="DN29" s="208">
        <f t="shared" si="36"/>
        <v>0</v>
      </c>
      <c r="DQ29" s="208">
        <f t="shared" si="37"/>
        <v>0</v>
      </c>
      <c r="DT29" s="208">
        <f t="shared" si="38"/>
        <v>0</v>
      </c>
      <c r="DW29" s="208">
        <f t="shared" si="39"/>
        <v>0</v>
      </c>
      <c r="DZ29" s="208"/>
      <c r="EA29" s="208"/>
      <c r="EB29" s="228">
        <f t="shared" si="40"/>
        <v>271825000</v>
      </c>
      <c r="EC29" s="228">
        <f t="shared" si="41"/>
        <v>114300000</v>
      </c>
      <c r="ED29" s="208">
        <f t="shared" si="42"/>
        <v>28248.138888888891</v>
      </c>
      <c r="EE29" s="209">
        <f t="shared" si="43"/>
        <v>3.7411312425273617E-2</v>
      </c>
      <c r="EG29" s="228">
        <f t="shared" si="44"/>
        <v>0</v>
      </c>
      <c r="EH29" s="208">
        <f t="shared" si="45"/>
        <v>0</v>
      </c>
      <c r="EI29" s="209">
        <f t="shared" si="46"/>
        <v>0</v>
      </c>
      <c r="EJ29" s="209"/>
      <c r="EK29" s="228">
        <f t="shared" si="47"/>
        <v>157525000</v>
      </c>
      <c r="EL29" s="228">
        <f t="shared" si="48"/>
        <v>0</v>
      </c>
      <c r="EM29" s="228">
        <f t="shared" si="49"/>
        <v>16627.638888888891</v>
      </c>
      <c r="EN29" s="209">
        <f t="shared" si="50"/>
        <v>3.8000000000000006E-2</v>
      </c>
      <c r="EP29" s="208"/>
    </row>
    <row r="30" spans="1:146" x14ac:dyDescent="0.25">
      <c r="A30" s="222">
        <f t="shared" si="51"/>
        <v>46011</v>
      </c>
      <c r="B30" s="208">
        <v>114300000</v>
      </c>
      <c r="C30" s="209">
        <v>3.6600000000000001E-2</v>
      </c>
      <c r="D30" s="208">
        <f t="shared" si="0"/>
        <v>11620.5</v>
      </c>
      <c r="G30" s="208">
        <f t="shared" si="1"/>
        <v>0</v>
      </c>
      <c r="J30" s="208">
        <f t="shared" si="2"/>
        <v>0</v>
      </c>
      <c r="M30" s="208">
        <f t="shared" si="3"/>
        <v>0</v>
      </c>
      <c r="P30" s="208">
        <f t="shared" si="4"/>
        <v>0</v>
      </c>
      <c r="S30" s="208">
        <f t="shared" si="5"/>
        <v>0</v>
      </c>
      <c r="V30" s="208">
        <f t="shared" si="6"/>
        <v>0</v>
      </c>
      <c r="Y30" s="208">
        <f t="shared" si="7"/>
        <v>0</v>
      </c>
      <c r="AB30" s="208">
        <f t="shared" si="8"/>
        <v>0</v>
      </c>
      <c r="AE30" s="208">
        <v>0</v>
      </c>
      <c r="AH30" s="208">
        <v>0</v>
      </c>
      <c r="AI30" s="223">
        <f>70000000+70000000+17525000</f>
        <v>157525000</v>
      </c>
      <c r="AJ30" s="224">
        <v>3.7999999999999999E-2</v>
      </c>
      <c r="AK30" s="208">
        <f t="shared" si="9"/>
        <v>16627.638888888891</v>
      </c>
      <c r="AL30" s="223"/>
      <c r="AM30" s="224"/>
      <c r="AN30" s="208">
        <f t="shared" si="10"/>
        <v>0</v>
      </c>
      <c r="AO30" s="223"/>
      <c r="AP30" s="224"/>
      <c r="AQ30" s="208">
        <f t="shared" si="11"/>
        <v>0</v>
      </c>
      <c r="AR30" s="223"/>
      <c r="AS30" s="224"/>
      <c r="AT30" s="208">
        <f t="shared" si="12"/>
        <v>0</v>
      </c>
      <c r="AW30" s="208">
        <f t="shared" si="13"/>
        <v>0</v>
      </c>
      <c r="AZ30" s="208">
        <f t="shared" si="14"/>
        <v>0</v>
      </c>
      <c r="BC30" s="208">
        <f t="shared" si="15"/>
        <v>0</v>
      </c>
      <c r="BF30" s="208">
        <f t="shared" si="16"/>
        <v>0</v>
      </c>
      <c r="BI30" s="208">
        <f t="shared" si="17"/>
        <v>0</v>
      </c>
      <c r="BL30" s="208">
        <f t="shared" si="18"/>
        <v>0</v>
      </c>
      <c r="BO30" s="208">
        <f t="shared" si="19"/>
        <v>0</v>
      </c>
      <c r="BR30" s="208">
        <f t="shared" si="20"/>
        <v>0</v>
      </c>
      <c r="BU30" s="208">
        <f t="shared" si="21"/>
        <v>0</v>
      </c>
      <c r="BX30" s="208">
        <f t="shared" si="22"/>
        <v>0</v>
      </c>
      <c r="CA30" s="208">
        <f t="shared" si="23"/>
        <v>0</v>
      </c>
      <c r="CD30" s="208">
        <f t="shared" si="24"/>
        <v>0</v>
      </c>
      <c r="CG30" s="208">
        <f t="shared" si="25"/>
        <v>0</v>
      </c>
      <c r="CJ30" s="208">
        <f t="shared" si="26"/>
        <v>0</v>
      </c>
      <c r="CM30" s="208">
        <f t="shared" si="27"/>
        <v>0</v>
      </c>
      <c r="CP30" s="208">
        <f t="shared" si="28"/>
        <v>0</v>
      </c>
      <c r="CS30" s="208">
        <f t="shared" si="29"/>
        <v>0</v>
      </c>
      <c r="CV30" s="208">
        <f t="shared" si="30"/>
        <v>0</v>
      </c>
      <c r="CY30" s="208">
        <f t="shared" si="31"/>
        <v>0</v>
      </c>
      <c r="DB30" s="208">
        <f t="shared" si="32"/>
        <v>0</v>
      </c>
      <c r="DE30" s="208">
        <f t="shared" si="33"/>
        <v>0</v>
      </c>
      <c r="DH30" s="208">
        <f t="shared" si="34"/>
        <v>0</v>
      </c>
      <c r="DK30" s="208">
        <f t="shared" si="35"/>
        <v>0</v>
      </c>
      <c r="DN30" s="208">
        <f t="shared" si="36"/>
        <v>0</v>
      </c>
      <c r="DQ30" s="208">
        <f t="shared" si="37"/>
        <v>0</v>
      </c>
      <c r="DT30" s="208">
        <f t="shared" si="38"/>
        <v>0</v>
      </c>
      <c r="DW30" s="208">
        <f t="shared" si="39"/>
        <v>0</v>
      </c>
      <c r="DZ30" s="208"/>
      <c r="EA30" s="208"/>
      <c r="EB30" s="228">
        <f t="shared" si="40"/>
        <v>271825000</v>
      </c>
      <c r="EC30" s="228">
        <f t="shared" si="41"/>
        <v>114300000</v>
      </c>
      <c r="ED30" s="208">
        <f t="shared" si="42"/>
        <v>28248.138888888891</v>
      </c>
      <c r="EE30" s="209">
        <f t="shared" si="43"/>
        <v>3.7411312425273617E-2</v>
      </c>
      <c r="EG30" s="228">
        <f t="shared" si="44"/>
        <v>0</v>
      </c>
      <c r="EH30" s="208">
        <f t="shared" si="45"/>
        <v>0</v>
      </c>
      <c r="EI30" s="209">
        <f t="shared" si="46"/>
        <v>0</v>
      </c>
      <c r="EJ30" s="209"/>
      <c r="EK30" s="228">
        <f t="shared" si="47"/>
        <v>157525000</v>
      </c>
      <c r="EL30" s="228">
        <f t="shared" si="48"/>
        <v>0</v>
      </c>
      <c r="EM30" s="228">
        <f t="shared" si="49"/>
        <v>16627.638888888891</v>
      </c>
      <c r="EN30" s="209">
        <f t="shared" si="50"/>
        <v>3.8000000000000006E-2</v>
      </c>
      <c r="EP30" s="208"/>
    </row>
    <row r="31" spans="1:146" x14ac:dyDescent="0.25">
      <c r="A31" s="222">
        <f t="shared" si="51"/>
        <v>46012</v>
      </c>
      <c r="B31" s="208">
        <v>114300000</v>
      </c>
      <c r="C31" s="209">
        <v>3.6600000000000001E-2</v>
      </c>
      <c r="D31" s="208">
        <f t="shared" si="0"/>
        <v>11620.5</v>
      </c>
      <c r="G31" s="208">
        <f t="shared" si="1"/>
        <v>0</v>
      </c>
      <c r="J31" s="208">
        <f t="shared" si="2"/>
        <v>0</v>
      </c>
      <c r="M31" s="208">
        <f t="shared" si="3"/>
        <v>0</v>
      </c>
      <c r="P31" s="208">
        <f t="shared" si="4"/>
        <v>0</v>
      </c>
      <c r="S31" s="208">
        <f t="shared" si="5"/>
        <v>0</v>
      </c>
      <c r="V31" s="208">
        <f t="shared" si="6"/>
        <v>0</v>
      </c>
      <c r="Y31" s="208">
        <f t="shared" si="7"/>
        <v>0</v>
      </c>
      <c r="AB31" s="208">
        <f t="shared" si="8"/>
        <v>0</v>
      </c>
      <c r="AE31" s="208">
        <v>0</v>
      </c>
      <c r="AH31" s="208">
        <v>0</v>
      </c>
      <c r="AI31" s="223">
        <f>70000000+70000000+17525000</f>
        <v>157525000</v>
      </c>
      <c r="AJ31" s="224">
        <v>3.7999999999999999E-2</v>
      </c>
      <c r="AK31" s="208">
        <f t="shared" si="9"/>
        <v>16627.638888888891</v>
      </c>
      <c r="AL31" s="223"/>
      <c r="AM31" s="224"/>
      <c r="AN31" s="208">
        <f t="shared" si="10"/>
        <v>0</v>
      </c>
      <c r="AO31" s="223"/>
      <c r="AP31" s="224"/>
      <c r="AQ31" s="208">
        <f t="shared" si="11"/>
        <v>0</v>
      </c>
      <c r="AR31" s="223"/>
      <c r="AS31" s="224"/>
      <c r="AT31" s="208">
        <f t="shared" si="12"/>
        <v>0</v>
      </c>
      <c r="AW31" s="208">
        <f t="shared" si="13"/>
        <v>0</v>
      </c>
      <c r="AZ31" s="208">
        <f t="shared" si="14"/>
        <v>0</v>
      </c>
      <c r="BC31" s="208">
        <f t="shared" si="15"/>
        <v>0</v>
      </c>
      <c r="BF31" s="208">
        <f t="shared" si="16"/>
        <v>0</v>
      </c>
      <c r="BI31" s="208">
        <f t="shared" si="17"/>
        <v>0</v>
      </c>
      <c r="BL31" s="208">
        <f t="shared" si="18"/>
        <v>0</v>
      </c>
      <c r="BO31" s="208">
        <f t="shared" si="19"/>
        <v>0</v>
      </c>
      <c r="BR31" s="208">
        <f t="shared" si="20"/>
        <v>0</v>
      </c>
      <c r="BU31" s="208">
        <f t="shared" si="21"/>
        <v>0</v>
      </c>
      <c r="BX31" s="208">
        <f t="shared" si="22"/>
        <v>0</v>
      </c>
      <c r="CA31" s="208">
        <f t="shared" si="23"/>
        <v>0</v>
      </c>
      <c r="CD31" s="208">
        <f t="shared" si="24"/>
        <v>0</v>
      </c>
      <c r="CG31" s="208">
        <f t="shared" si="25"/>
        <v>0</v>
      </c>
      <c r="CJ31" s="208">
        <f t="shared" si="26"/>
        <v>0</v>
      </c>
      <c r="CM31" s="208">
        <f t="shared" si="27"/>
        <v>0</v>
      </c>
      <c r="CP31" s="208">
        <f t="shared" si="28"/>
        <v>0</v>
      </c>
      <c r="CS31" s="208">
        <f t="shared" si="29"/>
        <v>0</v>
      </c>
      <c r="CV31" s="208">
        <f t="shared" si="30"/>
        <v>0</v>
      </c>
      <c r="CY31" s="208">
        <f t="shared" si="31"/>
        <v>0</v>
      </c>
      <c r="DB31" s="208">
        <f t="shared" si="32"/>
        <v>0</v>
      </c>
      <c r="DE31" s="208">
        <f t="shared" si="33"/>
        <v>0</v>
      </c>
      <c r="DH31" s="208">
        <f t="shared" si="34"/>
        <v>0</v>
      </c>
      <c r="DK31" s="208">
        <f t="shared" si="35"/>
        <v>0</v>
      </c>
      <c r="DN31" s="208">
        <f t="shared" si="36"/>
        <v>0</v>
      </c>
      <c r="DQ31" s="208">
        <f t="shared" si="37"/>
        <v>0</v>
      </c>
      <c r="DT31" s="208">
        <f t="shared" si="38"/>
        <v>0</v>
      </c>
      <c r="DW31" s="208">
        <f t="shared" si="39"/>
        <v>0</v>
      </c>
      <c r="DZ31" s="208"/>
      <c r="EA31" s="208"/>
      <c r="EB31" s="228">
        <f t="shared" si="40"/>
        <v>271825000</v>
      </c>
      <c r="EC31" s="228">
        <f t="shared" si="41"/>
        <v>114300000</v>
      </c>
      <c r="ED31" s="208">
        <f t="shared" si="42"/>
        <v>28248.138888888891</v>
      </c>
      <c r="EE31" s="209">
        <f t="shared" si="43"/>
        <v>3.7411312425273617E-2</v>
      </c>
      <c r="EG31" s="228">
        <f t="shared" si="44"/>
        <v>0</v>
      </c>
      <c r="EH31" s="208">
        <f t="shared" si="45"/>
        <v>0</v>
      </c>
      <c r="EI31" s="209">
        <f t="shared" si="46"/>
        <v>0</v>
      </c>
      <c r="EJ31" s="209"/>
      <c r="EK31" s="228">
        <f t="shared" si="47"/>
        <v>157525000</v>
      </c>
      <c r="EL31" s="228">
        <f t="shared" si="48"/>
        <v>0</v>
      </c>
      <c r="EM31" s="228">
        <f t="shared" si="49"/>
        <v>16627.638888888891</v>
      </c>
      <c r="EN31" s="209">
        <f t="shared" si="50"/>
        <v>3.8000000000000006E-2</v>
      </c>
      <c r="EP31" s="208"/>
    </row>
    <row r="32" spans="1:146" x14ac:dyDescent="0.25">
      <c r="A32" s="222">
        <f t="shared" si="51"/>
        <v>46013</v>
      </c>
      <c r="B32" s="208">
        <v>82400000</v>
      </c>
      <c r="C32" s="209">
        <v>3.6600000000000001E-2</v>
      </c>
      <c r="D32" s="208">
        <f t="shared" si="0"/>
        <v>8377.3333333333339</v>
      </c>
      <c r="G32" s="208">
        <f t="shared" si="1"/>
        <v>0</v>
      </c>
      <c r="J32" s="208">
        <f t="shared" si="2"/>
        <v>0</v>
      </c>
      <c r="M32" s="208">
        <f t="shared" si="3"/>
        <v>0</v>
      </c>
      <c r="P32" s="208">
        <f t="shared" si="4"/>
        <v>0</v>
      </c>
      <c r="S32" s="208">
        <f t="shared" si="5"/>
        <v>0</v>
      </c>
      <c r="V32" s="208">
        <f t="shared" si="6"/>
        <v>0</v>
      </c>
      <c r="Y32" s="208">
        <f t="shared" si="7"/>
        <v>0</v>
      </c>
      <c r="AB32" s="208">
        <f t="shared" si="8"/>
        <v>0</v>
      </c>
      <c r="AE32" s="208">
        <v>0</v>
      </c>
      <c r="AH32" s="208">
        <v>0</v>
      </c>
      <c r="AI32" s="223">
        <f>98275000</f>
        <v>98275000</v>
      </c>
      <c r="AJ32" s="224">
        <v>3.7999999999999999E-2</v>
      </c>
      <c r="AK32" s="208">
        <f t="shared" si="9"/>
        <v>10373.472222222223</v>
      </c>
      <c r="AL32" s="223">
        <f t="shared" ref="AL32:AL38" si="52">125000000</f>
        <v>125000000</v>
      </c>
      <c r="AM32" s="224">
        <v>3.8300000000000001E-2</v>
      </c>
      <c r="AN32" s="208">
        <f t="shared" si="10"/>
        <v>13298.611111111111</v>
      </c>
      <c r="AO32" s="223"/>
      <c r="AP32" s="224"/>
      <c r="AQ32" s="208">
        <f t="shared" si="11"/>
        <v>0</v>
      </c>
      <c r="AR32" s="223"/>
      <c r="AS32" s="224"/>
      <c r="AT32" s="208">
        <f t="shared" si="12"/>
        <v>0</v>
      </c>
      <c r="AW32" s="208">
        <f t="shared" si="13"/>
        <v>0</v>
      </c>
      <c r="AZ32" s="208">
        <f t="shared" si="14"/>
        <v>0</v>
      </c>
      <c r="BC32" s="208">
        <f t="shared" si="15"/>
        <v>0</v>
      </c>
      <c r="BF32" s="208">
        <f t="shared" si="16"/>
        <v>0</v>
      </c>
      <c r="BI32" s="208">
        <f t="shared" si="17"/>
        <v>0</v>
      </c>
      <c r="BL32" s="208">
        <f t="shared" si="18"/>
        <v>0</v>
      </c>
      <c r="BO32" s="208">
        <f t="shared" si="19"/>
        <v>0</v>
      </c>
      <c r="BR32" s="208">
        <f t="shared" si="20"/>
        <v>0</v>
      </c>
      <c r="BU32" s="208">
        <f t="shared" si="21"/>
        <v>0</v>
      </c>
      <c r="BX32" s="208">
        <f t="shared" si="22"/>
        <v>0</v>
      </c>
      <c r="CA32" s="208">
        <f t="shared" si="23"/>
        <v>0</v>
      </c>
      <c r="CD32" s="208">
        <f t="shared" si="24"/>
        <v>0</v>
      </c>
      <c r="CG32" s="208">
        <f t="shared" si="25"/>
        <v>0</v>
      </c>
      <c r="CJ32" s="208">
        <f t="shared" si="26"/>
        <v>0</v>
      </c>
      <c r="CM32" s="208">
        <f t="shared" si="27"/>
        <v>0</v>
      </c>
      <c r="CP32" s="208">
        <f t="shared" si="28"/>
        <v>0</v>
      </c>
      <c r="CS32" s="208">
        <f t="shared" si="29"/>
        <v>0</v>
      </c>
      <c r="CV32" s="208">
        <f t="shared" si="30"/>
        <v>0</v>
      </c>
      <c r="CY32" s="208">
        <f t="shared" si="31"/>
        <v>0</v>
      </c>
      <c r="DB32" s="208">
        <f t="shared" si="32"/>
        <v>0</v>
      </c>
      <c r="DE32" s="208">
        <f t="shared" si="33"/>
        <v>0</v>
      </c>
      <c r="DH32" s="208">
        <f t="shared" si="34"/>
        <v>0</v>
      </c>
      <c r="DK32" s="208">
        <f t="shared" si="35"/>
        <v>0</v>
      </c>
      <c r="DN32" s="208">
        <f t="shared" si="36"/>
        <v>0</v>
      </c>
      <c r="DQ32" s="208">
        <f t="shared" si="37"/>
        <v>0</v>
      </c>
      <c r="DT32" s="208">
        <f t="shared" si="38"/>
        <v>0</v>
      </c>
      <c r="DW32" s="208">
        <f t="shared" si="39"/>
        <v>0</v>
      </c>
      <c r="DZ32" s="208"/>
      <c r="EA32" s="208"/>
      <c r="EB32" s="228">
        <f t="shared" si="40"/>
        <v>305675000</v>
      </c>
      <c r="EC32" s="228">
        <f t="shared" si="41"/>
        <v>82400000</v>
      </c>
      <c r="ED32" s="208">
        <f t="shared" si="42"/>
        <v>32049.416666666664</v>
      </c>
      <c r="EE32" s="209">
        <f t="shared" si="43"/>
        <v>3.7745285024944793E-2</v>
      </c>
      <c r="EG32" s="228">
        <f t="shared" si="44"/>
        <v>0</v>
      </c>
      <c r="EH32" s="208">
        <f t="shared" si="45"/>
        <v>0</v>
      </c>
      <c r="EI32" s="209">
        <f t="shared" si="46"/>
        <v>0</v>
      </c>
      <c r="EJ32" s="209"/>
      <c r="EK32" s="228">
        <f t="shared" si="47"/>
        <v>223275000</v>
      </c>
      <c r="EL32" s="228">
        <f t="shared" si="48"/>
        <v>0</v>
      </c>
      <c r="EM32" s="228">
        <f t="shared" si="49"/>
        <v>23672.083333333336</v>
      </c>
      <c r="EN32" s="209">
        <f t="shared" si="50"/>
        <v>3.8167954316425938E-2</v>
      </c>
      <c r="EP32" s="208"/>
    </row>
    <row r="33" spans="1:146" x14ac:dyDescent="0.25">
      <c r="A33" s="222">
        <f t="shared" si="51"/>
        <v>46014</v>
      </c>
      <c r="B33" s="208">
        <v>100075000</v>
      </c>
      <c r="C33" s="209">
        <v>3.6613319999999998E-2</v>
      </c>
      <c r="D33" s="208">
        <f t="shared" si="0"/>
        <v>10177.994441666666</v>
      </c>
      <c r="G33" s="208">
        <f t="shared" si="1"/>
        <v>0</v>
      </c>
      <c r="J33" s="208">
        <f t="shared" si="2"/>
        <v>0</v>
      </c>
      <c r="M33" s="208">
        <f t="shared" si="3"/>
        <v>0</v>
      </c>
      <c r="P33" s="208">
        <f t="shared" si="4"/>
        <v>0</v>
      </c>
      <c r="S33" s="208">
        <f t="shared" si="5"/>
        <v>0</v>
      </c>
      <c r="V33" s="208">
        <f t="shared" si="6"/>
        <v>0</v>
      </c>
      <c r="Y33" s="208">
        <f t="shared" si="7"/>
        <v>0</v>
      </c>
      <c r="AB33" s="208">
        <f t="shared" si="8"/>
        <v>0</v>
      </c>
      <c r="AE33" s="208">
        <v>0</v>
      </c>
      <c r="AH33" s="208">
        <v>0</v>
      </c>
      <c r="AI33" s="223"/>
      <c r="AJ33" s="224"/>
      <c r="AK33" s="208">
        <f t="shared" si="9"/>
        <v>0</v>
      </c>
      <c r="AL33" s="223">
        <f t="shared" si="52"/>
        <v>125000000</v>
      </c>
      <c r="AM33" s="224">
        <v>3.8300000000000001E-2</v>
      </c>
      <c r="AN33" s="208">
        <f t="shared" si="10"/>
        <v>13298.611111111111</v>
      </c>
      <c r="AO33" s="223">
        <f t="shared" ref="AO33:AO38" si="53">72400000</f>
        <v>72400000</v>
      </c>
      <c r="AP33" s="224">
        <v>3.8199999999999998E-2</v>
      </c>
      <c r="AQ33" s="208">
        <f t="shared" si="11"/>
        <v>7682.4444444444443</v>
      </c>
      <c r="AR33" s="223"/>
      <c r="AS33" s="224"/>
      <c r="AT33" s="208">
        <f t="shared" si="12"/>
        <v>0</v>
      </c>
      <c r="AW33" s="208">
        <f t="shared" si="13"/>
        <v>0</v>
      </c>
      <c r="AZ33" s="208">
        <f t="shared" si="14"/>
        <v>0</v>
      </c>
      <c r="BC33" s="208">
        <f t="shared" si="15"/>
        <v>0</v>
      </c>
      <c r="BF33" s="208">
        <f t="shared" si="16"/>
        <v>0</v>
      </c>
      <c r="BI33" s="208">
        <f t="shared" si="17"/>
        <v>0</v>
      </c>
      <c r="BL33" s="208">
        <f t="shared" si="18"/>
        <v>0</v>
      </c>
      <c r="BO33" s="208">
        <f t="shared" si="19"/>
        <v>0</v>
      </c>
      <c r="BR33" s="208">
        <f t="shared" si="20"/>
        <v>0</v>
      </c>
      <c r="BU33" s="208">
        <f t="shared" si="21"/>
        <v>0</v>
      </c>
      <c r="BX33" s="208">
        <f t="shared" si="22"/>
        <v>0</v>
      </c>
      <c r="CA33" s="208">
        <f t="shared" si="23"/>
        <v>0</v>
      </c>
      <c r="CD33" s="208">
        <f t="shared" si="24"/>
        <v>0</v>
      </c>
      <c r="CG33" s="208">
        <f t="shared" si="25"/>
        <v>0</v>
      </c>
      <c r="CJ33" s="208">
        <f t="shared" si="26"/>
        <v>0</v>
      </c>
      <c r="CM33" s="208">
        <f t="shared" si="27"/>
        <v>0</v>
      </c>
      <c r="CP33" s="208">
        <f t="shared" si="28"/>
        <v>0</v>
      </c>
      <c r="CS33" s="208">
        <f t="shared" si="29"/>
        <v>0</v>
      </c>
      <c r="CV33" s="208">
        <f t="shared" si="30"/>
        <v>0</v>
      </c>
      <c r="CY33" s="208">
        <f t="shared" si="31"/>
        <v>0</v>
      </c>
      <c r="DB33" s="208">
        <f t="shared" si="32"/>
        <v>0</v>
      </c>
      <c r="DE33" s="208">
        <f t="shared" si="33"/>
        <v>0</v>
      </c>
      <c r="DH33" s="208">
        <f t="shared" si="34"/>
        <v>0</v>
      </c>
      <c r="DK33" s="208">
        <f t="shared" si="35"/>
        <v>0</v>
      </c>
      <c r="DN33" s="208">
        <f t="shared" si="36"/>
        <v>0</v>
      </c>
      <c r="DQ33" s="208">
        <f t="shared" si="37"/>
        <v>0</v>
      </c>
      <c r="DT33" s="208">
        <f t="shared" si="38"/>
        <v>0</v>
      </c>
      <c r="DW33" s="208">
        <f t="shared" si="39"/>
        <v>0</v>
      </c>
      <c r="DZ33" s="208"/>
      <c r="EA33" s="208"/>
      <c r="EB33" s="228">
        <f t="shared" si="40"/>
        <v>297475000</v>
      </c>
      <c r="EC33" s="228">
        <f t="shared" si="41"/>
        <v>100075000</v>
      </c>
      <c r="ED33" s="208">
        <f t="shared" si="42"/>
        <v>31159.049997222224</v>
      </c>
      <c r="EE33" s="209">
        <f t="shared" si="43"/>
        <v>3.7708237663669222E-2</v>
      </c>
      <c r="EG33" s="228">
        <f t="shared" si="44"/>
        <v>0</v>
      </c>
      <c r="EH33" s="208">
        <f t="shared" si="45"/>
        <v>0</v>
      </c>
      <c r="EI33" s="209">
        <f t="shared" si="46"/>
        <v>0</v>
      </c>
      <c r="EJ33" s="209"/>
      <c r="EK33" s="228">
        <f t="shared" si="47"/>
        <v>197400000</v>
      </c>
      <c r="EL33" s="228">
        <f t="shared" si="48"/>
        <v>0</v>
      </c>
      <c r="EM33" s="228">
        <f t="shared" si="49"/>
        <v>20981.055555555555</v>
      </c>
      <c r="EN33" s="209">
        <f t="shared" si="50"/>
        <v>3.8263323201621069E-2</v>
      </c>
      <c r="EP33" s="208"/>
    </row>
    <row r="34" spans="1:146" x14ac:dyDescent="0.25">
      <c r="A34" s="222">
        <f t="shared" si="51"/>
        <v>46015</v>
      </c>
      <c r="B34" s="208">
        <v>108725000</v>
      </c>
      <c r="C34" s="209">
        <v>3.6634239999999998E-2</v>
      </c>
      <c r="D34" s="208">
        <f t="shared" si="0"/>
        <v>11064.049288888889</v>
      </c>
      <c r="G34" s="208">
        <f t="shared" si="1"/>
        <v>0</v>
      </c>
      <c r="J34" s="208">
        <f t="shared" si="2"/>
        <v>0</v>
      </c>
      <c r="M34" s="208">
        <f t="shared" si="3"/>
        <v>0</v>
      </c>
      <c r="P34" s="208">
        <f t="shared" si="4"/>
        <v>0</v>
      </c>
      <c r="S34" s="208">
        <f t="shared" si="5"/>
        <v>0</v>
      </c>
      <c r="V34" s="208">
        <f t="shared" si="6"/>
        <v>0</v>
      </c>
      <c r="Y34" s="208">
        <f t="shared" si="7"/>
        <v>0</v>
      </c>
      <c r="AB34" s="208">
        <f t="shared" si="8"/>
        <v>0</v>
      </c>
      <c r="AE34" s="208">
        <v>0</v>
      </c>
      <c r="AH34" s="208">
        <v>0</v>
      </c>
      <c r="AI34" s="223">
        <f>3025000</f>
        <v>3025000</v>
      </c>
      <c r="AJ34" s="224">
        <v>3.7999999999999999E-2</v>
      </c>
      <c r="AK34" s="208">
        <f t="shared" si="9"/>
        <v>319.30555555555554</v>
      </c>
      <c r="AL34" s="223">
        <f t="shared" si="52"/>
        <v>125000000</v>
      </c>
      <c r="AM34" s="224">
        <v>3.8300000000000001E-2</v>
      </c>
      <c r="AN34" s="208">
        <f t="shared" si="10"/>
        <v>13298.611111111111</v>
      </c>
      <c r="AO34" s="223">
        <f t="shared" si="53"/>
        <v>72400000</v>
      </c>
      <c r="AP34" s="224">
        <v>3.8199999999999998E-2</v>
      </c>
      <c r="AQ34" s="208">
        <f t="shared" si="11"/>
        <v>7682.4444444444443</v>
      </c>
      <c r="AR34" s="223"/>
      <c r="AS34" s="224"/>
      <c r="AT34" s="208">
        <f t="shared" si="12"/>
        <v>0</v>
      </c>
      <c r="AW34" s="208">
        <f t="shared" si="13"/>
        <v>0</v>
      </c>
      <c r="AZ34" s="208">
        <f t="shared" si="14"/>
        <v>0</v>
      </c>
      <c r="BC34" s="208">
        <f t="shared" si="15"/>
        <v>0</v>
      </c>
      <c r="BF34" s="208">
        <f t="shared" si="16"/>
        <v>0</v>
      </c>
      <c r="BI34" s="208">
        <f t="shared" si="17"/>
        <v>0</v>
      </c>
      <c r="BL34" s="208">
        <f t="shared" si="18"/>
        <v>0</v>
      </c>
      <c r="BO34" s="208">
        <f t="shared" si="19"/>
        <v>0</v>
      </c>
      <c r="BR34" s="208">
        <f t="shared" si="20"/>
        <v>0</v>
      </c>
      <c r="BU34" s="208">
        <f t="shared" si="21"/>
        <v>0</v>
      </c>
      <c r="BX34" s="208">
        <f t="shared" si="22"/>
        <v>0</v>
      </c>
      <c r="CA34" s="208">
        <f t="shared" si="23"/>
        <v>0</v>
      </c>
      <c r="CD34" s="208">
        <f t="shared" si="24"/>
        <v>0</v>
      </c>
      <c r="CG34" s="208">
        <f t="shared" si="25"/>
        <v>0</v>
      </c>
      <c r="CJ34" s="208">
        <f t="shared" si="26"/>
        <v>0</v>
      </c>
      <c r="CM34" s="208">
        <f t="shared" si="27"/>
        <v>0</v>
      </c>
      <c r="CP34" s="208">
        <f t="shared" si="28"/>
        <v>0</v>
      </c>
      <c r="CS34" s="208">
        <f t="shared" si="29"/>
        <v>0</v>
      </c>
      <c r="CV34" s="208">
        <f t="shared" si="30"/>
        <v>0</v>
      </c>
      <c r="CY34" s="208">
        <f t="shared" si="31"/>
        <v>0</v>
      </c>
      <c r="DB34" s="208">
        <f t="shared" si="32"/>
        <v>0</v>
      </c>
      <c r="DE34" s="208">
        <f t="shared" si="33"/>
        <v>0</v>
      </c>
      <c r="DH34" s="208">
        <f t="shared" si="34"/>
        <v>0</v>
      </c>
      <c r="DK34" s="208">
        <f t="shared" si="35"/>
        <v>0</v>
      </c>
      <c r="DN34" s="208">
        <f t="shared" si="36"/>
        <v>0</v>
      </c>
      <c r="DQ34" s="208">
        <f t="shared" si="37"/>
        <v>0</v>
      </c>
      <c r="DT34" s="208">
        <f t="shared" si="38"/>
        <v>0</v>
      </c>
      <c r="DW34" s="208">
        <f t="shared" si="39"/>
        <v>0</v>
      </c>
      <c r="DZ34" s="208"/>
      <c r="EA34" s="208"/>
      <c r="EB34" s="228">
        <f t="shared" si="40"/>
        <v>309150000</v>
      </c>
      <c r="EC34" s="228">
        <f t="shared" si="41"/>
        <v>108725000</v>
      </c>
      <c r="ED34" s="208">
        <f t="shared" si="42"/>
        <v>32364.410400000001</v>
      </c>
      <c r="EE34" s="209">
        <f t="shared" si="43"/>
        <v>3.7687814148471617E-2</v>
      </c>
      <c r="EG34" s="228">
        <f t="shared" si="44"/>
        <v>0</v>
      </c>
      <c r="EH34" s="208">
        <f t="shared" si="45"/>
        <v>0</v>
      </c>
      <c r="EI34" s="209">
        <f t="shared" si="46"/>
        <v>0</v>
      </c>
      <c r="EJ34" s="209"/>
      <c r="EK34" s="228">
        <f t="shared" si="47"/>
        <v>200425000</v>
      </c>
      <c r="EL34" s="228">
        <f t="shared" si="48"/>
        <v>0</v>
      </c>
      <c r="EM34" s="228">
        <f t="shared" si="49"/>
        <v>21300.361111111109</v>
      </c>
      <c r="EN34" s="209">
        <f t="shared" si="50"/>
        <v>3.8259348883622299E-2</v>
      </c>
      <c r="EP34" s="208"/>
    </row>
    <row r="35" spans="1:146" x14ac:dyDescent="0.25">
      <c r="A35" s="222">
        <f t="shared" si="51"/>
        <v>46016</v>
      </c>
      <c r="B35" s="208">
        <v>108725000</v>
      </c>
      <c r="C35" s="209">
        <v>3.6634239999999998E-2</v>
      </c>
      <c r="D35" s="208">
        <f t="shared" si="0"/>
        <v>11064.049288888889</v>
      </c>
      <c r="G35" s="208">
        <f t="shared" si="1"/>
        <v>0</v>
      </c>
      <c r="J35" s="208">
        <f t="shared" si="2"/>
        <v>0</v>
      </c>
      <c r="M35" s="208">
        <f t="shared" si="3"/>
        <v>0</v>
      </c>
      <c r="P35" s="208">
        <f t="shared" si="4"/>
        <v>0</v>
      </c>
      <c r="S35" s="208">
        <f t="shared" si="5"/>
        <v>0</v>
      </c>
      <c r="V35" s="208">
        <f t="shared" si="6"/>
        <v>0</v>
      </c>
      <c r="Y35" s="208">
        <f t="shared" si="7"/>
        <v>0</v>
      </c>
      <c r="AB35" s="208">
        <f t="shared" si="8"/>
        <v>0</v>
      </c>
      <c r="AE35" s="208">
        <v>0</v>
      </c>
      <c r="AH35" s="208">
        <v>0</v>
      </c>
      <c r="AI35" s="223">
        <f>3025000</f>
        <v>3025000</v>
      </c>
      <c r="AJ35" s="224">
        <v>3.7999999999999999E-2</v>
      </c>
      <c r="AK35" s="208">
        <f t="shared" si="9"/>
        <v>319.30555555555554</v>
      </c>
      <c r="AL35" s="223">
        <f t="shared" si="52"/>
        <v>125000000</v>
      </c>
      <c r="AM35" s="224">
        <v>3.8300000000000001E-2</v>
      </c>
      <c r="AN35" s="208">
        <f t="shared" si="10"/>
        <v>13298.611111111111</v>
      </c>
      <c r="AO35" s="223">
        <f t="shared" si="53"/>
        <v>72400000</v>
      </c>
      <c r="AP35" s="224">
        <v>3.8199999999999998E-2</v>
      </c>
      <c r="AQ35" s="208">
        <f t="shared" si="11"/>
        <v>7682.4444444444443</v>
      </c>
      <c r="AR35" s="223"/>
      <c r="AS35" s="224"/>
      <c r="AT35" s="208">
        <f t="shared" si="12"/>
        <v>0</v>
      </c>
      <c r="AW35" s="208">
        <f t="shared" si="13"/>
        <v>0</v>
      </c>
      <c r="AZ35" s="208">
        <f t="shared" si="14"/>
        <v>0</v>
      </c>
      <c r="BC35" s="208">
        <f t="shared" si="15"/>
        <v>0</v>
      </c>
      <c r="BF35" s="208">
        <f t="shared" si="16"/>
        <v>0</v>
      </c>
      <c r="BI35" s="208">
        <f t="shared" si="17"/>
        <v>0</v>
      </c>
      <c r="BL35" s="208">
        <f t="shared" si="18"/>
        <v>0</v>
      </c>
      <c r="BO35" s="208">
        <f t="shared" si="19"/>
        <v>0</v>
      </c>
      <c r="BR35" s="208">
        <f t="shared" si="20"/>
        <v>0</v>
      </c>
      <c r="BU35" s="208">
        <f t="shared" si="21"/>
        <v>0</v>
      </c>
      <c r="BX35" s="208">
        <f t="shared" si="22"/>
        <v>0</v>
      </c>
      <c r="CA35" s="208">
        <f t="shared" si="23"/>
        <v>0</v>
      </c>
      <c r="CD35" s="208">
        <f t="shared" si="24"/>
        <v>0</v>
      </c>
      <c r="CG35" s="208">
        <f t="shared" si="25"/>
        <v>0</v>
      </c>
      <c r="CJ35" s="208">
        <f t="shared" si="26"/>
        <v>0</v>
      </c>
      <c r="CM35" s="208">
        <f t="shared" si="27"/>
        <v>0</v>
      </c>
      <c r="CP35" s="208">
        <f t="shared" si="28"/>
        <v>0</v>
      </c>
      <c r="CS35" s="208">
        <f t="shared" si="29"/>
        <v>0</v>
      </c>
      <c r="CV35" s="208">
        <f t="shared" si="30"/>
        <v>0</v>
      </c>
      <c r="CY35" s="208">
        <f t="shared" si="31"/>
        <v>0</v>
      </c>
      <c r="DB35" s="208">
        <f t="shared" si="32"/>
        <v>0</v>
      </c>
      <c r="DE35" s="208">
        <f t="shared" si="33"/>
        <v>0</v>
      </c>
      <c r="DH35" s="208">
        <f t="shared" si="34"/>
        <v>0</v>
      </c>
      <c r="DK35" s="208">
        <f t="shared" si="35"/>
        <v>0</v>
      </c>
      <c r="DN35" s="208">
        <f t="shared" si="36"/>
        <v>0</v>
      </c>
      <c r="DQ35" s="208">
        <f t="shared" si="37"/>
        <v>0</v>
      </c>
      <c r="DT35" s="208">
        <f t="shared" si="38"/>
        <v>0</v>
      </c>
      <c r="DW35" s="208">
        <f t="shared" si="39"/>
        <v>0</v>
      </c>
      <c r="DZ35" s="208"/>
      <c r="EA35" s="208"/>
      <c r="EB35" s="228">
        <f t="shared" si="40"/>
        <v>309150000</v>
      </c>
      <c r="EC35" s="228">
        <f t="shared" si="41"/>
        <v>108725000</v>
      </c>
      <c r="ED35" s="208">
        <f t="shared" si="42"/>
        <v>32364.410400000001</v>
      </c>
      <c r="EE35" s="209">
        <f t="shared" si="43"/>
        <v>3.7687814148471617E-2</v>
      </c>
      <c r="EG35" s="228">
        <f t="shared" si="44"/>
        <v>0</v>
      </c>
      <c r="EH35" s="208">
        <f t="shared" si="45"/>
        <v>0</v>
      </c>
      <c r="EI35" s="209">
        <f t="shared" si="46"/>
        <v>0</v>
      </c>
      <c r="EJ35" s="209"/>
      <c r="EK35" s="228">
        <f t="shared" si="47"/>
        <v>200425000</v>
      </c>
      <c r="EL35" s="228">
        <f t="shared" si="48"/>
        <v>0</v>
      </c>
      <c r="EM35" s="228">
        <f t="shared" si="49"/>
        <v>21300.361111111109</v>
      </c>
      <c r="EN35" s="209">
        <f t="shared" si="50"/>
        <v>3.8259348883622299E-2</v>
      </c>
      <c r="EP35" s="208"/>
    </row>
    <row r="36" spans="1:146" x14ac:dyDescent="0.25">
      <c r="A36" s="222">
        <f t="shared" si="51"/>
        <v>46017</v>
      </c>
      <c r="B36" s="208">
        <v>82100000</v>
      </c>
      <c r="C36" s="209">
        <v>3.6499999999999998E-2</v>
      </c>
      <c r="D36" s="208">
        <f t="shared" si="0"/>
        <v>8324.0277777777774</v>
      </c>
      <c r="G36" s="208">
        <f t="shared" si="1"/>
        <v>0</v>
      </c>
      <c r="J36" s="208">
        <f t="shared" si="2"/>
        <v>0</v>
      </c>
      <c r="M36" s="208">
        <f t="shared" si="3"/>
        <v>0</v>
      </c>
      <c r="P36" s="208">
        <f t="shared" si="4"/>
        <v>0</v>
      </c>
      <c r="S36" s="208">
        <f t="shared" si="5"/>
        <v>0</v>
      </c>
      <c r="V36" s="208">
        <f t="shared" si="6"/>
        <v>0</v>
      </c>
      <c r="Y36" s="208">
        <f t="shared" si="7"/>
        <v>0</v>
      </c>
      <c r="AB36" s="208">
        <f t="shared" si="8"/>
        <v>0</v>
      </c>
      <c r="AE36" s="208">
        <v>0</v>
      </c>
      <c r="AH36" s="208">
        <v>0</v>
      </c>
      <c r="AI36" s="223">
        <f>61000000</f>
        <v>61000000</v>
      </c>
      <c r="AJ36" s="224">
        <v>3.7999999999999999E-2</v>
      </c>
      <c r="AK36" s="208">
        <f t="shared" si="9"/>
        <v>6438.8888888888887</v>
      </c>
      <c r="AL36" s="223">
        <f t="shared" si="52"/>
        <v>125000000</v>
      </c>
      <c r="AM36" s="224">
        <v>3.8300000000000001E-2</v>
      </c>
      <c r="AN36" s="208">
        <f t="shared" si="10"/>
        <v>13298.611111111111</v>
      </c>
      <c r="AO36" s="223">
        <f t="shared" si="53"/>
        <v>72400000</v>
      </c>
      <c r="AP36" s="224">
        <v>3.8199999999999998E-2</v>
      </c>
      <c r="AQ36" s="208">
        <f t="shared" si="11"/>
        <v>7682.4444444444443</v>
      </c>
      <c r="AR36" s="223"/>
      <c r="AS36" s="224"/>
      <c r="AT36" s="208">
        <f t="shared" si="12"/>
        <v>0</v>
      </c>
      <c r="AW36" s="208">
        <f t="shared" si="13"/>
        <v>0</v>
      </c>
      <c r="AZ36" s="208">
        <f t="shared" si="14"/>
        <v>0</v>
      </c>
      <c r="BC36" s="208">
        <f t="shared" si="15"/>
        <v>0</v>
      </c>
      <c r="BF36" s="208">
        <f t="shared" si="16"/>
        <v>0</v>
      </c>
      <c r="BI36" s="208">
        <f t="shared" si="17"/>
        <v>0</v>
      </c>
      <c r="BL36" s="208">
        <f t="shared" si="18"/>
        <v>0</v>
      </c>
      <c r="BO36" s="208">
        <f t="shared" si="19"/>
        <v>0</v>
      </c>
      <c r="BR36" s="208">
        <f t="shared" si="20"/>
        <v>0</v>
      </c>
      <c r="BU36" s="208">
        <f t="shared" si="21"/>
        <v>0</v>
      </c>
      <c r="BX36" s="208">
        <f t="shared" si="22"/>
        <v>0</v>
      </c>
      <c r="CA36" s="208">
        <f t="shared" si="23"/>
        <v>0</v>
      </c>
      <c r="CD36" s="208">
        <f t="shared" si="24"/>
        <v>0</v>
      </c>
      <c r="CG36" s="208">
        <f t="shared" si="25"/>
        <v>0</v>
      </c>
      <c r="CJ36" s="208">
        <f t="shared" si="26"/>
        <v>0</v>
      </c>
      <c r="CM36" s="208">
        <f t="shared" si="27"/>
        <v>0</v>
      </c>
      <c r="CP36" s="208">
        <f t="shared" si="28"/>
        <v>0</v>
      </c>
      <c r="CS36" s="208">
        <f t="shared" si="29"/>
        <v>0</v>
      </c>
      <c r="CV36" s="208">
        <f t="shared" si="30"/>
        <v>0</v>
      </c>
      <c r="CY36" s="208">
        <f t="shared" si="31"/>
        <v>0</v>
      </c>
      <c r="DB36" s="208">
        <f t="shared" si="32"/>
        <v>0</v>
      </c>
      <c r="DE36" s="208">
        <f t="shared" si="33"/>
        <v>0</v>
      </c>
      <c r="DH36" s="208">
        <f t="shared" si="34"/>
        <v>0</v>
      </c>
      <c r="DK36" s="208">
        <f t="shared" si="35"/>
        <v>0</v>
      </c>
      <c r="DN36" s="208">
        <f t="shared" si="36"/>
        <v>0</v>
      </c>
      <c r="DQ36" s="208">
        <f t="shared" si="37"/>
        <v>0</v>
      </c>
      <c r="DT36" s="208">
        <f t="shared" si="38"/>
        <v>0</v>
      </c>
      <c r="DW36" s="208">
        <f t="shared" si="39"/>
        <v>0</v>
      </c>
      <c r="DZ36" s="208"/>
      <c r="EA36" s="208"/>
      <c r="EB36" s="228">
        <f t="shared" si="40"/>
        <v>340500000</v>
      </c>
      <c r="EC36" s="228">
        <f t="shared" si="41"/>
        <v>82100000</v>
      </c>
      <c r="ED36" s="208">
        <f t="shared" si="42"/>
        <v>35743.972222222219</v>
      </c>
      <c r="EE36" s="209">
        <f t="shared" si="43"/>
        <v>3.7790983847283403E-2</v>
      </c>
      <c r="EG36" s="228">
        <f t="shared" si="44"/>
        <v>0</v>
      </c>
      <c r="EH36" s="208">
        <f t="shared" si="45"/>
        <v>0</v>
      </c>
      <c r="EI36" s="209">
        <f t="shared" si="46"/>
        <v>0</v>
      </c>
      <c r="EJ36" s="209"/>
      <c r="EK36" s="228">
        <f t="shared" si="47"/>
        <v>258400000</v>
      </c>
      <c r="EL36" s="228">
        <f t="shared" si="48"/>
        <v>0</v>
      </c>
      <c r="EM36" s="228">
        <f t="shared" si="49"/>
        <v>27419.944444444445</v>
      </c>
      <c r="EN36" s="209">
        <f t="shared" si="50"/>
        <v>3.8201160990712073E-2</v>
      </c>
      <c r="EP36" s="208"/>
    </row>
    <row r="37" spans="1:146" x14ac:dyDescent="0.25">
      <c r="A37" s="222">
        <f t="shared" si="51"/>
        <v>46018</v>
      </c>
      <c r="B37" s="208">
        <v>82100000</v>
      </c>
      <c r="C37" s="209">
        <v>3.6499999999999998E-2</v>
      </c>
      <c r="D37" s="208">
        <f t="shared" si="0"/>
        <v>8324.0277777777774</v>
      </c>
      <c r="G37" s="208">
        <f t="shared" si="1"/>
        <v>0</v>
      </c>
      <c r="J37" s="208">
        <f t="shared" si="2"/>
        <v>0</v>
      </c>
      <c r="M37" s="208">
        <f t="shared" si="3"/>
        <v>0</v>
      </c>
      <c r="P37" s="208">
        <f t="shared" si="4"/>
        <v>0</v>
      </c>
      <c r="S37" s="208">
        <f t="shared" si="5"/>
        <v>0</v>
      </c>
      <c r="V37" s="208">
        <f t="shared" si="6"/>
        <v>0</v>
      </c>
      <c r="Y37" s="208">
        <f t="shared" si="7"/>
        <v>0</v>
      </c>
      <c r="AB37" s="208">
        <f t="shared" si="8"/>
        <v>0</v>
      </c>
      <c r="AE37" s="208">
        <v>0</v>
      </c>
      <c r="AH37" s="208">
        <v>0</v>
      </c>
      <c r="AI37" s="223">
        <f>61000000</f>
        <v>61000000</v>
      </c>
      <c r="AJ37" s="224">
        <v>3.7999999999999999E-2</v>
      </c>
      <c r="AK37" s="208">
        <f t="shared" si="9"/>
        <v>6438.8888888888887</v>
      </c>
      <c r="AL37" s="223">
        <f t="shared" si="52"/>
        <v>125000000</v>
      </c>
      <c r="AM37" s="224">
        <v>3.8300000000000001E-2</v>
      </c>
      <c r="AN37" s="208">
        <f t="shared" si="10"/>
        <v>13298.611111111111</v>
      </c>
      <c r="AO37" s="223">
        <f t="shared" si="53"/>
        <v>72400000</v>
      </c>
      <c r="AP37" s="224">
        <v>3.8199999999999998E-2</v>
      </c>
      <c r="AQ37" s="208">
        <f t="shared" si="11"/>
        <v>7682.4444444444443</v>
      </c>
      <c r="AR37" s="223"/>
      <c r="AS37" s="224"/>
      <c r="AT37" s="208">
        <f t="shared" si="12"/>
        <v>0</v>
      </c>
      <c r="AW37" s="208">
        <f t="shared" si="13"/>
        <v>0</v>
      </c>
      <c r="AZ37" s="208">
        <f t="shared" si="14"/>
        <v>0</v>
      </c>
      <c r="BC37" s="208">
        <f t="shared" si="15"/>
        <v>0</v>
      </c>
      <c r="BF37" s="208">
        <f t="shared" si="16"/>
        <v>0</v>
      </c>
      <c r="BI37" s="208">
        <f t="shared" si="17"/>
        <v>0</v>
      </c>
      <c r="BL37" s="208">
        <f t="shared" si="18"/>
        <v>0</v>
      </c>
      <c r="BO37" s="208">
        <f t="shared" si="19"/>
        <v>0</v>
      </c>
      <c r="BR37" s="208">
        <f t="shared" si="20"/>
        <v>0</v>
      </c>
      <c r="BU37" s="208">
        <f t="shared" si="21"/>
        <v>0</v>
      </c>
      <c r="BX37" s="208">
        <f t="shared" si="22"/>
        <v>0</v>
      </c>
      <c r="CA37" s="208">
        <f t="shared" si="23"/>
        <v>0</v>
      </c>
      <c r="CD37" s="208">
        <f t="shared" si="24"/>
        <v>0</v>
      </c>
      <c r="CG37" s="208">
        <f t="shared" si="25"/>
        <v>0</v>
      </c>
      <c r="CJ37" s="208">
        <f t="shared" si="26"/>
        <v>0</v>
      </c>
      <c r="CM37" s="208">
        <f t="shared" si="27"/>
        <v>0</v>
      </c>
      <c r="CP37" s="208">
        <f t="shared" si="28"/>
        <v>0</v>
      </c>
      <c r="CS37" s="208">
        <f t="shared" si="29"/>
        <v>0</v>
      </c>
      <c r="CV37" s="208">
        <f t="shared" si="30"/>
        <v>0</v>
      </c>
      <c r="CY37" s="208">
        <f t="shared" si="31"/>
        <v>0</v>
      </c>
      <c r="DB37" s="208">
        <f t="shared" si="32"/>
        <v>0</v>
      </c>
      <c r="DE37" s="208">
        <f t="shared" si="33"/>
        <v>0</v>
      </c>
      <c r="DH37" s="208">
        <f t="shared" si="34"/>
        <v>0</v>
      </c>
      <c r="DK37" s="208">
        <f t="shared" si="35"/>
        <v>0</v>
      </c>
      <c r="DN37" s="208">
        <f t="shared" si="36"/>
        <v>0</v>
      </c>
      <c r="DQ37" s="208">
        <f t="shared" si="37"/>
        <v>0</v>
      </c>
      <c r="DT37" s="208">
        <f t="shared" si="38"/>
        <v>0</v>
      </c>
      <c r="DW37" s="208">
        <f t="shared" si="39"/>
        <v>0</v>
      </c>
      <c r="DZ37" s="208"/>
      <c r="EA37" s="208"/>
      <c r="EB37" s="228">
        <f t="shared" si="40"/>
        <v>340500000</v>
      </c>
      <c r="EC37" s="228">
        <f t="shared" si="41"/>
        <v>82100000</v>
      </c>
      <c r="ED37" s="208">
        <f t="shared" si="42"/>
        <v>35743.972222222219</v>
      </c>
      <c r="EE37" s="209">
        <f t="shared" si="43"/>
        <v>3.7790983847283403E-2</v>
      </c>
      <c r="EG37" s="228">
        <f t="shared" si="44"/>
        <v>0</v>
      </c>
      <c r="EH37" s="208">
        <f t="shared" si="45"/>
        <v>0</v>
      </c>
      <c r="EI37" s="209">
        <f t="shared" si="46"/>
        <v>0</v>
      </c>
      <c r="EJ37" s="209"/>
      <c r="EK37" s="228">
        <f t="shared" si="47"/>
        <v>258400000</v>
      </c>
      <c r="EL37" s="228">
        <f t="shared" si="48"/>
        <v>0</v>
      </c>
      <c r="EM37" s="228">
        <f t="shared" si="49"/>
        <v>27419.944444444445</v>
      </c>
      <c r="EN37" s="209">
        <f t="shared" si="50"/>
        <v>3.8201160990712073E-2</v>
      </c>
      <c r="EP37" s="208"/>
    </row>
    <row r="38" spans="1:146" x14ac:dyDescent="0.25">
      <c r="A38" s="222">
        <f t="shared" si="51"/>
        <v>46019</v>
      </c>
      <c r="B38" s="208">
        <v>82100000</v>
      </c>
      <c r="C38" s="209">
        <v>3.6499999999999998E-2</v>
      </c>
      <c r="D38" s="208">
        <f t="shared" si="0"/>
        <v>8324.0277777777774</v>
      </c>
      <c r="G38" s="208">
        <f t="shared" si="1"/>
        <v>0</v>
      </c>
      <c r="J38" s="208">
        <f t="shared" si="2"/>
        <v>0</v>
      </c>
      <c r="M38" s="208">
        <f t="shared" si="3"/>
        <v>0</v>
      </c>
      <c r="P38" s="208">
        <f t="shared" si="4"/>
        <v>0</v>
      </c>
      <c r="S38" s="208">
        <f t="shared" si="5"/>
        <v>0</v>
      </c>
      <c r="V38" s="208">
        <f t="shared" si="6"/>
        <v>0</v>
      </c>
      <c r="Y38" s="208">
        <f t="shared" si="7"/>
        <v>0</v>
      </c>
      <c r="AB38" s="208">
        <f t="shared" si="8"/>
        <v>0</v>
      </c>
      <c r="AE38" s="208">
        <v>0</v>
      </c>
      <c r="AH38" s="208">
        <v>0</v>
      </c>
      <c r="AI38" s="223">
        <f>61000000</f>
        <v>61000000</v>
      </c>
      <c r="AJ38" s="224">
        <v>3.7999999999999999E-2</v>
      </c>
      <c r="AK38" s="208">
        <f t="shared" si="9"/>
        <v>6438.8888888888887</v>
      </c>
      <c r="AL38" s="223">
        <f t="shared" si="52"/>
        <v>125000000</v>
      </c>
      <c r="AM38" s="224">
        <v>3.8300000000000001E-2</v>
      </c>
      <c r="AN38" s="208">
        <f t="shared" si="10"/>
        <v>13298.611111111111</v>
      </c>
      <c r="AO38" s="223">
        <f t="shared" si="53"/>
        <v>72400000</v>
      </c>
      <c r="AP38" s="224">
        <v>3.8199999999999998E-2</v>
      </c>
      <c r="AQ38" s="208">
        <f t="shared" si="11"/>
        <v>7682.4444444444443</v>
      </c>
      <c r="AR38" s="223"/>
      <c r="AS38" s="224"/>
      <c r="AT38" s="208">
        <f t="shared" si="12"/>
        <v>0</v>
      </c>
      <c r="AW38" s="208">
        <f t="shared" si="13"/>
        <v>0</v>
      </c>
      <c r="AZ38" s="208">
        <f t="shared" si="14"/>
        <v>0</v>
      </c>
      <c r="BC38" s="208">
        <f t="shared" si="15"/>
        <v>0</v>
      </c>
      <c r="BF38" s="208">
        <f t="shared" si="16"/>
        <v>0</v>
      </c>
      <c r="BI38" s="208">
        <f t="shared" si="17"/>
        <v>0</v>
      </c>
      <c r="BL38" s="208">
        <f t="shared" si="18"/>
        <v>0</v>
      </c>
      <c r="BO38" s="208">
        <f t="shared" si="19"/>
        <v>0</v>
      </c>
      <c r="BR38" s="208">
        <f t="shared" si="20"/>
        <v>0</v>
      </c>
      <c r="BU38" s="208">
        <f t="shared" si="21"/>
        <v>0</v>
      </c>
      <c r="BX38" s="208">
        <f t="shared" si="22"/>
        <v>0</v>
      </c>
      <c r="CA38" s="208">
        <f t="shared" si="23"/>
        <v>0</v>
      </c>
      <c r="CD38" s="208">
        <f t="shared" si="24"/>
        <v>0</v>
      </c>
      <c r="CG38" s="208">
        <f t="shared" si="25"/>
        <v>0</v>
      </c>
      <c r="CJ38" s="208">
        <f t="shared" si="26"/>
        <v>0</v>
      </c>
      <c r="CM38" s="208">
        <f t="shared" si="27"/>
        <v>0</v>
      </c>
      <c r="CP38" s="208">
        <f t="shared" si="28"/>
        <v>0</v>
      </c>
      <c r="CS38" s="208">
        <f t="shared" si="29"/>
        <v>0</v>
      </c>
      <c r="CV38" s="208">
        <f t="shared" si="30"/>
        <v>0</v>
      </c>
      <c r="CY38" s="208">
        <f t="shared" si="31"/>
        <v>0</v>
      </c>
      <c r="DB38" s="208">
        <f t="shared" si="32"/>
        <v>0</v>
      </c>
      <c r="DE38" s="208">
        <f t="shared" si="33"/>
        <v>0</v>
      </c>
      <c r="DH38" s="208">
        <f t="shared" si="34"/>
        <v>0</v>
      </c>
      <c r="DK38" s="208">
        <f t="shared" si="35"/>
        <v>0</v>
      </c>
      <c r="DN38" s="208">
        <f t="shared" si="36"/>
        <v>0</v>
      </c>
      <c r="DQ38" s="208">
        <f t="shared" si="37"/>
        <v>0</v>
      </c>
      <c r="DT38" s="208">
        <f t="shared" si="38"/>
        <v>0</v>
      </c>
      <c r="DW38" s="208">
        <f t="shared" si="39"/>
        <v>0</v>
      </c>
      <c r="DZ38" s="208"/>
      <c r="EA38" s="208"/>
      <c r="EB38" s="228">
        <f t="shared" si="40"/>
        <v>340500000</v>
      </c>
      <c r="EC38" s="228">
        <f t="shared" si="41"/>
        <v>82100000</v>
      </c>
      <c r="ED38" s="208">
        <f t="shared" si="42"/>
        <v>35743.972222222219</v>
      </c>
      <c r="EE38" s="209">
        <f t="shared" si="43"/>
        <v>3.7790983847283403E-2</v>
      </c>
      <c r="EG38" s="228">
        <f t="shared" si="44"/>
        <v>0</v>
      </c>
      <c r="EH38" s="208">
        <f t="shared" si="45"/>
        <v>0</v>
      </c>
      <c r="EI38" s="209">
        <f t="shared" si="46"/>
        <v>0</v>
      </c>
      <c r="EJ38" s="209"/>
      <c r="EK38" s="228">
        <f t="shared" si="47"/>
        <v>258400000</v>
      </c>
      <c r="EL38" s="228">
        <f t="shared" si="48"/>
        <v>0</v>
      </c>
      <c r="EM38" s="228">
        <f t="shared" si="49"/>
        <v>27419.944444444445</v>
      </c>
      <c r="EN38" s="209">
        <f t="shared" si="50"/>
        <v>3.8201160990712073E-2</v>
      </c>
      <c r="EP38" s="208"/>
    </row>
    <row r="39" spans="1:146" x14ac:dyDescent="0.25">
      <c r="A39" s="222">
        <f t="shared" si="51"/>
        <v>46020</v>
      </c>
      <c r="B39" s="208">
        <v>93900000</v>
      </c>
      <c r="C39" s="209">
        <v>3.6478199999999995E-2</v>
      </c>
      <c r="D39" s="208">
        <f t="shared" si="0"/>
        <v>9514.7304999999978</v>
      </c>
      <c r="G39" s="208">
        <f t="shared" si="1"/>
        <v>0</v>
      </c>
      <c r="J39" s="208">
        <f t="shared" si="2"/>
        <v>0</v>
      </c>
      <c r="M39" s="208">
        <f t="shared" si="3"/>
        <v>0</v>
      </c>
      <c r="P39" s="208">
        <f t="shared" si="4"/>
        <v>0</v>
      </c>
      <c r="S39" s="208">
        <f t="shared" si="5"/>
        <v>0</v>
      </c>
      <c r="V39" s="208">
        <f t="shared" si="6"/>
        <v>0</v>
      </c>
      <c r="Y39" s="208">
        <f t="shared" si="7"/>
        <v>0</v>
      </c>
      <c r="AB39" s="208">
        <f t="shared" si="8"/>
        <v>0</v>
      </c>
      <c r="AE39" s="208">
        <v>0</v>
      </c>
      <c r="AH39" s="208">
        <v>0</v>
      </c>
      <c r="AI39" s="223">
        <f>145500000</f>
        <v>145500000</v>
      </c>
      <c r="AJ39" s="224">
        <v>3.7999999999999999E-2</v>
      </c>
      <c r="AK39" s="208">
        <f t="shared" si="9"/>
        <v>15358.333333333334</v>
      </c>
      <c r="AL39" s="223">
        <f>100000000</f>
        <v>100000000</v>
      </c>
      <c r="AM39" s="224">
        <v>3.7999999999999999E-2</v>
      </c>
      <c r="AN39" s="208">
        <f t="shared" si="10"/>
        <v>10555.555555555555</v>
      </c>
      <c r="AO39" s="223"/>
      <c r="AP39" s="224"/>
      <c r="AQ39" s="208">
        <f t="shared" si="11"/>
        <v>0</v>
      </c>
      <c r="AR39" s="223"/>
      <c r="AS39" s="224"/>
      <c r="AT39" s="208">
        <f t="shared" si="12"/>
        <v>0</v>
      </c>
      <c r="AW39" s="208">
        <f t="shared" si="13"/>
        <v>0</v>
      </c>
      <c r="AZ39" s="208">
        <f t="shared" si="14"/>
        <v>0</v>
      </c>
      <c r="BC39" s="208">
        <f t="shared" si="15"/>
        <v>0</v>
      </c>
      <c r="BF39" s="208">
        <f t="shared" si="16"/>
        <v>0</v>
      </c>
      <c r="BI39" s="208">
        <f t="shared" si="17"/>
        <v>0</v>
      </c>
      <c r="BL39" s="208">
        <f t="shared" si="18"/>
        <v>0</v>
      </c>
      <c r="BO39" s="208">
        <f t="shared" si="19"/>
        <v>0</v>
      </c>
      <c r="BR39" s="208">
        <f t="shared" si="20"/>
        <v>0</v>
      </c>
      <c r="BU39" s="208">
        <f t="shared" si="21"/>
        <v>0</v>
      </c>
      <c r="BX39" s="208">
        <f t="shared" si="22"/>
        <v>0</v>
      </c>
      <c r="CA39" s="208">
        <f t="shared" si="23"/>
        <v>0</v>
      </c>
      <c r="CD39" s="208">
        <f t="shared" si="24"/>
        <v>0</v>
      </c>
      <c r="CG39" s="208">
        <f t="shared" si="25"/>
        <v>0</v>
      </c>
      <c r="CJ39" s="208">
        <f t="shared" si="26"/>
        <v>0</v>
      </c>
      <c r="CM39" s="208">
        <f t="shared" si="27"/>
        <v>0</v>
      </c>
      <c r="CP39" s="208">
        <f t="shared" si="28"/>
        <v>0</v>
      </c>
      <c r="CS39" s="208">
        <f t="shared" si="29"/>
        <v>0</v>
      </c>
      <c r="CV39" s="208">
        <f t="shared" si="30"/>
        <v>0</v>
      </c>
      <c r="CY39" s="208">
        <f t="shared" si="31"/>
        <v>0</v>
      </c>
      <c r="DB39" s="208">
        <f t="shared" si="32"/>
        <v>0</v>
      </c>
      <c r="DE39" s="208">
        <f t="shared" si="33"/>
        <v>0</v>
      </c>
      <c r="DH39" s="208">
        <f t="shared" si="34"/>
        <v>0</v>
      </c>
      <c r="DK39" s="208">
        <f t="shared" si="35"/>
        <v>0</v>
      </c>
      <c r="DN39" s="208">
        <f t="shared" si="36"/>
        <v>0</v>
      </c>
      <c r="DQ39" s="208">
        <f t="shared" si="37"/>
        <v>0</v>
      </c>
      <c r="DT39" s="208">
        <f t="shared" si="38"/>
        <v>0</v>
      </c>
      <c r="DW39" s="208">
        <f t="shared" si="39"/>
        <v>0</v>
      </c>
      <c r="DZ39" s="208"/>
      <c r="EA39" s="208"/>
      <c r="EB39" s="228">
        <f t="shared" si="40"/>
        <v>339400000</v>
      </c>
      <c r="EC39" s="228">
        <f t="shared" si="41"/>
        <v>93900000</v>
      </c>
      <c r="ED39" s="208">
        <f t="shared" si="42"/>
        <v>35428.619388888888</v>
      </c>
      <c r="EE39" s="209">
        <f t="shared" si="43"/>
        <v>3.7578971655863283E-2</v>
      </c>
      <c r="EG39" s="228">
        <f t="shared" si="44"/>
        <v>0</v>
      </c>
      <c r="EH39" s="208">
        <f t="shared" si="45"/>
        <v>0</v>
      </c>
      <c r="EI39" s="209">
        <f t="shared" si="46"/>
        <v>0</v>
      </c>
      <c r="EJ39" s="209"/>
      <c r="EK39" s="228">
        <f t="shared" si="47"/>
        <v>245500000</v>
      </c>
      <c r="EL39" s="228">
        <f t="shared" si="48"/>
        <v>0</v>
      </c>
      <c r="EM39" s="228">
        <f t="shared" si="49"/>
        <v>25913.888888888891</v>
      </c>
      <c r="EN39" s="209">
        <f t="shared" si="50"/>
        <v>3.8000000000000006E-2</v>
      </c>
      <c r="EP39" s="208"/>
    </row>
    <row r="40" spans="1:146" x14ac:dyDescent="0.25">
      <c r="A40" s="222">
        <f t="shared" si="51"/>
        <v>46021</v>
      </c>
      <c r="B40" s="208">
        <v>49000000</v>
      </c>
      <c r="C40" s="209">
        <v>3.707626E-2</v>
      </c>
      <c r="D40" s="208">
        <f t="shared" si="0"/>
        <v>5046.4909444444447</v>
      </c>
      <c r="G40" s="208">
        <f t="shared" si="1"/>
        <v>0</v>
      </c>
      <c r="J40" s="208">
        <f t="shared" si="2"/>
        <v>0</v>
      </c>
      <c r="M40" s="208">
        <f t="shared" si="3"/>
        <v>0</v>
      </c>
      <c r="P40" s="208">
        <f t="shared" si="4"/>
        <v>0</v>
      </c>
      <c r="S40" s="208">
        <f t="shared" si="5"/>
        <v>0</v>
      </c>
      <c r="V40" s="208">
        <f t="shared" si="6"/>
        <v>0</v>
      </c>
      <c r="Y40" s="208">
        <f t="shared" si="7"/>
        <v>0</v>
      </c>
      <c r="AB40" s="208">
        <f t="shared" si="8"/>
        <v>0</v>
      </c>
      <c r="AE40" s="208">
        <v>0</v>
      </c>
      <c r="AH40" s="208">
        <v>0</v>
      </c>
      <c r="AI40" s="223">
        <f>100000000+100000000</f>
        <v>200000000</v>
      </c>
      <c r="AJ40" s="224">
        <v>3.7999999999999999E-2</v>
      </c>
      <c r="AK40" s="208">
        <f t="shared" si="9"/>
        <v>21111.111111111109</v>
      </c>
      <c r="AL40" s="223">
        <f>100000000</f>
        <v>100000000</v>
      </c>
      <c r="AM40" s="224">
        <v>3.7999999999999999E-2</v>
      </c>
      <c r="AN40" s="208">
        <f t="shared" si="10"/>
        <v>10555.555555555555</v>
      </c>
      <c r="AO40" s="223"/>
      <c r="AP40" s="224"/>
      <c r="AQ40" s="208">
        <f t="shared" si="11"/>
        <v>0</v>
      </c>
      <c r="AR40" s="223"/>
      <c r="AS40" s="224"/>
      <c r="AT40" s="208">
        <f t="shared" si="12"/>
        <v>0</v>
      </c>
      <c r="AW40" s="208">
        <f t="shared" si="13"/>
        <v>0</v>
      </c>
      <c r="AZ40" s="208">
        <f t="shared" si="14"/>
        <v>0</v>
      </c>
      <c r="BC40" s="208">
        <f t="shared" si="15"/>
        <v>0</v>
      </c>
      <c r="BF40" s="208">
        <f t="shared" si="16"/>
        <v>0</v>
      </c>
      <c r="BI40" s="208">
        <f t="shared" si="17"/>
        <v>0</v>
      </c>
      <c r="BL40" s="208">
        <f t="shared" si="18"/>
        <v>0</v>
      </c>
      <c r="BO40" s="208">
        <f t="shared" si="19"/>
        <v>0</v>
      </c>
      <c r="BR40" s="208">
        <f t="shared" si="20"/>
        <v>0</v>
      </c>
      <c r="BU40" s="208">
        <f t="shared" si="21"/>
        <v>0</v>
      </c>
      <c r="BX40" s="208">
        <f t="shared" si="22"/>
        <v>0</v>
      </c>
      <c r="CA40" s="208">
        <f t="shared" si="23"/>
        <v>0</v>
      </c>
      <c r="CD40" s="208">
        <f t="shared" si="24"/>
        <v>0</v>
      </c>
      <c r="CG40" s="208">
        <f t="shared" si="25"/>
        <v>0</v>
      </c>
      <c r="CJ40" s="208">
        <f t="shared" si="26"/>
        <v>0</v>
      </c>
      <c r="CM40" s="208">
        <f t="shared" si="27"/>
        <v>0</v>
      </c>
      <c r="CP40" s="208">
        <f t="shared" si="28"/>
        <v>0</v>
      </c>
      <c r="CS40" s="208">
        <f t="shared" si="29"/>
        <v>0</v>
      </c>
      <c r="CV40" s="208">
        <f t="shared" si="30"/>
        <v>0</v>
      </c>
      <c r="CY40" s="208">
        <f t="shared" si="31"/>
        <v>0</v>
      </c>
      <c r="DB40" s="208">
        <f t="shared" si="32"/>
        <v>0</v>
      </c>
      <c r="DE40" s="208">
        <f t="shared" si="33"/>
        <v>0</v>
      </c>
      <c r="DH40" s="208">
        <f t="shared" si="34"/>
        <v>0</v>
      </c>
      <c r="DK40" s="208">
        <f t="shared" si="35"/>
        <v>0</v>
      </c>
      <c r="DN40" s="208">
        <f t="shared" si="36"/>
        <v>0</v>
      </c>
      <c r="DQ40" s="208">
        <f t="shared" si="37"/>
        <v>0</v>
      </c>
      <c r="DT40" s="208">
        <f t="shared" si="38"/>
        <v>0</v>
      </c>
      <c r="DW40" s="208">
        <f t="shared" si="39"/>
        <v>0</v>
      </c>
      <c r="DZ40" s="208"/>
      <c r="EA40" s="208"/>
      <c r="EB40" s="228">
        <f t="shared" si="40"/>
        <v>349000000</v>
      </c>
      <c r="EC40" s="228">
        <f t="shared" si="41"/>
        <v>49000000</v>
      </c>
      <c r="ED40" s="208">
        <f t="shared" si="42"/>
        <v>36713.157611111106</v>
      </c>
      <c r="EE40" s="209">
        <f t="shared" si="43"/>
        <v>3.7870305845272199E-2</v>
      </c>
      <c r="EG40" s="228">
        <f t="shared" si="44"/>
        <v>0</v>
      </c>
      <c r="EH40" s="208">
        <f t="shared" si="45"/>
        <v>0</v>
      </c>
      <c r="EI40" s="209">
        <f t="shared" si="46"/>
        <v>0</v>
      </c>
      <c r="EJ40" s="209"/>
      <c r="EK40" s="228">
        <f t="shared" si="47"/>
        <v>300000000</v>
      </c>
      <c r="EL40" s="228">
        <f t="shared" si="48"/>
        <v>0</v>
      </c>
      <c r="EM40" s="228">
        <f t="shared" si="49"/>
        <v>31666.666666666664</v>
      </c>
      <c r="EN40" s="209">
        <f t="shared" si="50"/>
        <v>3.7999999999999999E-2</v>
      </c>
      <c r="EP40" s="208"/>
    </row>
    <row r="41" spans="1:146" x14ac:dyDescent="0.25">
      <c r="A41" s="222">
        <f t="shared" si="51"/>
        <v>46022</v>
      </c>
      <c r="B41" s="208">
        <v>0</v>
      </c>
      <c r="C41" s="209">
        <v>3.7999999999999999E-2</v>
      </c>
      <c r="D41" s="249">
        <f t="shared" si="0"/>
        <v>0</v>
      </c>
      <c r="G41" s="249">
        <f t="shared" si="1"/>
        <v>0</v>
      </c>
      <c r="J41" s="225">
        <f t="shared" si="2"/>
        <v>0</v>
      </c>
      <c r="M41" s="225">
        <f t="shared" si="3"/>
        <v>0</v>
      </c>
      <c r="P41" s="225">
        <f t="shared" si="4"/>
        <v>0</v>
      </c>
      <c r="S41" s="225">
        <f t="shared" si="5"/>
        <v>0</v>
      </c>
      <c r="V41" s="225">
        <f t="shared" si="6"/>
        <v>0</v>
      </c>
      <c r="Y41" s="225">
        <f t="shared" si="7"/>
        <v>0</v>
      </c>
      <c r="AB41" s="225">
        <f t="shared" si="8"/>
        <v>0</v>
      </c>
      <c r="AE41" s="225">
        <v>0</v>
      </c>
      <c r="AH41" s="225">
        <v>0</v>
      </c>
      <c r="AI41" s="208">
        <f>100000000+40625000+65000000+65000000+100000000</f>
        <v>370625000</v>
      </c>
      <c r="AJ41" s="209">
        <v>3.7999999999999999E-2</v>
      </c>
      <c r="AK41" s="249">
        <f t="shared" si="9"/>
        <v>39121.527777777781</v>
      </c>
      <c r="AL41" s="208">
        <f>100000000</f>
        <v>100000000</v>
      </c>
      <c r="AM41" s="209">
        <v>3.7999999999999999E-2</v>
      </c>
      <c r="AN41" s="249">
        <f t="shared" si="10"/>
        <v>10555.555555555555</v>
      </c>
      <c r="AQ41" s="249">
        <f t="shared" si="11"/>
        <v>0</v>
      </c>
      <c r="AT41" s="249">
        <f t="shared" si="12"/>
        <v>0</v>
      </c>
      <c r="AW41" s="249">
        <f t="shared" si="13"/>
        <v>0</v>
      </c>
      <c r="AZ41" s="249">
        <f t="shared" si="14"/>
        <v>0</v>
      </c>
      <c r="BC41" s="249">
        <f t="shared" si="15"/>
        <v>0</v>
      </c>
      <c r="BF41" s="249">
        <f t="shared" si="16"/>
        <v>0</v>
      </c>
      <c r="BI41" s="249">
        <f t="shared" si="17"/>
        <v>0</v>
      </c>
      <c r="BL41" s="249">
        <f t="shared" si="18"/>
        <v>0</v>
      </c>
      <c r="BO41" s="225">
        <f t="shared" si="19"/>
        <v>0</v>
      </c>
      <c r="BR41" s="225">
        <f t="shared" si="20"/>
        <v>0</v>
      </c>
      <c r="BU41" s="225">
        <f t="shared" si="21"/>
        <v>0</v>
      </c>
      <c r="BX41" s="225">
        <f t="shared" si="22"/>
        <v>0</v>
      </c>
      <c r="CA41" s="225">
        <f t="shared" si="23"/>
        <v>0</v>
      </c>
      <c r="CD41" s="225">
        <f t="shared" si="24"/>
        <v>0</v>
      </c>
      <c r="CG41" s="225">
        <f t="shared" si="25"/>
        <v>0</v>
      </c>
      <c r="CJ41" s="225">
        <f t="shared" si="26"/>
        <v>0</v>
      </c>
      <c r="CM41" s="225">
        <f t="shared" si="27"/>
        <v>0</v>
      </c>
      <c r="CP41" s="225">
        <f t="shared" si="28"/>
        <v>0</v>
      </c>
      <c r="CS41" s="225">
        <f t="shared" si="29"/>
        <v>0</v>
      </c>
      <c r="CV41" s="225">
        <f t="shared" si="30"/>
        <v>0</v>
      </c>
      <c r="CY41" s="225">
        <f t="shared" si="31"/>
        <v>0</v>
      </c>
      <c r="DB41" s="225">
        <f t="shared" si="32"/>
        <v>0</v>
      </c>
      <c r="DE41" s="225">
        <f t="shared" si="33"/>
        <v>0</v>
      </c>
      <c r="DH41" s="225">
        <f t="shared" si="34"/>
        <v>0</v>
      </c>
      <c r="DK41" s="225">
        <f t="shared" si="35"/>
        <v>0</v>
      </c>
      <c r="DN41" s="225">
        <f t="shared" si="36"/>
        <v>0</v>
      </c>
      <c r="DQ41" s="225">
        <f t="shared" si="37"/>
        <v>0</v>
      </c>
      <c r="DT41" s="225">
        <f t="shared" si="38"/>
        <v>0</v>
      </c>
      <c r="DW41" s="225">
        <f t="shared" si="39"/>
        <v>0</v>
      </c>
      <c r="DZ41" s="208"/>
      <c r="EA41" s="208"/>
      <c r="EB41" s="208">
        <f t="shared" si="40"/>
        <v>470625000</v>
      </c>
      <c r="EC41" s="208">
        <f t="shared" si="41"/>
        <v>0</v>
      </c>
      <c r="ED41" s="249">
        <f t="shared" si="42"/>
        <v>49677.083333333336</v>
      </c>
      <c r="EE41" s="209">
        <f t="shared" si="43"/>
        <v>3.8000000000000006E-2</v>
      </c>
      <c r="EG41" s="208">
        <f t="shared" si="44"/>
        <v>0</v>
      </c>
      <c r="EH41" s="225">
        <f t="shared" si="45"/>
        <v>0</v>
      </c>
      <c r="EI41" s="209">
        <f t="shared" si="46"/>
        <v>0</v>
      </c>
      <c r="EJ41" s="209"/>
      <c r="EK41" s="208">
        <f t="shared" si="47"/>
        <v>470625000</v>
      </c>
      <c r="EL41" s="208">
        <f t="shared" si="48"/>
        <v>0</v>
      </c>
      <c r="EM41" s="249">
        <f t="shared" si="49"/>
        <v>49677.083333333336</v>
      </c>
      <c r="EN41" s="209">
        <f t="shared" si="50"/>
        <v>3.8000000000000006E-2</v>
      </c>
    </row>
    <row r="42" spans="1:146" x14ac:dyDescent="0.25">
      <c r="A42" s="166" t="s">
        <v>35</v>
      </c>
      <c r="C42" s="208"/>
      <c r="D42" s="208">
        <f>SUM(D11:D41)</f>
        <v>293910.37066041661</v>
      </c>
      <c r="F42" s="208"/>
      <c r="G42" s="208">
        <f>SUM(G11:G41)</f>
        <v>0</v>
      </c>
      <c r="I42" s="208"/>
      <c r="J42" s="208">
        <f>SUM(J11:J41)</f>
        <v>0</v>
      </c>
      <c r="L42" s="208"/>
      <c r="M42" s="208">
        <f>SUM(M11:M41)</f>
        <v>0</v>
      </c>
      <c r="O42" s="208"/>
      <c r="P42" s="208">
        <f>SUM(P11:P41)</f>
        <v>0</v>
      </c>
      <c r="R42" s="208"/>
      <c r="S42" s="208">
        <f>SUM(S11:S41)</f>
        <v>0</v>
      </c>
      <c r="U42" s="208"/>
      <c r="V42" s="208">
        <f>SUM(V11:V41)</f>
        <v>0</v>
      </c>
      <c r="X42" s="208"/>
      <c r="Y42" s="208">
        <f>SUM(Y11:Y41)</f>
        <v>0</v>
      </c>
      <c r="AA42" s="208"/>
      <c r="AB42" s="208">
        <f>SUM(AB11:AB41)</f>
        <v>0</v>
      </c>
      <c r="AD42" s="208"/>
      <c r="AE42" s="208">
        <f>SUM(AE11:AE41)</f>
        <v>0</v>
      </c>
      <c r="AG42" s="208"/>
      <c r="AH42" s="208">
        <f>SUM(AH11:AH41)</f>
        <v>0</v>
      </c>
      <c r="AJ42" s="208"/>
      <c r="AK42" s="208">
        <f>SUM(AK11:AK41)</f>
        <v>536737.56944444438</v>
      </c>
      <c r="AM42" s="208"/>
      <c r="AN42" s="208">
        <f>SUM(AN11:AN41)</f>
        <v>124756.94444444447</v>
      </c>
      <c r="AP42" s="208"/>
      <c r="AQ42" s="208">
        <f>SUM(AQ11:AQ41)</f>
        <v>46094.666666666664</v>
      </c>
      <c r="AS42" s="208"/>
      <c r="AT42" s="208">
        <f>SUM(AT11:AT41)</f>
        <v>0</v>
      </c>
      <c r="AV42" s="208"/>
      <c r="AW42" s="208">
        <f>SUM(AW11:AW41)</f>
        <v>0</v>
      </c>
      <c r="AY42" s="208"/>
      <c r="AZ42" s="208">
        <f>SUM(AZ11:AZ41)</f>
        <v>0</v>
      </c>
      <c r="BB42" s="208"/>
      <c r="BC42" s="208">
        <f>SUM(BC11:BC41)</f>
        <v>0</v>
      </c>
      <c r="BE42" s="208"/>
      <c r="BF42" s="208">
        <f>SUM(BF11:BF41)</f>
        <v>0</v>
      </c>
      <c r="BH42" s="208"/>
      <c r="BI42" s="208">
        <f>SUM(BI11:BI41)</f>
        <v>0</v>
      </c>
      <c r="BK42" s="208"/>
      <c r="BL42" s="208">
        <f>SUM(BL11:BL41)</f>
        <v>0</v>
      </c>
      <c r="BN42" s="208"/>
      <c r="BO42" s="208">
        <f>SUM(BO11:BO41)</f>
        <v>0</v>
      </c>
      <c r="BQ42" s="208"/>
      <c r="BR42" s="208">
        <f>SUM(BR11:BR41)</f>
        <v>0</v>
      </c>
      <c r="BT42" s="208"/>
      <c r="BU42" s="208">
        <f>SUM(BU11:BU41)</f>
        <v>0</v>
      </c>
      <c r="BW42" s="208"/>
      <c r="BX42" s="208">
        <f>SUM(BX11:BX41)</f>
        <v>0</v>
      </c>
      <c r="BZ42" s="208"/>
      <c r="CA42" s="208">
        <f>SUM(CA11:CA41)</f>
        <v>0</v>
      </c>
      <c r="CC42" s="208"/>
      <c r="CD42" s="208">
        <f>SUM(CD11:CD41)</f>
        <v>0</v>
      </c>
      <c r="CF42" s="208"/>
      <c r="CG42" s="208">
        <f>SUM(CG11:CG41)</f>
        <v>0</v>
      </c>
      <c r="CI42" s="208"/>
      <c r="CJ42" s="208">
        <f>SUM(CJ11:CJ41)</f>
        <v>0</v>
      </c>
      <c r="CL42" s="208"/>
      <c r="CM42" s="208">
        <f>SUM(CM11:CM41)</f>
        <v>0</v>
      </c>
      <c r="CO42" s="208"/>
      <c r="CP42" s="208">
        <f>SUM(CP11:CP41)</f>
        <v>0</v>
      </c>
      <c r="CR42" s="208"/>
      <c r="CS42" s="208">
        <f>SUM(CS11:CS41)</f>
        <v>0</v>
      </c>
      <c r="CU42" s="208"/>
      <c r="CV42" s="208">
        <f>SUM(CV11:CV41)</f>
        <v>0</v>
      </c>
      <c r="CX42" s="208"/>
      <c r="CY42" s="208">
        <f>SUM(CY11:CY41)</f>
        <v>0</v>
      </c>
      <c r="DA42" s="208"/>
      <c r="DB42" s="208">
        <f>SUM(DB11:DB41)</f>
        <v>0</v>
      </c>
      <c r="DD42" s="208"/>
      <c r="DE42" s="208">
        <f>SUM(DE11:DE41)</f>
        <v>0</v>
      </c>
      <c r="DG42" s="208"/>
      <c r="DH42" s="208">
        <f>SUM(DH11:DH41)</f>
        <v>0</v>
      </c>
      <c r="DJ42" s="208"/>
      <c r="DK42" s="208">
        <f>SUM(DK11:DK41)</f>
        <v>0</v>
      </c>
      <c r="DM42" s="208"/>
      <c r="DN42" s="208">
        <f>SUM(DN11:DN41)</f>
        <v>0</v>
      </c>
      <c r="DP42" s="208"/>
      <c r="DQ42" s="208">
        <f>SUM(DQ11:DQ41)</f>
        <v>0</v>
      </c>
      <c r="DS42" s="208"/>
      <c r="DT42" s="208">
        <f>SUM(DT11:DT41)</f>
        <v>0</v>
      </c>
      <c r="DV42" s="208"/>
      <c r="DW42" s="208">
        <f>SUM(DW11:DW41)</f>
        <v>0</v>
      </c>
      <c r="DY42" s="208"/>
      <c r="DZ42" s="208"/>
      <c r="EA42" s="208"/>
      <c r="EB42" s="208"/>
      <c r="EC42" s="208"/>
      <c r="ED42" s="208">
        <f>SUM(ED11:ED41)</f>
        <v>1001499.5512159724</v>
      </c>
      <c r="EE42" s="208"/>
      <c r="EF42" s="208"/>
      <c r="EG42" s="208"/>
      <c r="EH42" s="208">
        <f>SUM(EH11:EH41)</f>
        <v>0</v>
      </c>
      <c r="EI42" s="208"/>
      <c r="EJ42" s="208"/>
      <c r="EK42" s="208"/>
      <c r="EL42" s="208"/>
      <c r="EM42" s="208">
        <f>SUM(EM11:EM41)</f>
        <v>707589.18055555562</v>
      </c>
      <c r="EN42" s="208"/>
    </row>
    <row r="43" spans="1:146" x14ac:dyDescent="0.25">
      <c r="EM43" s="226"/>
    </row>
    <row r="44" spans="1:146" x14ac:dyDescent="0.25">
      <c r="EM44" s="208"/>
    </row>
    <row r="45" spans="1:146" x14ac:dyDescent="0.25">
      <c r="EM45" s="208"/>
    </row>
    <row r="47" spans="1:146" x14ac:dyDescent="0.25">
      <c r="EM47" s="208"/>
    </row>
  </sheetData>
  <pageMargins left="0.7" right="0.7" top="0.75" bottom="0.75" header="0.3" footer="0.3"/>
  <pageSetup scale="63" orientation="portrait" r:id="rId1"/>
  <headerFooter>
    <oddFooter>&amp;CSchedule RL-1</oddFooter>
  </headerFooter>
  <colBreaks count="6" manualBreakCount="6">
    <brk id="34" max="1048575" man="1"/>
    <brk id="43" max="1048575" man="1"/>
    <brk id="52" max="41" man="1"/>
    <brk id="64" max="1048575" man="1"/>
    <brk id="130" max="1048575" man="1"/>
    <brk id="14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4"/>
  <dimension ref="A1:EQ47"/>
  <sheetViews>
    <sheetView zoomScaleNormal="100" workbookViewId="0">
      <selection activeCell="C5" sqref="C5"/>
    </sheetView>
  </sheetViews>
  <sheetFormatPr defaultRowHeight="15" x14ac:dyDescent="0.25"/>
  <cols>
    <col min="1" max="1" width="14.5703125" style="166" bestFit="1" customWidth="1"/>
    <col min="2" max="2" width="18.140625" style="208" customWidth="1"/>
    <col min="3" max="3" width="15.42578125" style="209" bestFit="1" customWidth="1"/>
    <col min="4" max="4" width="15.42578125" style="166" bestFit="1" customWidth="1"/>
    <col min="5" max="5" width="15.5703125" style="208" bestFit="1" customWidth="1"/>
    <col min="6" max="6" width="12.28515625" style="209" bestFit="1" customWidth="1"/>
    <col min="7" max="7" width="18.42578125" style="166" bestFit="1" customWidth="1"/>
    <col min="8" max="8" width="15.42578125" style="208" hidden="1" customWidth="1"/>
    <col min="9" max="9" width="10.28515625" style="209" hidden="1" customWidth="1"/>
    <col min="10" max="10" width="13.42578125" style="166" hidden="1" customWidth="1"/>
    <col min="11" max="11" width="14.42578125" style="208" hidden="1" customWidth="1"/>
    <col min="12" max="12" width="10.28515625" style="209" hidden="1" customWidth="1"/>
    <col min="13" max="13" width="11.7109375" style="166" hidden="1" customWidth="1"/>
    <col min="14" max="14" width="14.42578125" style="208" hidden="1" customWidth="1"/>
    <col min="15" max="15" width="10.28515625" style="209" hidden="1" customWidth="1"/>
    <col min="16" max="16" width="11.7109375" style="166" hidden="1" customWidth="1"/>
    <col min="17" max="17" width="15.42578125" style="208" hidden="1" customWidth="1"/>
    <col min="18" max="18" width="10.28515625" style="209" hidden="1" customWidth="1"/>
    <col min="19" max="19" width="11.7109375" style="166" hidden="1" customWidth="1"/>
    <col min="20" max="20" width="15.42578125" style="208" hidden="1" customWidth="1"/>
    <col min="21" max="21" width="10.28515625" style="209" hidden="1" customWidth="1"/>
    <col min="22" max="22" width="11.7109375" style="166" hidden="1" customWidth="1"/>
    <col min="23" max="23" width="15.42578125" style="208" hidden="1" customWidth="1"/>
    <col min="24" max="24" width="10.28515625" style="209" hidden="1" customWidth="1"/>
    <col min="25" max="25" width="11.7109375" style="166" hidden="1" customWidth="1"/>
    <col min="26" max="26" width="15.42578125" style="208" hidden="1" customWidth="1"/>
    <col min="27" max="27" width="10.28515625" style="209" hidden="1" customWidth="1"/>
    <col min="28" max="28" width="11.7109375" style="166" hidden="1" customWidth="1"/>
    <col min="29" max="29" width="15.42578125" style="208" hidden="1" customWidth="1"/>
    <col min="30" max="30" width="10.28515625" style="209" hidden="1" customWidth="1"/>
    <col min="31" max="31" width="11.7109375" style="166" hidden="1" customWidth="1"/>
    <col min="32" max="32" width="14.42578125" style="208" hidden="1" customWidth="1"/>
    <col min="33" max="33" width="10.28515625" style="209" hidden="1" customWidth="1"/>
    <col min="34" max="34" width="10.7109375" style="166" hidden="1" customWidth="1"/>
    <col min="35" max="35" width="17.28515625" style="208" customWidth="1"/>
    <col min="36" max="36" width="11.7109375" style="209" customWidth="1"/>
    <col min="37" max="37" width="15.85546875" style="166" customWidth="1"/>
    <col min="38" max="38" width="17.42578125" style="208" customWidth="1"/>
    <col min="39" max="39" width="13.140625" style="209" customWidth="1"/>
    <col min="40" max="40" width="13.7109375" style="166" bestFit="1" customWidth="1"/>
    <col min="41" max="41" width="17.85546875" style="208" customWidth="1"/>
    <col min="42" max="42" width="12.28515625" style="209" bestFit="1" customWidth="1"/>
    <col min="43" max="43" width="12.5703125" style="166" bestFit="1" customWidth="1"/>
    <col min="44" max="44" width="15.42578125" style="208" bestFit="1" customWidth="1"/>
    <col min="45" max="45" width="12.7109375" style="209" customWidth="1"/>
    <col min="46" max="46" width="11.7109375" style="166" bestFit="1" customWidth="1"/>
    <col min="47" max="47" width="16.85546875" style="208" customWidth="1"/>
    <col min="48" max="48" width="12" style="209" customWidth="1"/>
    <col min="49" max="49" width="11.85546875" style="166" customWidth="1"/>
    <col min="50" max="50" width="16.85546875" style="208" customWidth="1"/>
    <col min="51" max="51" width="12" style="209" customWidth="1"/>
    <col min="52" max="52" width="12.5703125" style="166" customWidth="1"/>
    <col min="53" max="53" width="14.42578125" style="208" customWidth="1"/>
    <col min="54" max="54" width="10.28515625" style="209" customWidth="1"/>
    <col min="55" max="55" width="10.7109375" style="166" customWidth="1"/>
    <col min="56" max="56" width="14.42578125" style="208" customWidth="1"/>
    <col min="57" max="57" width="10.28515625" style="209" customWidth="1"/>
    <col min="58" max="58" width="10.7109375" style="166" customWidth="1"/>
    <col min="59" max="59" width="14.42578125" style="208" customWidth="1"/>
    <col min="60" max="60" width="10.28515625" style="209" customWidth="1"/>
    <col min="61" max="61" width="10.7109375" style="166" customWidth="1"/>
    <col min="62" max="62" width="14.42578125" style="208" customWidth="1"/>
    <col min="63" max="63" width="10.28515625" style="209" customWidth="1"/>
    <col min="64" max="64" width="10.7109375" style="166" customWidth="1"/>
    <col min="65" max="65" width="14.42578125" style="208" hidden="1" customWidth="1"/>
    <col min="66" max="66" width="10.28515625" style="209" hidden="1" customWidth="1"/>
    <col min="67" max="67" width="10.7109375" style="166" hidden="1" customWidth="1"/>
    <col min="68" max="68" width="14.42578125" style="208" hidden="1" customWidth="1"/>
    <col min="69" max="69" width="10.28515625" style="209" hidden="1" customWidth="1"/>
    <col min="70" max="70" width="10.7109375" style="166" hidden="1" customWidth="1"/>
    <col min="71" max="71" width="14.42578125" style="208" hidden="1" customWidth="1"/>
    <col min="72" max="72" width="10.28515625" style="209" hidden="1" customWidth="1"/>
    <col min="73" max="73" width="10.7109375" style="166" hidden="1" customWidth="1"/>
    <col min="74" max="74" width="14.42578125" style="208" hidden="1" customWidth="1"/>
    <col min="75" max="75" width="10.28515625" style="209" hidden="1" customWidth="1"/>
    <col min="76" max="76" width="10.7109375" style="166" hidden="1" customWidth="1"/>
    <col min="77" max="77" width="14.42578125" style="208" hidden="1" customWidth="1"/>
    <col min="78" max="78" width="10.28515625" style="209" hidden="1" customWidth="1"/>
    <col min="79" max="79" width="10.7109375" style="166" hidden="1" customWidth="1"/>
    <col min="80" max="80" width="14.42578125" style="208" hidden="1" customWidth="1"/>
    <col min="81" max="81" width="10.28515625" style="209" hidden="1" customWidth="1"/>
    <col min="82" max="82" width="10.7109375" style="166" hidden="1" customWidth="1"/>
    <col min="83" max="83" width="14.42578125" style="208" hidden="1" customWidth="1"/>
    <col min="84" max="84" width="10.28515625" style="209" hidden="1" customWidth="1"/>
    <col min="85" max="85" width="10.7109375" style="166" hidden="1" customWidth="1"/>
    <col min="86" max="86" width="14.42578125" style="208" hidden="1" customWidth="1"/>
    <col min="87" max="87" width="10.28515625" style="209" hidden="1" customWidth="1"/>
    <col min="88" max="88" width="10.7109375" style="166" hidden="1" customWidth="1"/>
    <col min="89" max="89" width="14.42578125" style="208" hidden="1" customWidth="1"/>
    <col min="90" max="90" width="10.28515625" style="209" hidden="1" customWidth="1"/>
    <col min="91" max="91" width="10.7109375" style="166" hidden="1" customWidth="1"/>
    <col min="92" max="92" width="14.42578125" style="208" hidden="1" customWidth="1"/>
    <col min="93" max="93" width="10.28515625" style="209" hidden="1" customWidth="1"/>
    <col min="94" max="94" width="10.7109375" style="166" hidden="1" customWidth="1"/>
    <col min="95" max="95" width="14.42578125" style="208" hidden="1" customWidth="1"/>
    <col min="96" max="96" width="10.28515625" style="209" hidden="1" customWidth="1"/>
    <col min="97" max="97" width="10.7109375" style="166" hidden="1" customWidth="1"/>
    <col min="98" max="98" width="14.42578125" style="208" hidden="1" customWidth="1"/>
    <col min="99" max="99" width="10.28515625" style="209" hidden="1" customWidth="1"/>
    <col min="100" max="100" width="10.7109375" style="166" hidden="1" customWidth="1"/>
    <col min="101" max="101" width="14.42578125" style="208" hidden="1" customWidth="1"/>
    <col min="102" max="102" width="10.28515625" style="209" hidden="1" customWidth="1"/>
    <col min="103" max="103" width="10.7109375" style="166" hidden="1" customWidth="1"/>
    <col min="104" max="104" width="14.42578125" style="208" hidden="1" customWidth="1"/>
    <col min="105" max="105" width="10.28515625" style="209" hidden="1" customWidth="1"/>
    <col min="106" max="106" width="10.7109375" style="166" hidden="1" customWidth="1"/>
    <col min="107" max="107" width="14.42578125" style="208" hidden="1" customWidth="1"/>
    <col min="108" max="108" width="10.28515625" style="209" hidden="1" customWidth="1"/>
    <col min="109" max="109" width="10.7109375" style="166" hidden="1" customWidth="1"/>
    <col min="110" max="110" width="14.42578125" style="208" hidden="1" customWidth="1"/>
    <col min="111" max="111" width="10.28515625" style="209" hidden="1" customWidth="1"/>
    <col min="112" max="112" width="10.7109375" style="166" hidden="1" customWidth="1"/>
    <col min="113" max="113" width="14.42578125" style="208" hidden="1" customWidth="1"/>
    <col min="114" max="114" width="10.28515625" style="209" hidden="1" customWidth="1"/>
    <col min="115" max="115" width="10.7109375" style="166" hidden="1" customWidth="1"/>
    <col min="116" max="116" width="14.42578125" style="208" hidden="1" customWidth="1"/>
    <col min="117" max="117" width="10.28515625" style="209" hidden="1" customWidth="1"/>
    <col min="118" max="118" width="10.7109375" style="166" hidden="1" customWidth="1"/>
    <col min="119" max="119" width="14.42578125" style="208" hidden="1" customWidth="1"/>
    <col min="120" max="120" width="10.28515625" style="209" hidden="1" customWidth="1"/>
    <col min="121" max="121" width="10.7109375" style="166" hidden="1" customWidth="1"/>
    <col min="122" max="122" width="14.42578125" style="208" hidden="1" customWidth="1"/>
    <col min="123" max="123" width="10.28515625" style="209" hidden="1" customWidth="1"/>
    <col min="124" max="124" width="10.7109375" style="166" hidden="1" customWidth="1"/>
    <col min="125" max="125" width="14.42578125" style="208" hidden="1" customWidth="1"/>
    <col min="126" max="126" width="10.28515625" style="209" hidden="1" customWidth="1"/>
    <col min="127" max="127" width="10.7109375" style="166" hidden="1" customWidth="1"/>
    <col min="128" max="128" width="14.42578125" style="208" hidden="1" customWidth="1"/>
    <col min="129" max="129" width="10.28515625" style="209" hidden="1" customWidth="1"/>
    <col min="130" max="130" width="10.7109375" style="166" hidden="1" customWidth="1"/>
    <col min="131" max="131" width="2.7109375" style="166" customWidth="1"/>
    <col min="132" max="132" width="18.7109375" style="166" customWidth="1"/>
    <col min="133" max="133" width="15.42578125" style="166" hidden="1" customWidth="1"/>
    <col min="134" max="134" width="14.42578125" style="166" bestFit="1" customWidth="1"/>
    <col min="135" max="135" width="20.140625" style="166" customWidth="1"/>
    <col min="136" max="136" width="2.7109375" style="166" customWidth="1"/>
    <col min="137" max="137" width="15.42578125" style="166" hidden="1" customWidth="1"/>
    <col min="138" max="138" width="14.42578125" style="166" hidden="1" customWidth="1"/>
    <col min="139" max="139" width="12.42578125" style="166" hidden="1" customWidth="1"/>
    <col min="140" max="140" width="2.7109375" style="166" hidden="1" customWidth="1"/>
    <col min="141" max="141" width="18.28515625" style="166" customWidth="1"/>
    <col min="142" max="142" width="15.42578125" style="166" hidden="1" customWidth="1"/>
    <col min="143" max="143" width="16.28515625" style="166" customWidth="1"/>
    <col min="144" max="144" width="18.42578125" style="166" bestFit="1" customWidth="1"/>
    <col min="145" max="145" width="42.85546875" style="166" bestFit="1" customWidth="1"/>
    <col min="146" max="146" width="19.42578125" style="166" bestFit="1" customWidth="1"/>
    <col min="147" max="147" width="23.140625" style="166" bestFit="1" customWidth="1"/>
    <col min="148" max="16384" width="9.140625" style="166"/>
  </cols>
  <sheetData>
    <row r="1" spans="1:147" s="175" customFormat="1" x14ac:dyDescent="0.25">
      <c r="A1" s="227" t="s">
        <v>0</v>
      </c>
      <c r="B1" s="228"/>
      <c r="C1" s="229"/>
      <c r="E1" s="228"/>
      <c r="F1" s="229"/>
      <c r="H1" s="228"/>
      <c r="I1" s="229"/>
      <c r="K1" s="228"/>
      <c r="L1" s="229"/>
      <c r="N1" s="228"/>
      <c r="O1" s="229"/>
      <c r="Q1" s="228"/>
      <c r="R1" s="229"/>
      <c r="T1" s="228"/>
      <c r="U1" s="229"/>
      <c r="W1" s="228"/>
      <c r="X1" s="229"/>
      <c r="Z1" s="228"/>
      <c r="AA1" s="229"/>
      <c r="AC1" s="228"/>
      <c r="AD1" s="229"/>
      <c r="AF1" s="228"/>
      <c r="AG1" s="229"/>
      <c r="AI1" s="228"/>
      <c r="AJ1" s="229"/>
      <c r="AL1" s="228"/>
      <c r="AM1" s="229"/>
      <c r="AO1" s="228"/>
      <c r="AP1" s="229"/>
      <c r="AR1" s="228"/>
      <c r="AS1" s="229"/>
      <c r="AU1" s="228"/>
      <c r="AV1" s="229"/>
      <c r="AX1" s="228"/>
      <c r="AY1" s="229"/>
      <c r="BA1" s="228"/>
      <c r="BB1" s="229"/>
      <c r="BD1" s="228"/>
      <c r="BE1" s="229"/>
      <c r="BG1" s="228"/>
      <c r="BH1" s="229"/>
      <c r="BJ1" s="228"/>
      <c r="BK1" s="229"/>
      <c r="BM1" s="228"/>
      <c r="BN1" s="229"/>
      <c r="BP1" s="228"/>
      <c r="BQ1" s="229"/>
      <c r="BS1" s="228"/>
      <c r="BT1" s="229"/>
      <c r="BV1" s="228"/>
      <c r="BW1" s="229"/>
      <c r="BY1" s="228"/>
      <c r="BZ1" s="229"/>
      <c r="CB1" s="228"/>
      <c r="CC1" s="229"/>
      <c r="CE1" s="228"/>
      <c r="CF1" s="229"/>
      <c r="CH1" s="228"/>
      <c r="CI1" s="229"/>
      <c r="CK1" s="228"/>
      <c r="CL1" s="229"/>
      <c r="CN1" s="228"/>
      <c r="CO1" s="229"/>
      <c r="CQ1" s="228"/>
      <c r="CR1" s="229"/>
      <c r="CT1" s="228"/>
      <c r="CU1" s="229"/>
      <c r="CW1" s="228"/>
      <c r="CX1" s="229"/>
      <c r="CZ1" s="228"/>
      <c r="DA1" s="229"/>
      <c r="DC1" s="228"/>
      <c r="DD1" s="229"/>
      <c r="DF1" s="228"/>
      <c r="DG1" s="229"/>
      <c r="DI1" s="228"/>
      <c r="DJ1" s="229"/>
      <c r="DL1" s="228"/>
      <c r="DM1" s="229"/>
      <c r="DO1" s="228"/>
      <c r="DP1" s="229"/>
      <c r="DR1" s="228"/>
      <c r="DS1" s="229"/>
      <c r="DU1" s="228"/>
      <c r="DV1" s="229"/>
      <c r="DX1" s="228"/>
      <c r="DY1" s="229"/>
      <c r="DZ1" s="230"/>
      <c r="ED1" s="169"/>
      <c r="EE1" s="231" t="s">
        <v>37</v>
      </c>
      <c r="EI1" s="169" t="s">
        <v>38</v>
      </c>
      <c r="EM1" s="169"/>
      <c r="EN1" s="169" t="s">
        <v>39</v>
      </c>
      <c r="EO1" s="227" t="s">
        <v>40</v>
      </c>
      <c r="EP1" s="227" t="s">
        <v>41</v>
      </c>
      <c r="EQ1" s="227" t="s">
        <v>42</v>
      </c>
    </row>
    <row r="2" spans="1:147" s="175" customFormat="1" ht="15.75" thickBot="1" x14ac:dyDescent="0.3">
      <c r="A2" s="227" t="s">
        <v>43</v>
      </c>
      <c r="B2" s="228"/>
      <c r="C2" s="229"/>
      <c r="E2" s="230"/>
      <c r="F2" s="229"/>
      <c r="G2" s="169"/>
      <c r="H2" s="228"/>
      <c r="I2" s="229"/>
      <c r="K2" s="228"/>
      <c r="L2" s="229"/>
      <c r="N2" s="228"/>
      <c r="O2" s="229"/>
      <c r="Q2" s="228"/>
      <c r="R2" s="229"/>
      <c r="T2" s="228"/>
      <c r="U2" s="229"/>
      <c r="W2" s="228"/>
      <c r="X2" s="229"/>
      <c r="Z2" s="228"/>
      <c r="AA2" s="229"/>
      <c r="AC2" s="228"/>
      <c r="AD2" s="229"/>
      <c r="AF2" s="228"/>
      <c r="AG2" s="229"/>
      <c r="AI2" s="228"/>
      <c r="AJ2" s="229"/>
      <c r="AL2" s="228"/>
      <c r="AM2" s="229"/>
      <c r="AO2" s="228"/>
      <c r="AP2" s="229"/>
      <c r="AR2" s="228"/>
      <c r="AS2" s="229"/>
      <c r="AU2" s="228"/>
      <c r="AV2" s="229"/>
      <c r="AX2" s="228"/>
      <c r="AY2" s="229"/>
      <c r="BA2" s="228"/>
      <c r="BB2" s="229"/>
      <c r="BD2" s="228"/>
      <c r="BE2" s="229"/>
      <c r="BG2" s="228"/>
      <c r="BH2" s="229"/>
      <c r="BJ2" s="228"/>
      <c r="BK2" s="229"/>
      <c r="BM2" s="228"/>
      <c r="BN2" s="229"/>
      <c r="BP2" s="228"/>
      <c r="BQ2" s="229"/>
      <c r="BS2" s="228"/>
      <c r="BT2" s="229"/>
      <c r="BV2" s="228"/>
      <c r="BW2" s="229"/>
      <c r="BY2" s="228"/>
      <c r="BZ2" s="229"/>
      <c r="CB2" s="228"/>
      <c r="CC2" s="229"/>
      <c r="CE2" s="228"/>
      <c r="CF2" s="229"/>
      <c r="CH2" s="228"/>
      <c r="CI2" s="229"/>
      <c r="CK2" s="228"/>
      <c r="CL2" s="229"/>
      <c r="CN2" s="228"/>
      <c r="CO2" s="229"/>
      <c r="CQ2" s="228"/>
      <c r="CR2" s="229"/>
      <c r="CT2" s="228"/>
      <c r="CU2" s="229"/>
      <c r="CW2" s="228"/>
      <c r="CX2" s="229"/>
      <c r="CZ2" s="228"/>
      <c r="DA2" s="229"/>
      <c r="DC2" s="228"/>
      <c r="DD2" s="229"/>
      <c r="DF2" s="228"/>
      <c r="DG2" s="229"/>
      <c r="DI2" s="228"/>
      <c r="DJ2" s="229"/>
      <c r="DL2" s="228"/>
      <c r="DM2" s="229"/>
      <c r="DO2" s="228"/>
      <c r="DP2" s="229"/>
      <c r="DR2" s="228"/>
      <c r="DS2" s="229"/>
      <c r="DU2" s="228"/>
      <c r="DV2" s="229"/>
      <c r="DX2" s="228"/>
      <c r="DY2" s="229"/>
      <c r="EB2" s="166" t="s">
        <v>44</v>
      </c>
      <c r="EC2" s="166"/>
      <c r="ED2" s="208"/>
      <c r="EE2" s="208">
        <f>EB41</f>
        <v>816075000</v>
      </c>
      <c r="EI2" s="208">
        <f>EG40</f>
        <v>0</v>
      </c>
      <c r="EM2" s="208"/>
      <c r="EN2" s="208">
        <f>EK41</f>
        <v>816075000</v>
      </c>
      <c r="EO2" s="232">
        <v>-277042.39</v>
      </c>
      <c r="EP2" s="228">
        <f>EN2+EO2</f>
        <v>815797957.61000001</v>
      </c>
      <c r="EQ2" s="228">
        <f>EE2+EO2</f>
        <v>815797957.61000001</v>
      </c>
    </row>
    <row r="3" spans="1:147" ht="15.75" thickTop="1" x14ac:dyDescent="0.25">
      <c r="A3" s="233" t="s">
        <v>264</v>
      </c>
      <c r="E3" s="234" t="s">
        <v>45</v>
      </c>
      <c r="F3" s="210"/>
      <c r="G3" s="211"/>
      <c r="EB3" s="166" t="s">
        <v>46</v>
      </c>
      <c r="ED3" s="208"/>
      <c r="EE3" s="208">
        <f>AVERAGE(EB11:EB41)</f>
        <v>584068548.38709676</v>
      </c>
      <c r="EI3" s="208">
        <f>AVERAGE(EG11:EG40)</f>
        <v>0</v>
      </c>
      <c r="EM3" s="208"/>
      <c r="EN3" s="208">
        <f>AVERAGE(EK11:EK41)</f>
        <v>580830645.16129029</v>
      </c>
    </row>
    <row r="4" spans="1:147" x14ac:dyDescent="0.25">
      <c r="E4" s="212" t="s">
        <v>44</v>
      </c>
      <c r="F4" s="208"/>
      <c r="G4" s="213">
        <f>EQ2</f>
        <v>815797957.61000001</v>
      </c>
      <c r="AI4" s="227" t="s">
        <v>47</v>
      </c>
      <c r="EB4" s="166" t="s">
        <v>48</v>
      </c>
      <c r="ED4" s="209"/>
      <c r="EE4" s="209">
        <f>IF(EE3=0,0,360*(AVERAGE(ED11:ED41)/EE3))</f>
        <v>3.8104776126228007E-2</v>
      </c>
      <c r="EI4" s="209">
        <f>IF(EI3=0,0,360*(AVERAGE(EH11:EH40)/EI3))</f>
        <v>0</v>
      </c>
      <c r="EM4" s="209"/>
      <c r="EN4" s="209">
        <f>IF(EN3=0,0,360*(AVERAGE(EM11:EM41)/EN3))</f>
        <v>3.8106803859878101E-2</v>
      </c>
      <c r="EO4" s="175" t="s">
        <v>239</v>
      </c>
      <c r="EQ4" s="169" t="s">
        <v>47</v>
      </c>
    </row>
    <row r="5" spans="1:147" x14ac:dyDescent="0.25">
      <c r="E5" s="212" t="s">
        <v>46</v>
      </c>
      <c r="F5" s="208"/>
      <c r="G5" s="213">
        <f>EE3</f>
        <v>584068548.38709676</v>
      </c>
      <c r="AI5" s="235" t="s">
        <v>39</v>
      </c>
      <c r="EB5" s="166" t="s">
        <v>49</v>
      </c>
      <c r="ED5" s="208"/>
      <c r="EE5" s="208">
        <f>MAX(EB11:EB41)</f>
        <v>816075000</v>
      </c>
      <c r="EI5" s="208">
        <f>MAX(EG11:EG40)</f>
        <v>0</v>
      </c>
      <c r="EM5" s="208"/>
      <c r="EN5" s="208">
        <f>MAX(EK11:EK41)</f>
        <v>816075000</v>
      </c>
      <c r="EO5" s="166" t="s">
        <v>240</v>
      </c>
    </row>
    <row r="6" spans="1:147" x14ac:dyDescent="0.25">
      <c r="E6" s="212" t="s">
        <v>48</v>
      </c>
      <c r="F6" s="208"/>
      <c r="G6" s="214">
        <f>EE4</f>
        <v>3.8104776126228007E-2</v>
      </c>
    </row>
    <row r="7" spans="1:147" ht="15.75" thickBot="1" x14ac:dyDescent="0.3">
      <c r="E7" s="215" t="s">
        <v>49</v>
      </c>
      <c r="F7" s="216"/>
      <c r="G7" s="217">
        <f>EE5</f>
        <v>816075000</v>
      </c>
      <c r="AI7" s="235" t="s">
        <v>39</v>
      </c>
      <c r="EB7" s="236" t="s">
        <v>50</v>
      </c>
      <c r="EC7" s="236"/>
      <c r="ED7" s="218"/>
      <c r="EE7" s="218"/>
      <c r="EG7" s="236" t="s">
        <v>51</v>
      </c>
      <c r="EH7" s="218"/>
      <c r="EI7" s="218"/>
      <c r="EJ7" s="165"/>
      <c r="EK7" s="236" t="s">
        <v>52</v>
      </c>
      <c r="EL7" s="236"/>
      <c r="EM7" s="218"/>
      <c r="EN7" s="218"/>
    </row>
    <row r="8" spans="1:147" ht="15.75" thickTop="1" x14ac:dyDescent="0.25">
      <c r="AI8" s="230" t="s">
        <v>53</v>
      </c>
      <c r="AL8" s="230" t="s">
        <v>53</v>
      </c>
      <c r="AO8" s="230" t="s">
        <v>53</v>
      </c>
      <c r="AR8" s="230" t="s">
        <v>53</v>
      </c>
      <c r="AU8" s="230" t="s">
        <v>53</v>
      </c>
      <c r="AX8" s="230" t="s">
        <v>53</v>
      </c>
      <c r="BA8" s="230" t="s">
        <v>53</v>
      </c>
      <c r="BD8" s="230" t="s">
        <v>53</v>
      </c>
      <c r="BG8" s="230" t="s">
        <v>53</v>
      </c>
      <c r="BJ8" s="230" t="s">
        <v>53</v>
      </c>
      <c r="BM8" s="230" t="s">
        <v>53</v>
      </c>
      <c r="BP8" s="230" t="s">
        <v>53</v>
      </c>
      <c r="BS8" s="230" t="s">
        <v>53</v>
      </c>
      <c r="BV8" s="230" t="s">
        <v>53</v>
      </c>
      <c r="BY8" s="230" t="s">
        <v>53</v>
      </c>
      <c r="CB8" s="230" t="s">
        <v>53</v>
      </c>
      <c r="CE8" s="230" t="s">
        <v>53</v>
      </c>
      <c r="CH8" s="230" t="s">
        <v>53</v>
      </c>
      <c r="CK8" s="230" t="s">
        <v>53</v>
      </c>
      <c r="CN8" s="230" t="s">
        <v>53</v>
      </c>
      <c r="CQ8" s="230" t="s">
        <v>53</v>
      </c>
      <c r="CT8" s="230" t="s">
        <v>53</v>
      </c>
      <c r="CW8" s="230" t="s">
        <v>53</v>
      </c>
      <c r="CZ8" s="230" t="s">
        <v>53</v>
      </c>
      <c r="DC8" s="230" t="s">
        <v>53</v>
      </c>
      <c r="DF8" s="230" t="s">
        <v>53</v>
      </c>
      <c r="DI8" s="230" t="s">
        <v>53</v>
      </c>
      <c r="DL8" s="230" t="s">
        <v>53</v>
      </c>
      <c r="DO8" s="230" t="s">
        <v>53</v>
      </c>
      <c r="DR8" s="230" t="s">
        <v>53</v>
      </c>
      <c r="EB8" s="219"/>
      <c r="EC8" s="219"/>
      <c r="ED8" s="219"/>
      <c r="EE8" s="219" t="s">
        <v>54</v>
      </c>
      <c r="EG8" s="219"/>
      <c r="EH8" s="237" t="s">
        <v>38</v>
      </c>
      <c r="EI8" s="219" t="s">
        <v>54</v>
      </c>
      <c r="EJ8" s="219"/>
      <c r="EK8" s="169" t="s">
        <v>55</v>
      </c>
      <c r="EL8" s="169" t="s">
        <v>56</v>
      </c>
      <c r="EM8" s="237" t="s">
        <v>57</v>
      </c>
      <c r="EN8" s="219" t="s">
        <v>54</v>
      </c>
    </row>
    <row r="9" spans="1:147" x14ac:dyDescent="0.25">
      <c r="B9" s="220" t="s">
        <v>58</v>
      </c>
      <c r="C9" s="221"/>
      <c r="D9" s="218"/>
      <c r="E9" s="220" t="s">
        <v>59</v>
      </c>
      <c r="F9" s="221"/>
      <c r="G9" s="218"/>
      <c r="H9" s="220" t="s">
        <v>60</v>
      </c>
      <c r="I9" s="221"/>
      <c r="J9" s="218"/>
      <c r="K9" s="220" t="s">
        <v>61</v>
      </c>
      <c r="L9" s="221"/>
      <c r="M9" s="218"/>
      <c r="N9" s="220" t="s">
        <v>62</v>
      </c>
      <c r="O9" s="221"/>
      <c r="P9" s="218"/>
      <c r="Q9" s="220" t="s">
        <v>63</v>
      </c>
      <c r="R9" s="221"/>
      <c r="S9" s="218"/>
      <c r="T9" s="220" t="s">
        <v>64</v>
      </c>
      <c r="U9" s="221"/>
      <c r="V9" s="218"/>
      <c r="W9" s="220" t="s">
        <v>65</v>
      </c>
      <c r="X9" s="221"/>
      <c r="Y9" s="218"/>
      <c r="Z9" s="220" t="s">
        <v>66</v>
      </c>
      <c r="AA9" s="221"/>
      <c r="AB9" s="218"/>
      <c r="AC9" s="238" t="s">
        <v>67</v>
      </c>
      <c r="AD9" s="221"/>
      <c r="AE9" s="218"/>
      <c r="AF9" s="238" t="s">
        <v>68</v>
      </c>
      <c r="AG9" s="221"/>
      <c r="AH9" s="218"/>
      <c r="AI9" s="220" t="s">
        <v>69</v>
      </c>
      <c r="AJ9" s="221"/>
      <c r="AK9" s="218"/>
      <c r="AL9" s="220" t="s">
        <v>70</v>
      </c>
      <c r="AM9" s="221"/>
      <c r="AN9" s="218"/>
      <c r="AO9" s="220" t="s">
        <v>71</v>
      </c>
      <c r="AP9" s="221"/>
      <c r="AQ9" s="218"/>
      <c r="AR9" s="220" t="s">
        <v>72</v>
      </c>
      <c r="AS9" s="221"/>
      <c r="AT9" s="218"/>
      <c r="AU9" s="220" t="s">
        <v>73</v>
      </c>
      <c r="AV9" s="221"/>
      <c r="AW9" s="218"/>
      <c r="AX9" s="220" t="s">
        <v>74</v>
      </c>
      <c r="AY9" s="221"/>
      <c r="AZ9" s="218"/>
      <c r="BA9" s="220" t="s">
        <v>75</v>
      </c>
      <c r="BB9" s="221"/>
      <c r="BC9" s="218"/>
      <c r="BD9" s="220" t="s">
        <v>76</v>
      </c>
      <c r="BE9" s="221"/>
      <c r="BF9" s="218"/>
      <c r="BG9" s="220" t="s">
        <v>77</v>
      </c>
      <c r="BH9" s="221"/>
      <c r="BI9" s="218"/>
      <c r="BJ9" s="220" t="s">
        <v>78</v>
      </c>
      <c r="BK9" s="221"/>
      <c r="BL9" s="218"/>
      <c r="BM9" s="220" t="s">
        <v>79</v>
      </c>
      <c r="BN9" s="221"/>
      <c r="BO9" s="218"/>
      <c r="BP9" s="220" t="s">
        <v>80</v>
      </c>
      <c r="BQ9" s="221"/>
      <c r="BR9" s="218"/>
      <c r="BS9" s="220" t="s">
        <v>81</v>
      </c>
      <c r="BT9" s="221"/>
      <c r="BU9" s="218"/>
      <c r="BV9" s="220" t="s">
        <v>82</v>
      </c>
      <c r="BW9" s="221"/>
      <c r="BX9" s="218"/>
      <c r="BY9" s="220" t="s">
        <v>83</v>
      </c>
      <c r="BZ9" s="221"/>
      <c r="CA9" s="218"/>
      <c r="CB9" s="220" t="s">
        <v>84</v>
      </c>
      <c r="CC9" s="221"/>
      <c r="CD9" s="218"/>
      <c r="CE9" s="220" t="s">
        <v>85</v>
      </c>
      <c r="CF9" s="221"/>
      <c r="CG9" s="218"/>
      <c r="CH9" s="220" t="s">
        <v>86</v>
      </c>
      <c r="CI9" s="221"/>
      <c r="CJ9" s="218"/>
      <c r="CK9" s="220" t="s">
        <v>87</v>
      </c>
      <c r="CL9" s="221"/>
      <c r="CM9" s="218"/>
      <c r="CN9" s="220" t="s">
        <v>88</v>
      </c>
      <c r="CO9" s="221"/>
      <c r="CP9" s="218"/>
      <c r="CQ9" s="220" t="s">
        <v>89</v>
      </c>
      <c r="CR9" s="221"/>
      <c r="CS9" s="218"/>
      <c r="CT9" s="220" t="s">
        <v>90</v>
      </c>
      <c r="CU9" s="221"/>
      <c r="CV9" s="218"/>
      <c r="CW9" s="220" t="s">
        <v>91</v>
      </c>
      <c r="CX9" s="221"/>
      <c r="CY9" s="218"/>
      <c r="CZ9" s="220" t="s">
        <v>92</v>
      </c>
      <c r="DA9" s="221"/>
      <c r="DB9" s="218"/>
      <c r="DC9" s="220" t="s">
        <v>93</v>
      </c>
      <c r="DD9" s="221"/>
      <c r="DE9" s="218"/>
      <c r="DF9" s="220" t="s">
        <v>94</v>
      </c>
      <c r="DG9" s="221"/>
      <c r="DH9" s="218"/>
      <c r="DI9" s="220" t="s">
        <v>95</v>
      </c>
      <c r="DJ9" s="221"/>
      <c r="DK9" s="218"/>
      <c r="DL9" s="220" t="s">
        <v>96</v>
      </c>
      <c r="DM9" s="221"/>
      <c r="DN9" s="218"/>
      <c r="DO9" s="220" t="s">
        <v>97</v>
      </c>
      <c r="DP9" s="221"/>
      <c r="DQ9" s="218"/>
      <c r="DR9" s="220" t="s">
        <v>98</v>
      </c>
      <c r="DS9" s="221"/>
      <c r="DT9" s="218"/>
      <c r="DU9" s="220" t="s">
        <v>99</v>
      </c>
      <c r="DV9" s="221"/>
      <c r="DW9" s="218"/>
      <c r="DX9" s="239" t="s">
        <v>100</v>
      </c>
      <c r="DY9" s="221"/>
      <c r="DZ9" s="218"/>
      <c r="EA9" s="165"/>
      <c r="EB9" s="169" t="s">
        <v>101</v>
      </c>
      <c r="EC9" s="169" t="s">
        <v>102</v>
      </c>
      <c r="ED9" s="219" t="s">
        <v>103</v>
      </c>
      <c r="EE9" s="219" t="s">
        <v>104</v>
      </c>
      <c r="EG9" s="237" t="s">
        <v>105</v>
      </c>
      <c r="EH9" s="219" t="s">
        <v>103</v>
      </c>
      <c r="EI9" s="219" t="s">
        <v>104</v>
      </c>
      <c r="EJ9" s="219"/>
      <c r="EK9" s="237" t="s">
        <v>57</v>
      </c>
      <c r="EL9" s="237" t="s">
        <v>57</v>
      </c>
      <c r="EM9" s="219" t="s">
        <v>103</v>
      </c>
      <c r="EN9" s="219" t="s">
        <v>104</v>
      </c>
    </row>
    <row r="10" spans="1:147" x14ac:dyDescent="0.25">
      <c r="A10" s="219" t="s">
        <v>106</v>
      </c>
      <c r="B10" s="240" t="s">
        <v>107</v>
      </c>
      <c r="C10" s="241" t="s">
        <v>108</v>
      </c>
      <c r="D10" s="242" t="s">
        <v>12</v>
      </c>
      <c r="E10" s="240" t="s">
        <v>107</v>
      </c>
      <c r="F10" s="241" t="s">
        <v>108</v>
      </c>
      <c r="G10" s="242" t="s">
        <v>12</v>
      </c>
      <c r="H10" s="240" t="s">
        <v>107</v>
      </c>
      <c r="I10" s="241" t="s">
        <v>108</v>
      </c>
      <c r="J10" s="242" t="s">
        <v>12</v>
      </c>
      <c r="K10" s="240" t="s">
        <v>107</v>
      </c>
      <c r="L10" s="241" t="s">
        <v>108</v>
      </c>
      <c r="M10" s="242" t="s">
        <v>12</v>
      </c>
      <c r="N10" s="240" t="s">
        <v>107</v>
      </c>
      <c r="O10" s="241" t="s">
        <v>108</v>
      </c>
      <c r="P10" s="242" t="s">
        <v>12</v>
      </c>
      <c r="Q10" s="240" t="s">
        <v>107</v>
      </c>
      <c r="R10" s="241" t="s">
        <v>108</v>
      </c>
      <c r="S10" s="242" t="s">
        <v>12</v>
      </c>
      <c r="T10" s="240" t="s">
        <v>107</v>
      </c>
      <c r="U10" s="241" t="s">
        <v>108</v>
      </c>
      <c r="V10" s="242" t="s">
        <v>12</v>
      </c>
      <c r="W10" s="240" t="s">
        <v>107</v>
      </c>
      <c r="X10" s="241" t="s">
        <v>108</v>
      </c>
      <c r="Y10" s="242" t="s">
        <v>12</v>
      </c>
      <c r="Z10" s="240" t="s">
        <v>107</v>
      </c>
      <c r="AA10" s="241" t="s">
        <v>108</v>
      </c>
      <c r="AB10" s="242" t="s">
        <v>12</v>
      </c>
      <c r="AC10" s="240" t="s">
        <v>107</v>
      </c>
      <c r="AD10" s="241" t="s">
        <v>108</v>
      </c>
      <c r="AE10" s="242" t="s">
        <v>12</v>
      </c>
      <c r="AF10" s="240" t="s">
        <v>107</v>
      </c>
      <c r="AG10" s="241" t="s">
        <v>108</v>
      </c>
      <c r="AH10" s="242" t="s">
        <v>12</v>
      </c>
      <c r="AI10" s="240" t="s">
        <v>107</v>
      </c>
      <c r="AJ10" s="241" t="s">
        <v>108</v>
      </c>
      <c r="AK10" s="242" t="s">
        <v>12</v>
      </c>
      <c r="AL10" s="240" t="s">
        <v>107</v>
      </c>
      <c r="AM10" s="241" t="s">
        <v>108</v>
      </c>
      <c r="AN10" s="242" t="s">
        <v>12</v>
      </c>
      <c r="AO10" s="240" t="s">
        <v>107</v>
      </c>
      <c r="AP10" s="241" t="s">
        <v>108</v>
      </c>
      <c r="AQ10" s="242" t="s">
        <v>12</v>
      </c>
      <c r="AR10" s="240" t="s">
        <v>107</v>
      </c>
      <c r="AS10" s="241" t="s">
        <v>108</v>
      </c>
      <c r="AT10" s="242" t="s">
        <v>12</v>
      </c>
      <c r="AU10" s="240" t="s">
        <v>107</v>
      </c>
      <c r="AV10" s="241" t="s">
        <v>108</v>
      </c>
      <c r="AW10" s="242" t="s">
        <v>12</v>
      </c>
      <c r="AX10" s="240" t="s">
        <v>107</v>
      </c>
      <c r="AY10" s="241" t="s">
        <v>108</v>
      </c>
      <c r="AZ10" s="242" t="s">
        <v>12</v>
      </c>
      <c r="BA10" s="240" t="s">
        <v>107</v>
      </c>
      <c r="BB10" s="241" t="s">
        <v>108</v>
      </c>
      <c r="BC10" s="242" t="s">
        <v>12</v>
      </c>
      <c r="BD10" s="240" t="s">
        <v>107</v>
      </c>
      <c r="BE10" s="241" t="s">
        <v>108</v>
      </c>
      <c r="BF10" s="242" t="s">
        <v>12</v>
      </c>
      <c r="BG10" s="240" t="s">
        <v>107</v>
      </c>
      <c r="BH10" s="241" t="s">
        <v>108</v>
      </c>
      <c r="BI10" s="242" t="s">
        <v>12</v>
      </c>
      <c r="BJ10" s="240" t="s">
        <v>107</v>
      </c>
      <c r="BK10" s="241" t="s">
        <v>108</v>
      </c>
      <c r="BL10" s="242" t="s">
        <v>12</v>
      </c>
      <c r="BM10" s="240" t="s">
        <v>107</v>
      </c>
      <c r="BN10" s="241" t="s">
        <v>108</v>
      </c>
      <c r="BO10" s="242" t="s">
        <v>12</v>
      </c>
      <c r="BP10" s="240" t="s">
        <v>107</v>
      </c>
      <c r="BQ10" s="241" t="s">
        <v>108</v>
      </c>
      <c r="BR10" s="242" t="s">
        <v>12</v>
      </c>
      <c r="BS10" s="240" t="s">
        <v>107</v>
      </c>
      <c r="BT10" s="241" t="s">
        <v>108</v>
      </c>
      <c r="BU10" s="242" t="s">
        <v>12</v>
      </c>
      <c r="BV10" s="240" t="s">
        <v>107</v>
      </c>
      <c r="BW10" s="241" t="s">
        <v>108</v>
      </c>
      <c r="BX10" s="242" t="s">
        <v>12</v>
      </c>
      <c r="BY10" s="240" t="s">
        <v>107</v>
      </c>
      <c r="BZ10" s="241" t="s">
        <v>108</v>
      </c>
      <c r="CA10" s="242" t="s">
        <v>12</v>
      </c>
      <c r="CB10" s="240" t="s">
        <v>107</v>
      </c>
      <c r="CC10" s="241" t="s">
        <v>108</v>
      </c>
      <c r="CD10" s="242" t="s">
        <v>12</v>
      </c>
      <c r="CE10" s="240" t="s">
        <v>107</v>
      </c>
      <c r="CF10" s="241" t="s">
        <v>108</v>
      </c>
      <c r="CG10" s="242" t="s">
        <v>12</v>
      </c>
      <c r="CH10" s="240" t="s">
        <v>107</v>
      </c>
      <c r="CI10" s="241" t="s">
        <v>108</v>
      </c>
      <c r="CJ10" s="242" t="s">
        <v>12</v>
      </c>
      <c r="CK10" s="240" t="s">
        <v>107</v>
      </c>
      <c r="CL10" s="241" t="s">
        <v>108</v>
      </c>
      <c r="CM10" s="242" t="s">
        <v>12</v>
      </c>
      <c r="CN10" s="240" t="s">
        <v>107</v>
      </c>
      <c r="CO10" s="241" t="s">
        <v>108</v>
      </c>
      <c r="CP10" s="242" t="s">
        <v>12</v>
      </c>
      <c r="CQ10" s="240" t="s">
        <v>107</v>
      </c>
      <c r="CR10" s="241" t="s">
        <v>108</v>
      </c>
      <c r="CS10" s="242" t="s">
        <v>12</v>
      </c>
      <c r="CT10" s="240" t="s">
        <v>107</v>
      </c>
      <c r="CU10" s="241" t="s">
        <v>108</v>
      </c>
      <c r="CV10" s="242" t="s">
        <v>12</v>
      </c>
      <c r="CW10" s="240" t="s">
        <v>107</v>
      </c>
      <c r="CX10" s="241" t="s">
        <v>108</v>
      </c>
      <c r="CY10" s="242" t="s">
        <v>12</v>
      </c>
      <c r="CZ10" s="240" t="s">
        <v>107</v>
      </c>
      <c r="DA10" s="241" t="s">
        <v>108</v>
      </c>
      <c r="DB10" s="242" t="s">
        <v>12</v>
      </c>
      <c r="DC10" s="240" t="s">
        <v>107</v>
      </c>
      <c r="DD10" s="241" t="s">
        <v>108</v>
      </c>
      <c r="DE10" s="242" t="s">
        <v>12</v>
      </c>
      <c r="DF10" s="240" t="s">
        <v>107</v>
      </c>
      <c r="DG10" s="241" t="s">
        <v>108</v>
      </c>
      <c r="DH10" s="242" t="s">
        <v>12</v>
      </c>
      <c r="DI10" s="240" t="s">
        <v>107</v>
      </c>
      <c r="DJ10" s="241" t="s">
        <v>108</v>
      </c>
      <c r="DK10" s="242" t="s">
        <v>12</v>
      </c>
      <c r="DL10" s="240" t="s">
        <v>107</v>
      </c>
      <c r="DM10" s="241" t="s">
        <v>108</v>
      </c>
      <c r="DN10" s="242" t="s">
        <v>12</v>
      </c>
      <c r="DO10" s="240" t="s">
        <v>107</v>
      </c>
      <c r="DP10" s="241" t="s">
        <v>108</v>
      </c>
      <c r="DQ10" s="242" t="s">
        <v>12</v>
      </c>
      <c r="DR10" s="240" t="s">
        <v>107</v>
      </c>
      <c r="DS10" s="241" t="s">
        <v>108</v>
      </c>
      <c r="DT10" s="242" t="s">
        <v>12</v>
      </c>
      <c r="DU10" s="240" t="s">
        <v>107</v>
      </c>
      <c r="DV10" s="241" t="s">
        <v>108</v>
      </c>
      <c r="DW10" s="242" t="s">
        <v>12</v>
      </c>
      <c r="DX10" s="240" t="s">
        <v>107</v>
      </c>
      <c r="DY10" s="241"/>
      <c r="DZ10" s="242"/>
      <c r="EA10" s="242"/>
      <c r="EB10" s="242" t="s">
        <v>109</v>
      </c>
      <c r="EC10" s="242" t="s">
        <v>109</v>
      </c>
      <c r="ED10" s="242" t="s">
        <v>12</v>
      </c>
      <c r="EE10" s="242" t="s">
        <v>108</v>
      </c>
      <c r="EG10" s="242" t="s">
        <v>109</v>
      </c>
      <c r="EH10" s="242" t="s">
        <v>12</v>
      </c>
      <c r="EI10" s="242" t="s">
        <v>108</v>
      </c>
      <c r="EJ10" s="242"/>
      <c r="EK10" s="242" t="s">
        <v>109</v>
      </c>
      <c r="EL10" s="242" t="s">
        <v>109</v>
      </c>
      <c r="EM10" s="242" t="s">
        <v>12</v>
      </c>
      <c r="EN10" s="242" t="s">
        <v>108</v>
      </c>
    </row>
    <row r="11" spans="1:147" x14ac:dyDescent="0.25">
      <c r="A11" s="222">
        <v>46023</v>
      </c>
      <c r="B11" s="208">
        <v>0</v>
      </c>
      <c r="C11" s="209">
        <v>3.7999999999999999E-2</v>
      </c>
      <c r="D11" s="208">
        <f>(B11*C11)/360</f>
        <v>0</v>
      </c>
      <c r="G11" s="208">
        <f>(E11*F11)/360</f>
        <v>0</v>
      </c>
      <c r="J11" s="208">
        <f>(H11*I11)/360</f>
        <v>0</v>
      </c>
      <c r="M11" s="208">
        <f>(K11*L11)/360</f>
        <v>0</v>
      </c>
      <c r="P11" s="208">
        <f>(N11*O11)/360</f>
        <v>0</v>
      </c>
      <c r="S11" s="208">
        <f>(Q11*R11)/360</f>
        <v>0</v>
      </c>
      <c r="V11" s="208">
        <f>(T11*U11)/360</f>
        <v>0</v>
      </c>
      <c r="Y11" s="208">
        <f>(W11*X11)/360</f>
        <v>0</v>
      </c>
      <c r="AB11" s="208">
        <f>(Z11*AA11)/360</f>
        <v>0</v>
      </c>
      <c r="AE11" s="208">
        <v>0</v>
      </c>
      <c r="AH11" s="208">
        <v>0</v>
      </c>
      <c r="AI11" s="223">
        <f>100000000+40625000+65000000+65000000+100000000</f>
        <v>370625000</v>
      </c>
      <c r="AJ11" s="224">
        <v>3.7999999999999999E-2</v>
      </c>
      <c r="AK11" s="208">
        <f>(AI11*AJ11)/360</f>
        <v>39121.527777777781</v>
      </c>
      <c r="AL11" s="223">
        <f>100000000</f>
        <v>100000000</v>
      </c>
      <c r="AM11" s="224">
        <v>3.7999999999999999E-2</v>
      </c>
      <c r="AN11" s="208">
        <f>(AL11*AM11)/360</f>
        <v>10555.555555555555</v>
      </c>
      <c r="AO11" s="223"/>
      <c r="AP11" s="224"/>
      <c r="AQ11" s="208">
        <f>(AO11*AP11)/360</f>
        <v>0</v>
      </c>
      <c r="AR11" s="223"/>
      <c r="AS11" s="224"/>
      <c r="AT11" s="208">
        <f>(AR11*AS11)/360</f>
        <v>0</v>
      </c>
      <c r="AW11" s="208">
        <f>(AU11*AV11)/360</f>
        <v>0</v>
      </c>
      <c r="AZ11" s="208">
        <f>(AX11*AY11)/360</f>
        <v>0</v>
      </c>
      <c r="BC11" s="208">
        <f>(BA11*BB11)/360</f>
        <v>0</v>
      </c>
      <c r="BF11" s="208">
        <f>(BD11*BE11)/360</f>
        <v>0</v>
      </c>
      <c r="BI11" s="208">
        <f>(BG11*BH11)/360</f>
        <v>0</v>
      </c>
      <c r="BL11" s="208">
        <f>(BJ11*BK11)/360</f>
        <v>0</v>
      </c>
      <c r="BO11" s="208">
        <f>(BM11*BN11)/360</f>
        <v>0</v>
      </c>
      <c r="BR11" s="208">
        <f>(BP11*BQ11)/360</f>
        <v>0</v>
      </c>
      <c r="BU11" s="208">
        <f>(BS11*BT11)/360</f>
        <v>0</v>
      </c>
      <c r="BX11" s="208">
        <f>(BV11*BW11)/360</f>
        <v>0</v>
      </c>
      <c r="CA11" s="208">
        <f>(BY11*BZ11)/360</f>
        <v>0</v>
      </c>
      <c r="CD11" s="208">
        <f>(CB11*CC11)/360</f>
        <v>0</v>
      </c>
      <c r="CG11" s="208">
        <f>(CE11*CF11)/360</f>
        <v>0</v>
      </c>
      <c r="CJ11" s="208">
        <f>(CH11*CI11)/360</f>
        <v>0</v>
      </c>
      <c r="CM11" s="208">
        <f>(CK11*CL11)/360</f>
        <v>0</v>
      </c>
      <c r="CP11" s="208">
        <f>(CN11*CO11)/360</f>
        <v>0</v>
      </c>
      <c r="CS11" s="208">
        <f>(CQ11*CR11)/360</f>
        <v>0</v>
      </c>
      <c r="CV11" s="208">
        <f>(CT11*CU11)/360</f>
        <v>0</v>
      </c>
      <c r="CY11" s="208">
        <f>(CW11*CX11)/360</f>
        <v>0</v>
      </c>
      <c r="DB11" s="208">
        <f>(CZ11*DA11)/360</f>
        <v>0</v>
      </c>
      <c r="DE11" s="208">
        <f>(DC11*DD11)/360</f>
        <v>0</v>
      </c>
      <c r="DH11" s="208">
        <f>(DF11*DG11)/360</f>
        <v>0</v>
      </c>
      <c r="DK11" s="208">
        <f>(DI11*DJ11)/360</f>
        <v>0</v>
      </c>
      <c r="DN11" s="208">
        <f>(DL11*DM11)/360</f>
        <v>0</v>
      </c>
      <c r="DQ11" s="208">
        <f>(DO11*DP11)/360</f>
        <v>0</v>
      </c>
      <c r="DT11" s="208">
        <f>(DR11*DS11)/360</f>
        <v>0</v>
      </c>
      <c r="DW11" s="208">
        <f>(DU11*DV11)/360</f>
        <v>0</v>
      </c>
      <c r="DZ11" s="208"/>
      <c r="EA11" s="208"/>
      <c r="EB11" s="228">
        <f>B11+E11+H11+K11+N11+Q11+T11+W11+Z11+AC11+AF11+AL11+AO11+AR11+AU11+AX11+BA11+BD11+BG11+DU11+AI11+DR11+DO11+DL11+DI11+DF11+DC11+CZ11+CW11+CT11+CQ11+CN11+CK11+CH11+CE11+CB11+BY11+BV11+BS11+BP11+BM11+BJ11</f>
        <v>470625000</v>
      </c>
      <c r="EC11" s="228">
        <f>EB11-EK11+EL11</f>
        <v>0</v>
      </c>
      <c r="ED11" s="208">
        <f>D11+G11+J11+M11+P11+S11+V11+Y11+AB11+AE11+AH11+AK11+AN11+AQ11+AT11+AW11+AZ11+BC11+BF11+BI11+DW11+DT11+DQ11+DN11+DK11+DH11+DE11+DB11+CY11+CV11+CS11+CP11+CM11+CJ11+CG11+CD11+CA11+BX11+BU11+BR11+BO11+BL11</f>
        <v>49677.083333333336</v>
      </c>
      <c r="EE11" s="209">
        <f>IF(EB11&lt;&gt;0,((ED11/EB11)*360),0)</f>
        <v>3.8000000000000006E-2</v>
      </c>
      <c r="EG11" s="228">
        <f>Q11+T11+W11+Z11+AC11+AF11</f>
        <v>0</v>
      </c>
      <c r="EH11" s="208">
        <f>S11+V11+Y11+AB11+AE11+AH11</f>
        <v>0</v>
      </c>
      <c r="EI11" s="209">
        <f>IF(EG11&lt;&gt;0,((EH11/EG11)*360),0)</f>
        <v>0</v>
      </c>
      <c r="EJ11" s="209"/>
      <c r="EK11" s="228">
        <f>DR11+DL11+DI11+DF11+DC11+CZ11+CW11+CT11+CQ11+CN11+CK11+CH11+CE11+CB11+BY11+BV11+BS11+BP11+BM11+BJ11+BG11+BD11+BA11+AX11+AU11+AR11+AO11+AL11+AI11+DO11</f>
        <v>470625000</v>
      </c>
      <c r="EL11" s="228">
        <f>DX11</f>
        <v>0</v>
      </c>
      <c r="EM11" s="228">
        <f>DT11+DQ11+DN11+DK11+DH11+DE11+DB11+CY11+CV11+CS11+CP11+CM11+CJ11+CG11+CD11+CA11+BX11+BU11+BR11+BO11+BL11+BI11+BF11+BC11+AZ11+AW11+AT11+AQ11+AN11+AK11</f>
        <v>49677.083333333336</v>
      </c>
      <c r="EN11" s="209">
        <f>IF(EK11&lt;&gt;0,((EM11/EK11)*360),0)</f>
        <v>3.8000000000000006E-2</v>
      </c>
      <c r="EP11" s="208"/>
    </row>
    <row r="12" spans="1:147" x14ac:dyDescent="0.25">
      <c r="A12" s="222">
        <f>1+A11</f>
        <v>46024</v>
      </c>
      <c r="B12" s="208">
        <v>0</v>
      </c>
      <c r="C12" s="209">
        <v>3.7999999999999999E-2</v>
      </c>
      <c r="D12" s="208">
        <f t="shared" ref="D12:D41" si="0">(B12*C12)/360</f>
        <v>0</v>
      </c>
      <c r="G12" s="208">
        <f t="shared" ref="G12:G41" si="1">(E12*F12)/360</f>
        <v>0</v>
      </c>
      <c r="J12" s="208">
        <f t="shared" ref="J12:J41" si="2">(H12*I12)/360</f>
        <v>0</v>
      </c>
      <c r="M12" s="208">
        <f t="shared" ref="M12:M41" si="3">(K12*L12)/360</f>
        <v>0</v>
      </c>
      <c r="P12" s="208">
        <f t="shared" ref="P12:P41" si="4">(N12*O12)/360</f>
        <v>0</v>
      </c>
      <c r="S12" s="208">
        <f t="shared" ref="S12:S41" si="5">(Q12*R12)/360</f>
        <v>0</v>
      </c>
      <c r="V12" s="208">
        <f t="shared" ref="V12:V41" si="6">(T12*U12)/360</f>
        <v>0</v>
      </c>
      <c r="Y12" s="208">
        <f t="shared" ref="Y12:Y41" si="7">(W12*X12)/360</f>
        <v>0</v>
      </c>
      <c r="AB12" s="208">
        <f t="shared" ref="AB12:AB41" si="8">(Z12*AA12)/360</f>
        <v>0</v>
      </c>
      <c r="AE12" s="208">
        <v>0</v>
      </c>
      <c r="AH12" s="208">
        <v>0</v>
      </c>
      <c r="AI12" s="223">
        <f>90425000+150000000+150000000</f>
        <v>390425000</v>
      </c>
      <c r="AJ12" s="224">
        <v>3.7999999999999999E-2</v>
      </c>
      <c r="AK12" s="208">
        <f t="shared" ref="AK12:AK41" si="9">(AI12*AJ12)/360</f>
        <v>41211.527777777781</v>
      </c>
      <c r="AL12" s="223">
        <f>100000000</f>
        <v>100000000</v>
      </c>
      <c r="AM12" s="224">
        <v>3.7999999999999999E-2</v>
      </c>
      <c r="AN12" s="208">
        <f t="shared" ref="AN12:AN41" si="10">(AL12*AM12)/360</f>
        <v>10555.555555555555</v>
      </c>
      <c r="AO12" s="223"/>
      <c r="AP12" s="224"/>
      <c r="AQ12" s="208">
        <f t="shared" ref="AQ12:AQ41" si="11">(AO12*AP12)/360</f>
        <v>0</v>
      </c>
      <c r="AR12" s="223"/>
      <c r="AS12" s="224"/>
      <c r="AT12" s="208">
        <f t="shared" ref="AT12:AT41" si="12">(AR12*AS12)/360</f>
        <v>0</v>
      </c>
      <c r="AW12" s="208">
        <f t="shared" ref="AW12:AW41" si="13">(AU12*AV12)/360</f>
        <v>0</v>
      </c>
      <c r="AZ12" s="208">
        <f t="shared" ref="AZ12:AZ41" si="14">(AX12*AY12)/360</f>
        <v>0</v>
      </c>
      <c r="BC12" s="208">
        <f t="shared" ref="BC12:BC41" si="15">(BA12*BB12)/360</f>
        <v>0</v>
      </c>
      <c r="BF12" s="208">
        <f t="shared" ref="BF12:BF41" si="16">(BD12*BE12)/360</f>
        <v>0</v>
      </c>
      <c r="BI12" s="208">
        <f t="shared" ref="BI12:BI41" si="17">(BG12*BH12)/360</f>
        <v>0</v>
      </c>
      <c r="BL12" s="208">
        <f t="shared" ref="BL12:BL41" si="18">(BJ12*BK12)/360</f>
        <v>0</v>
      </c>
      <c r="BO12" s="208">
        <f t="shared" ref="BO12:BO41" si="19">(BM12*BN12)/360</f>
        <v>0</v>
      </c>
      <c r="BR12" s="208">
        <f t="shared" ref="BR12:BR41" si="20">(BP12*BQ12)/360</f>
        <v>0</v>
      </c>
      <c r="BU12" s="208">
        <f t="shared" ref="BU12:BU41" si="21">(BS12*BT12)/360</f>
        <v>0</v>
      </c>
      <c r="BX12" s="208">
        <f t="shared" ref="BX12:BX41" si="22">(BV12*BW12)/360</f>
        <v>0</v>
      </c>
      <c r="CA12" s="208">
        <f t="shared" ref="CA12:CA41" si="23">(BY12*BZ12)/360</f>
        <v>0</v>
      </c>
      <c r="CD12" s="208">
        <f t="shared" ref="CD12:CD41" si="24">(CB12*CC12)/360</f>
        <v>0</v>
      </c>
      <c r="CG12" s="208">
        <f t="shared" ref="CG12:CG41" si="25">(CE12*CF12)/360</f>
        <v>0</v>
      </c>
      <c r="CJ12" s="208">
        <f t="shared" ref="CJ12:CJ41" si="26">(CH12*CI12)/360</f>
        <v>0</v>
      </c>
      <c r="CM12" s="208">
        <f t="shared" ref="CM12:CM41" si="27">(CK12*CL12)/360</f>
        <v>0</v>
      </c>
      <c r="CP12" s="208">
        <f t="shared" ref="CP12:CP41" si="28">(CN12*CO12)/360</f>
        <v>0</v>
      </c>
      <c r="CS12" s="208">
        <f t="shared" ref="CS12:CS41" si="29">(CQ12*CR12)/360</f>
        <v>0</v>
      </c>
      <c r="CV12" s="208">
        <f t="shared" ref="CV12:CV41" si="30">(CT12*CU12)/360</f>
        <v>0</v>
      </c>
      <c r="CY12" s="208">
        <f t="shared" ref="CY12:CY41" si="31">(CW12*CX12)/360</f>
        <v>0</v>
      </c>
      <c r="DB12" s="208">
        <f t="shared" ref="DB12:DB41" si="32">(CZ12*DA12)/360</f>
        <v>0</v>
      </c>
      <c r="DE12" s="208">
        <f t="shared" ref="DE12:DE41" si="33">(DC12*DD12)/360</f>
        <v>0</v>
      </c>
      <c r="DH12" s="208">
        <f t="shared" ref="DH12:DH41" si="34">(DF12*DG12)/360</f>
        <v>0</v>
      </c>
      <c r="DK12" s="208">
        <f t="shared" ref="DK12:DK41" si="35">(DI12*DJ12)/360</f>
        <v>0</v>
      </c>
      <c r="DN12" s="208">
        <f t="shared" ref="DN12:DN41" si="36">(DL12*DM12)/360</f>
        <v>0</v>
      </c>
      <c r="DQ12" s="208">
        <f t="shared" ref="DQ12:DQ41" si="37">(DO12*DP12)/360</f>
        <v>0</v>
      </c>
      <c r="DT12" s="208">
        <f t="shared" ref="DT12:DT41" si="38">(DR12*DS12)/360</f>
        <v>0</v>
      </c>
      <c r="DW12" s="208">
        <f t="shared" ref="DW12:DW41" si="39">(DU12*DV12)/360</f>
        <v>0</v>
      </c>
      <c r="DZ12" s="208"/>
      <c r="EA12" s="208"/>
      <c r="EB12" s="228">
        <f t="shared" ref="EB12:EB41" si="40">B12+E12+H12+K12+N12+Q12+T12+W12+Z12+AC12+AF12+AL12+AO12+AR12+AU12+AX12+BA12+BD12+BG12+DU12+AI12+DR12+DO12+DL12+DI12+DF12+DC12+CZ12+CW12+CT12+CQ12+CN12+CK12+CH12+CE12+CB12+BY12+BV12+BS12+BP12+BM12+BJ12</f>
        <v>490425000</v>
      </c>
      <c r="EC12" s="228">
        <f t="shared" ref="EC12:EC41" si="41">EB12-EK12+EL12</f>
        <v>0</v>
      </c>
      <c r="ED12" s="208">
        <f t="shared" ref="ED12:ED41" si="42">D12+G12+J12+M12+P12+S12+V12+Y12+AB12+AE12+AH12+AK12+AN12+AQ12+AT12+AW12+AZ12+BC12+BF12+BI12+DW12+DT12+DQ12+DN12+DK12+DH12+DE12+DB12+CY12+CV12+CS12+CP12+CM12+CJ12+CG12+CD12+CA12+BX12+BU12+BR12+BO12+BL12</f>
        <v>51767.083333333336</v>
      </c>
      <c r="EE12" s="209">
        <f t="shared" ref="EE12:EE41" si="43">IF(EB12&lt;&gt;0,((ED12/EB12)*360),0)</f>
        <v>3.7999999999999999E-2</v>
      </c>
      <c r="EG12" s="228">
        <f t="shared" ref="EG12:EG41" si="44">Q12+T12+W12+Z12+AC12+AF12</f>
        <v>0</v>
      </c>
      <c r="EH12" s="208">
        <f t="shared" ref="EH12:EH41" si="45">S12+V12+Y12+AB12+AE12+AH12</f>
        <v>0</v>
      </c>
      <c r="EI12" s="209">
        <f t="shared" ref="EI12:EI41" si="46">IF(EG12&lt;&gt;0,((EH12/EG12)*360),0)</f>
        <v>0</v>
      </c>
      <c r="EJ12" s="209"/>
      <c r="EK12" s="228">
        <f t="shared" ref="EK12:EK41" si="47">DR12+DL12+DI12+DF12+DC12+CZ12+CW12+CT12+CQ12+CN12+CK12+CH12+CE12+CB12+BY12+BV12+BS12+BP12+BM12+BJ12+BG12+BD12+BA12+AX12+AU12+AR12+AO12+AL12+AI12+DO12</f>
        <v>490425000</v>
      </c>
      <c r="EL12" s="228">
        <f t="shared" ref="EL12:EL41" si="48">DX12</f>
        <v>0</v>
      </c>
      <c r="EM12" s="228">
        <f t="shared" ref="EM12:EM41" si="49">DT12+DQ12+DN12+DK12+DH12+DE12+DB12+CY12+CV12+CS12+CP12+CM12+CJ12+CG12+CD12+CA12+BX12+BU12+BR12+BO12+BL12+BI12+BF12+BC12+AZ12+AW12+AT12+AQ12+AN12+AK12</f>
        <v>51767.083333333336</v>
      </c>
      <c r="EN12" s="209">
        <f t="shared" ref="EN12:EN41" si="50">IF(EK12&lt;&gt;0,((EM12/EK12)*360),0)</f>
        <v>3.7999999999999999E-2</v>
      </c>
      <c r="EP12" s="208"/>
    </row>
    <row r="13" spans="1:147" x14ac:dyDescent="0.25">
      <c r="A13" s="222">
        <f t="shared" ref="A13:A41" si="51">1+A12</f>
        <v>46025</v>
      </c>
      <c r="B13" s="208">
        <v>0</v>
      </c>
      <c r="C13" s="209">
        <v>3.7999999999999999E-2</v>
      </c>
      <c r="D13" s="208">
        <f t="shared" si="0"/>
        <v>0</v>
      </c>
      <c r="G13" s="208">
        <f t="shared" si="1"/>
        <v>0</v>
      </c>
      <c r="J13" s="208">
        <f t="shared" si="2"/>
        <v>0</v>
      </c>
      <c r="M13" s="208">
        <f t="shared" si="3"/>
        <v>0</v>
      </c>
      <c r="P13" s="208">
        <f t="shared" si="4"/>
        <v>0</v>
      </c>
      <c r="S13" s="208">
        <f t="shared" si="5"/>
        <v>0</v>
      </c>
      <c r="V13" s="208">
        <f t="shared" si="6"/>
        <v>0</v>
      </c>
      <c r="Y13" s="208">
        <f t="shared" si="7"/>
        <v>0</v>
      </c>
      <c r="AB13" s="208">
        <f t="shared" si="8"/>
        <v>0</v>
      </c>
      <c r="AE13" s="208">
        <v>0</v>
      </c>
      <c r="AH13" s="208">
        <v>0</v>
      </c>
      <c r="AI13" s="223">
        <f>90425000+150000000+150000000</f>
        <v>390425000</v>
      </c>
      <c r="AJ13" s="224">
        <v>3.7999999999999999E-2</v>
      </c>
      <c r="AK13" s="208">
        <f t="shared" si="9"/>
        <v>41211.527777777781</v>
      </c>
      <c r="AL13" s="223">
        <f>100000000</f>
        <v>100000000</v>
      </c>
      <c r="AM13" s="224">
        <v>3.7999999999999999E-2</v>
      </c>
      <c r="AN13" s="208">
        <f t="shared" si="10"/>
        <v>10555.555555555555</v>
      </c>
      <c r="AO13" s="223"/>
      <c r="AP13" s="224"/>
      <c r="AQ13" s="208">
        <f t="shared" si="11"/>
        <v>0</v>
      </c>
      <c r="AR13" s="223"/>
      <c r="AS13" s="224"/>
      <c r="AT13" s="208">
        <f t="shared" si="12"/>
        <v>0</v>
      </c>
      <c r="AW13" s="208">
        <f t="shared" si="13"/>
        <v>0</v>
      </c>
      <c r="AZ13" s="208">
        <f t="shared" si="14"/>
        <v>0</v>
      </c>
      <c r="BC13" s="208">
        <f t="shared" si="15"/>
        <v>0</v>
      </c>
      <c r="BF13" s="208">
        <f t="shared" si="16"/>
        <v>0</v>
      </c>
      <c r="BI13" s="208">
        <f t="shared" si="17"/>
        <v>0</v>
      </c>
      <c r="BL13" s="208">
        <f t="shared" si="18"/>
        <v>0</v>
      </c>
      <c r="BO13" s="208">
        <f t="shared" si="19"/>
        <v>0</v>
      </c>
      <c r="BR13" s="208">
        <f t="shared" si="20"/>
        <v>0</v>
      </c>
      <c r="BU13" s="208">
        <f t="shared" si="21"/>
        <v>0</v>
      </c>
      <c r="BX13" s="208">
        <f t="shared" si="22"/>
        <v>0</v>
      </c>
      <c r="CA13" s="208">
        <f t="shared" si="23"/>
        <v>0</v>
      </c>
      <c r="CD13" s="208">
        <f t="shared" si="24"/>
        <v>0</v>
      </c>
      <c r="CG13" s="208">
        <f t="shared" si="25"/>
        <v>0</v>
      </c>
      <c r="CJ13" s="208">
        <f t="shared" si="26"/>
        <v>0</v>
      </c>
      <c r="CM13" s="208">
        <f t="shared" si="27"/>
        <v>0</v>
      </c>
      <c r="CP13" s="208">
        <f t="shared" si="28"/>
        <v>0</v>
      </c>
      <c r="CS13" s="208">
        <f t="shared" si="29"/>
        <v>0</v>
      </c>
      <c r="CV13" s="208">
        <f t="shared" si="30"/>
        <v>0</v>
      </c>
      <c r="CY13" s="208">
        <f t="shared" si="31"/>
        <v>0</v>
      </c>
      <c r="DB13" s="208">
        <f t="shared" si="32"/>
        <v>0</v>
      </c>
      <c r="DE13" s="208">
        <f t="shared" si="33"/>
        <v>0</v>
      </c>
      <c r="DH13" s="208">
        <f t="shared" si="34"/>
        <v>0</v>
      </c>
      <c r="DK13" s="208">
        <f t="shared" si="35"/>
        <v>0</v>
      </c>
      <c r="DN13" s="208">
        <f t="shared" si="36"/>
        <v>0</v>
      </c>
      <c r="DQ13" s="208">
        <f t="shared" si="37"/>
        <v>0</v>
      </c>
      <c r="DT13" s="208">
        <f t="shared" si="38"/>
        <v>0</v>
      </c>
      <c r="DW13" s="208">
        <f t="shared" si="39"/>
        <v>0</v>
      </c>
      <c r="DZ13" s="208"/>
      <c r="EA13" s="208"/>
      <c r="EB13" s="228">
        <f t="shared" si="40"/>
        <v>490425000</v>
      </c>
      <c r="EC13" s="228">
        <f t="shared" si="41"/>
        <v>0</v>
      </c>
      <c r="ED13" s="208">
        <f t="shared" si="42"/>
        <v>51767.083333333336</v>
      </c>
      <c r="EE13" s="209">
        <f t="shared" si="43"/>
        <v>3.7999999999999999E-2</v>
      </c>
      <c r="EG13" s="228">
        <f t="shared" si="44"/>
        <v>0</v>
      </c>
      <c r="EH13" s="208">
        <f t="shared" si="45"/>
        <v>0</v>
      </c>
      <c r="EI13" s="209">
        <f t="shared" si="46"/>
        <v>0</v>
      </c>
      <c r="EJ13" s="209"/>
      <c r="EK13" s="228">
        <f t="shared" si="47"/>
        <v>490425000</v>
      </c>
      <c r="EL13" s="228">
        <f t="shared" si="48"/>
        <v>0</v>
      </c>
      <c r="EM13" s="228">
        <f t="shared" si="49"/>
        <v>51767.083333333336</v>
      </c>
      <c r="EN13" s="209">
        <f t="shared" si="50"/>
        <v>3.7999999999999999E-2</v>
      </c>
      <c r="EP13" s="208"/>
    </row>
    <row r="14" spans="1:147" x14ac:dyDescent="0.25">
      <c r="A14" s="222">
        <f t="shared" si="51"/>
        <v>46026</v>
      </c>
      <c r="B14" s="208">
        <v>0</v>
      </c>
      <c r="C14" s="209">
        <v>3.7999999999999999E-2</v>
      </c>
      <c r="D14" s="208">
        <f t="shared" si="0"/>
        <v>0</v>
      </c>
      <c r="G14" s="208">
        <f t="shared" si="1"/>
        <v>0</v>
      </c>
      <c r="J14" s="208">
        <f t="shared" si="2"/>
        <v>0</v>
      </c>
      <c r="M14" s="208">
        <f t="shared" si="3"/>
        <v>0</v>
      </c>
      <c r="P14" s="208">
        <f t="shared" si="4"/>
        <v>0</v>
      </c>
      <c r="S14" s="208">
        <f t="shared" si="5"/>
        <v>0</v>
      </c>
      <c r="V14" s="208">
        <f t="shared" si="6"/>
        <v>0</v>
      </c>
      <c r="Y14" s="208">
        <f t="shared" si="7"/>
        <v>0</v>
      </c>
      <c r="AB14" s="208">
        <f t="shared" si="8"/>
        <v>0</v>
      </c>
      <c r="AE14" s="208">
        <v>0</v>
      </c>
      <c r="AH14" s="208">
        <v>0</v>
      </c>
      <c r="AI14" s="223">
        <f>90425000+150000000+150000000</f>
        <v>390425000</v>
      </c>
      <c r="AJ14" s="224">
        <v>3.7999999999999999E-2</v>
      </c>
      <c r="AK14" s="208">
        <f t="shared" si="9"/>
        <v>41211.527777777781</v>
      </c>
      <c r="AL14" s="223">
        <f>100000000</f>
        <v>100000000</v>
      </c>
      <c r="AM14" s="224">
        <v>3.7999999999999999E-2</v>
      </c>
      <c r="AN14" s="208">
        <f t="shared" si="10"/>
        <v>10555.555555555555</v>
      </c>
      <c r="AO14" s="223"/>
      <c r="AP14" s="224"/>
      <c r="AQ14" s="208">
        <f t="shared" si="11"/>
        <v>0</v>
      </c>
      <c r="AR14" s="223"/>
      <c r="AS14" s="224"/>
      <c r="AT14" s="208">
        <f t="shared" si="12"/>
        <v>0</v>
      </c>
      <c r="AW14" s="208">
        <f t="shared" si="13"/>
        <v>0</v>
      </c>
      <c r="AZ14" s="208">
        <f t="shared" si="14"/>
        <v>0</v>
      </c>
      <c r="BC14" s="208">
        <f t="shared" si="15"/>
        <v>0</v>
      </c>
      <c r="BF14" s="208">
        <f t="shared" si="16"/>
        <v>0</v>
      </c>
      <c r="BI14" s="208">
        <f t="shared" si="17"/>
        <v>0</v>
      </c>
      <c r="BL14" s="208">
        <f t="shared" si="18"/>
        <v>0</v>
      </c>
      <c r="BO14" s="208">
        <f t="shared" si="19"/>
        <v>0</v>
      </c>
      <c r="BR14" s="208">
        <f t="shared" si="20"/>
        <v>0</v>
      </c>
      <c r="BU14" s="208">
        <f t="shared" si="21"/>
        <v>0</v>
      </c>
      <c r="BX14" s="208">
        <f t="shared" si="22"/>
        <v>0</v>
      </c>
      <c r="CA14" s="208">
        <f t="shared" si="23"/>
        <v>0</v>
      </c>
      <c r="CD14" s="208">
        <f t="shared" si="24"/>
        <v>0</v>
      </c>
      <c r="CG14" s="208">
        <f t="shared" si="25"/>
        <v>0</v>
      </c>
      <c r="CJ14" s="208">
        <f t="shared" si="26"/>
        <v>0</v>
      </c>
      <c r="CM14" s="208">
        <f t="shared" si="27"/>
        <v>0</v>
      </c>
      <c r="CP14" s="208">
        <f t="shared" si="28"/>
        <v>0</v>
      </c>
      <c r="CS14" s="208">
        <f t="shared" si="29"/>
        <v>0</v>
      </c>
      <c r="CV14" s="208">
        <f t="shared" si="30"/>
        <v>0</v>
      </c>
      <c r="CY14" s="208">
        <f t="shared" si="31"/>
        <v>0</v>
      </c>
      <c r="DB14" s="208">
        <f t="shared" si="32"/>
        <v>0</v>
      </c>
      <c r="DE14" s="208">
        <f t="shared" si="33"/>
        <v>0</v>
      </c>
      <c r="DH14" s="208">
        <f t="shared" si="34"/>
        <v>0</v>
      </c>
      <c r="DK14" s="208">
        <f t="shared" si="35"/>
        <v>0</v>
      </c>
      <c r="DN14" s="208">
        <f t="shared" si="36"/>
        <v>0</v>
      </c>
      <c r="DQ14" s="208">
        <f t="shared" si="37"/>
        <v>0</v>
      </c>
      <c r="DT14" s="208">
        <f t="shared" si="38"/>
        <v>0</v>
      </c>
      <c r="DW14" s="208">
        <f t="shared" si="39"/>
        <v>0</v>
      </c>
      <c r="DZ14" s="208"/>
      <c r="EA14" s="208"/>
      <c r="EB14" s="228">
        <f t="shared" si="40"/>
        <v>490425000</v>
      </c>
      <c r="EC14" s="228">
        <f t="shared" si="41"/>
        <v>0</v>
      </c>
      <c r="ED14" s="208">
        <f t="shared" si="42"/>
        <v>51767.083333333336</v>
      </c>
      <c r="EE14" s="209">
        <f t="shared" si="43"/>
        <v>3.7999999999999999E-2</v>
      </c>
      <c r="EG14" s="228">
        <f t="shared" si="44"/>
        <v>0</v>
      </c>
      <c r="EH14" s="208">
        <f t="shared" si="45"/>
        <v>0</v>
      </c>
      <c r="EI14" s="209">
        <f t="shared" si="46"/>
        <v>0</v>
      </c>
      <c r="EJ14" s="209"/>
      <c r="EK14" s="228">
        <f t="shared" si="47"/>
        <v>490425000</v>
      </c>
      <c r="EL14" s="228">
        <f t="shared" si="48"/>
        <v>0</v>
      </c>
      <c r="EM14" s="228">
        <f t="shared" si="49"/>
        <v>51767.083333333336</v>
      </c>
      <c r="EN14" s="209">
        <f t="shared" si="50"/>
        <v>3.7999999999999999E-2</v>
      </c>
      <c r="EP14" s="208"/>
    </row>
    <row r="15" spans="1:147" x14ac:dyDescent="0.25">
      <c r="A15" s="222">
        <f t="shared" si="51"/>
        <v>46027</v>
      </c>
      <c r="B15" s="208">
        <v>0</v>
      </c>
      <c r="C15" s="209">
        <v>3.7999999999999999E-2</v>
      </c>
      <c r="D15" s="208">
        <f t="shared" si="0"/>
        <v>0</v>
      </c>
      <c r="G15" s="208">
        <f t="shared" si="1"/>
        <v>0</v>
      </c>
      <c r="J15" s="208">
        <f t="shared" si="2"/>
        <v>0</v>
      </c>
      <c r="M15" s="208">
        <f t="shared" si="3"/>
        <v>0</v>
      </c>
      <c r="P15" s="208">
        <f t="shared" si="4"/>
        <v>0</v>
      </c>
      <c r="S15" s="208">
        <f t="shared" si="5"/>
        <v>0</v>
      </c>
      <c r="V15" s="208">
        <f t="shared" si="6"/>
        <v>0</v>
      </c>
      <c r="Y15" s="208">
        <f t="shared" si="7"/>
        <v>0</v>
      </c>
      <c r="AB15" s="208">
        <f t="shared" si="8"/>
        <v>0</v>
      </c>
      <c r="AE15" s="208">
        <v>0</v>
      </c>
      <c r="AH15" s="208">
        <v>0</v>
      </c>
      <c r="AI15" s="223">
        <f>160000000+160000000+70000000+90000000+16475000</f>
        <v>496475000</v>
      </c>
      <c r="AJ15" s="224">
        <v>3.7999999999999999E-2</v>
      </c>
      <c r="AK15" s="208">
        <f t="shared" si="9"/>
        <v>52405.694444444445</v>
      </c>
      <c r="AL15" s="223"/>
      <c r="AM15" s="224"/>
      <c r="AN15" s="208">
        <f t="shared" si="10"/>
        <v>0</v>
      </c>
      <c r="AO15" s="223"/>
      <c r="AP15" s="224"/>
      <c r="AQ15" s="208">
        <f t="shared" si="11"/>
        <v>0</v>
      </c>
      <c r="AR15" s="223"/>
      <c r="AS15" s="224"/>
      <c r="AT15" s="208">
        <f t="shared" si="12"/>
        <v>0</v>
      </c>
      <c r="AW15" s="208">
        <f t="shared" si="13"/>
        <v>0</v>
      </c>
      <c r="AZ15" s="208">
        <f t="shared" si="14"/>
        <v>0</v>
      </c>
      <c r="BC15" s="208">
        <f t="shared" si="15"/>
        <v>0</v>
      </c>
      <c r="BF15" s="208">
        <f t="shared" si="16"/>
        <v>0</v>
      </c>
      <c r="BI15" s="208">
        <f t="shared" si="17"/>
        <v>0</v>
      </c>
      <c r="BL15" s="208">
        <f t="shared" si="18"/>
        <v>0</v>
      </c>
      <c r="BO15" s="208">
        <f t="shared" si="19"/>
        <v>0</v>
      </c>
      <c r="BR15" s="208">
        <f t="shared" si="20"/>
        <v>0</v>
      </c>
      <c r="BU15" s="208">
        <f t="shared" si="21"/>
        <v>0</v>
      </c>
      <c r="BX15" s="208">
        <f t="shared" si="22"/>
        <v>0</v>
      </c>
      <c r="CA15" s="208">
        <f t="shared" si="23"/>
        <v>0</v>
      </c>
      <c r="CD15" s="208">
        <f t="shared" si="24"/>
        <v>0</v>
      </c>
      <c r="CG15" s="208">
        <f t="shared" si="25"/>
        <v>0</v>
      </c>
      <c r="CJ15" s="208">
        <f t="shared" si="26"/>
        <v>0</v>
      </c>
      <c r="CM15" s="208">
        <f t="shared" si="27"/>
        <v>0</v>
      </c>
      <c r="CP15" s="208">
        <f t="shared" si="28"/>
        <v>0</v>
      </c>
      <c r="CS15" s="208">
        <f t="shared" si="29"/>
        <v>0</v>
      </c>
      <c r="CV15" s="208">
        <f t="shared" si="30"/>
        <v>0</v>
      </c>
      <c r="CY15" s="208">
        <f t="shared" si="31"/>
        <v>0</v>
      </c>
      <c r="DB15" s="208">
        <f t="shared" si="32"/>
        <v>0</v>
      </c>
      <c r="DE15" s="208">
        <f t="shared" si="33"/>
        <v>0</v>
      </c>
      <c r="DH15" s="208">
        <f t="shared" si="34"/>
        <v>0</v>
      </c>
      <c r="DK15" s="208">
        <f t="shared" si="35"/>
        <v>0</v>
      </c>
      <c r="DN15" s="208">
        <f t="shared" si="36"/>
        <v>0</v>
      </c>
      <c r="DQ15" s="208">
        <f t="shared" si="37"/>
        <v>0</v>
      </c>
      <c r="DT15" s="208">
        <f t="shared" si="38"/>
        <v>0</v>
      </c>
      <c r="DW15" s="208">
        <f t="shared" si="39"/>
        <v>0</v>
      </c>
      <c r="DZ15" s="208"/>
      <c r="EA15" s="208"/>
      <c r="EB15" s="228">
        <f t="shared" si="40"/>
        <v>496475000</v>
      </c>
      <c r="EC15" s="228">
        <f t="shared" si="41"/>
        <v>0</v>
      </c>
      <c r="ED15" s="208">
        <f t="shared" si="42"/>
        <v>52405.694444444445</v>
      </c>
      <c r="EE15" s="209">
        <f t="shared" si="43"/>
        <v>3.7999999999999999E-2</v>
      </c>
      <c r="EG15" s="228">
        <f t="shared" si="44"/>
        <v>0</v>
      </c>
      <c r="EH15" s="208">
        <f t="shared" si="45"/>
        <v>0</v>
      </c>
      <c r="EI15" s="209">
        <f t="shared" si="46"/>
        <v>0</v>
      </c>
      <c r="EJ15" s="209"/>
      <c r="EK15" s="228">
        <f t="shared" si="47"/>
        <v>496475000</v>
      </c>
      <c r="EL15" s="228">
        <f t="shared" si="48"/>
        <v>0</v>
      </c>
      <c r="EM15" s="228">
        <f t="shared" si="49"/>
        <v>52405.694444444445</v>
      </c>
      <c r="EN15" s="209">
        <f t="shared" si="50"/>
        <v>3.7999999999999999E-2</v>
      </c>
      <c r="EP15" s="208"/>
    </row>
    <row r="16" spans="1:147" x14ac:dyDescent="0.25">
      <c r="A16" s="222">
        <f t="shared" si="51"/>
        <v>46028</v>
      </c>
      <c r="B16" s="208">
        <v>0</v>
      </c>
      <c r="C16" s="209">
        <v>3.7999999999999999E-2</v>
      </c>
      <c r="D16" s="208">
        <f t="shared" si="0"/>
        <v>0</v>
      </c>
      <c r="G16" s="208">
        <f t="shared" si="1"/>
        <v>0</v>
      </c>
      <c r="J16" s="208">
        <f t="shared" si="2"/>
        <v>0</v>
      </c>
      <c r="M16" s="208">
        <f t="shared" si="3"/>
        <v>0</v>
      </c>
      <c r="P16" s="208">
        <f t="shared" si="4"/>
        <v>0</v>
      </c>
      <c r="S16" s="208">
        <f t="shared" si="5"/>
        <v>0</v>
      </c>
      <c r="V16" s="208">
        <f t="shared" si="6"/>
        <v>0</v>
      </c>
      <c r="Y16" s="208">
        <f t="shared" si="7"/>
        <v>0</v>
      </c>
      <c r="AB16" s="208">
        <f t="shared" si="8"/>
        <v>0</v>
      </c>
      <c r="AE16" s="208">
        <v>0</v>
      </c>
      <c r="AH16" s="208">
        <v>0</v>
      </c>
      <c r="AI16" s="223">
        <f>90000000+125000000+20525000+50000000</f>
        <v>285525000</v>
      </c>
      <c r="AJ16" s="224">
        <v>3.7999999999999999E-2</v>
      </c>
      <c r="AK16" s="208">
        <f t="shared" si="9"/>
        <v>30138.75</v>
      </c>
      <c r="AL16" s="223">
        <f t="shared" ref="AL16:AL22" si="52">200000000</f>
        <v>200000000</v>
      </c>
      <c r="AM16" s="224">
        <v>3.85E-2</v>
      </c>
      <c r="AN16" s="208">
        <f t="shared" si="10"/>
        <v>21388.888888888891</v>
      </c>
      <c r="AO16" s="223"/>
      <c r="AP16" s="224"/>
      <c r="AQ16" s="208">
        <f t="shared" si="11"/>
        <v>0</v>
      </c>
      <c r="AR16" s="223"/>
      <c r="AS16" s="224"/>
      <c r="AT16" s="208">
        <f t="shared" si="12"/>
        <v>0</v>
      </c>
      <c r="AW16" s="208">
        <f t="shared" si="13"/>
        <v>0</v>
      </c>
      <c r="AZ16" s="208">
        <f t="shared" si="14"/>
        <v>0</v>
      </c>
      <c r="BC16" s="208">
        <f t="shared" si="15"/>
        <v>0</v>
      </c>
      <c r="BF16" s="208">
        <f t="shared" si="16"/>
        <v>0</v>
      </c>
      <c r="BI16" s="208">
        <f t="shared" si="17"/>
        <v>0</v>
      </c>
      <c r="BL16" s="208">
        <f t="shared" si="18"/>
        <v>0</v>
      </c>
      <c r="BO16" s="208">
        <f t="shared" si="19"/>
        <v>0</v>
      </c>
      <c r="BR16" s="208">
        <f t="shared" si="20"/>
        <v>0</v>
      </c>
      <c r="BU16" s="208">
        <f t="shared" si="21"/>
        <v>0</v>
      </c>
      <c r="BX16" s="208">
        <f t="shared" si="22"/>
        <v>0</v>
      </c>
      <c r="CA16" s="208">
        <f t="shared" si="23"/>
        <v>0</v>
      </c>
      <c r="CD16" s="208">
        <f t="shared" si="24"/>
        <v>0</v>
      </c>
      <c r="CG16" s="208">
        <f t="shared" si="25"/>
        <v>0</v>
      </c>
      <c r="CJ16" s="208">
        <f t="shared" si="26"/>
        <v>0</v>
      </c>
      <c r="CM16" s="208">
        <f t="shared" si="27"/>
        <v>0</v>
      </c>
      <c r="CP16" s="208">
        <f t="shared" si="28"/>
        <v>0</v>
      </c>
      <c r="CS16" s="208">
        <f t="shared" si="29"/>
        <v>0</v>
      </c>
      <c r="CV16" s="208">
        <f t="shared" si="30"/>
        <v>0</v>
      </c>
      <c r="CY16" s="208">
        <f t="shared" si="31"/>
        <v>0</v>
      </c>
      <c r="DB16" s="208">
        <f t="shared" si="32"/>
        <v>0</v>
      </c>
      <c r="DE16" s="208">
        <f t="shared" si="33"/>
        <v>0</v>
      </c>
      <c r="DH16" s="208">
        <f t="shared" si="34"/>
        <v>0</v>
      </c>
      <c r="DK16" s="208">
        <f t="shared" si="35"/>
        <v>0</v>
      </c>
      <c r="DN16" s="208">
        <f t="shared" si="36"/>
        <v>0</v>
      </c>
      <c r="DQ16" s="208">
        <f t="shared" si="37"/>
        <v>0</v>
      </c>
      <c r="DT16" s="208">
        <f t="shared" si="38"/>
        <v>0</v>
      </c>
      <c r="DW16" s="208">
        <f t="shared" si="39"/>
        <v>0</v>
      </c>
      <c r="DZ16" s="208"/>
      <c r="EA16" s="208"/>
      <c r="EB16" s="228">
        <f t="shared" si="40"/>
        <v>485525000</v>
      </c>
      <c r="EC16" s="228">
        <f t="shared" si="41"/>
        <v>0</v>
      </c>
      <c r="ED16" s="208">
        <f t="shared" si="42"/>
        <v>51527.638888888891</v>
      </c>
      <c r="EE16" s="209">
        <f t="shared" si="43"/>
        <v>3.8205962617784875E-2</v>
      </c>
      <c r="EG16" s="228">
        <f t="shared" si="44"/>
        <v>0</v>
      </c>
      <c r="EH16" s="208">
        <f t="shared" si="45"/>
        <v>0</v>
      </c>
      <c r="EI16" s="209">
        <f t="shared" si="46"/>
        <v>0</v>
      </c>
      <c r="EJ16" s="209"/>
      <c r="EK16" s="228">
        <f t="shared" si="47"/>
        <v>485525000</v>
      </c>
      <c r="EL16" s="228">
        <f t="shared" si="48"/>
        <v>0</v>
      </c>
      <c r="EM16" s="228">
        <f t="shared" si="49"/>
        <v>51527.638888888891</v>
      </c>
      <c r="EN16" s="209">
        <f t="shared" si="50"/>
        <v>3.8205962617784875E-2</v>
      </c>
      <c r="EP16" s="208"/>
    </row>
    <row r="17" spans="1:146" x14ac:dyDescent="0.25">
      <c r="A17" s="222">
        <f t="shared" si="51"/>
        <v>46029</v>
      </c>
      <c r="B17" s="208">
        <v>0</v>
      </c>
      <c r="C17" s="209">
        <v>3.7999999999999999E-2</v>
      </c>
      <c r="D17" s="208">
        <f t="shared" si="0"/>
        <v>0</v>
      </c>
      <c r="G17" s="208">
        <f t="shared" si="1"/>
        <v>0</v>
      </c>
      <c r="J17" s="208">
        <f t="shared" si="2"/>
        <v>0</v>
      </c>
      <c r="M17" s="208">
        <f t="shared" si="3"/>
        <v>0</v>
      </c>
      <c r="P17" s="208">
        <f t="shared" si="4"/>
        <v>0</v>
      </c>
      <c r="S17" s="208">
        <f t="shared" si="5"/>
        <v>0</v>
      </c>
      <c r="V17" s="208">
        <f t="shared" si="6"/>
        <v>0</v>
      </c>
      <c r="Y17" s="208">
        <f t="shared" si="7"/>
        <v>0</v>
      </c>
      <c r="AB17" s="208">
        <f t="shared" si="8"/>
        <v>0</v>
      </c>
      <c r="AE17" s="208">
        <v>0</v>
      </c>
      <c r="AH17" s="208">
        <v>0</v>
      </c>
      <c r="AI17" s="223">
        <f>120000000+120000000+51925000</f>
        <v>291925000</v>
      </c>
      <c r="AJ17" s="224">
        <v>3.7999999999999999E-2</v>
      </c>
      <c r="AK17" s="208">
        <f t="shared" si="9"/>
        <v>30814.305555555555</v>
      </c>
      <c r="AL17" s="223">
        <f t="shared" si="52"/>
        <v>200000000</v>
      </c>
      <c r="AM17" s="224">
        <v>3.85E-2</v>
      </c>
      <c r="AN17" s="208">
        <f t="shared" si="10"/>
        <v>21388.888888888891</v>
      </c>
      <c r="AO17" s="223"/>
      <c r="AP17" s="224"/>
      <c r="AQ17" s="208">
        <f t="shared" si="11"/>
        <v>0</v>
      </c>
      <c r="AR17" s="223"/>
      <c r="AS17" s="224"/>
      <c r="AT17" s="208">
        <f t="shared" si="12"/>
        <v>0</v>
      </c>
      <c r="AW17" s="208">
        <f t="shared" si="13"/>
        <v>0</v>
      </c>
      <c r="AZ17" s="208">
        <f t="shared" si="14"/>
        <v>0</v>
      </c>
      <c r="BC17" s="208">
        <f t="shared" si="15"/>
        <v>0</v>
      </c>
      <c r="BF17" s="208">
        <f t="shared" si="16"/>
        <v>0</v>
      </c>
      <c r="BI17" s="208">
        <f t="shared" si="17"/>
        <v>0</v>
      </c>
      <c r="BL17" s="208">
        <f t="shared" si="18"/>
        <v>0</v>
      </c>
      <c r="BO17" s="208">
        <f t="shared" si="19"/>
        <v>0</v>
      </c>
      <c r="BR17" s="208">
        <f t="shared" si="20"/>
        <v>0</v>
      </c>
      <c r="BU17" s="208">
        <f t="shared" si="21"/>
        <v>0</v>
      </c>
      <c r="BX17" s="208">
        <f t="shared" si="22"/>
        <v>0</v>
      </c>
      <c r="CA17" s="208">
        <f t="shared" si="23"/>
        <v>0</v>
      </c>
      <c r="CD17" s="208">
        <f t="shared" si="24"/>
        <v>0</v>
      </c>
      <c r="CG17" s="208">
        <f t="shared" si="25"/>
        <v>0</v>
      </c>
      <c r="CJ17" s="208">
        <f t="shared" si="26"/>
        <v>0</v>
      </c>
      <c r="CM17" s="208">
        <f t="shared" si="27"/>
        <v>0</v>
      </c>
      <c r="CP17" s="208">
        <f t="shared" si="28"/>
        <v>0</v>
      </c>
      <c r="CS17" s="208">
        <f t="shared" si="29"/>
        <v>0</v>
      </c>
      <c r="CV17" s="208">
        <f t="shared" si="30"/>
        <v>0</v>
      </c>
      <c r="CY17" s="208">
        <f t="shared" si="31"/>
        <v>0</v>
      </c>
      <c r="DB17" s="208">
        <f t="shared" si="32"/>
        <v>0</v>
      </c>
      <c r="DE17" s="208">
        <f t="shared" si="33"/>
        <v>0</v>
      </c>
      <c r="DH17" s="208">
        <f t="shared" si="34"/>
        <v>0</v>
      </c>
      <c r="DK17" s="208">
        <f t="shared" si="35"/>
        <v>0</v>
      </c>
      <c r="DN17" s="208">
        <f t="shared" si="36"/>
        <v>0</v>
      </c>
      <c r="DQ17" s="208">
        <f t="shared" si="37"/>
        <v>0</v>
      </c>
      <c r="DT17" s="208">
        <f t="shared" si="38"/>
        <v>0</v>
      </c>
      <c r="DW17" s="208">
        <f t="shared" si="39"/>
        <v>0</v>
      </c>
      <c r="DZ17" s="208"/>
      <c r="EA17" s="208"/>
      <c r="EB17" s="228">
        <f t="shared" si="40"/>
        <v>491925000</v>
      </c>
      <c r="EC17" s="228">
        <f t="shared" si="41"/>
        <v>0</v>
      </c>
      <c r="ED17" s="208">
        <f t="shared" si="42"/>
        <v>52203.194444444445</v>
      </c>
      <c r="EE17" s="209">
        <f t="shared" si="43"/>
        <v>3.820328302078569E-2</v>
      </c>
      <c r="EG17" s="228">
        <f t="shared" si="44"/>
        <v>0</v>
      </c>
      <c r="EH17" s="208">
        <f t="shared" si="45"/>
        <v>0</v>
      </c>
      <c r="EI17" s="209">
        <f t="shared" si="46"/>
        <v>0</v>
      </c>
      <c r="EJ17" s="209"/>
      <c r="EK17" s="228">
        <f t="shared" si="47"/>
        <v>491925000</v>
      </c>
      <c r="EL17" s="228">
        <f t="shared" si="48"/>
        <v>0</v>
      </c>
      <c r="EM17" s="228">
        <f t="shared" si="49"/>
        <v>52203.194444444445</v>
      </c>
      <c r="EN17" s="209">
        <f t="shared" si="50"/>
        <v>3.820328302078569E-2</v>
      </c>
      <c r="EP17" s="208"/>
    </row>
    <row r="18" spans="1:146" x14ac:dyDescent="0.25">
      <c r="A18" s="222">
        <f t="shared" si="51"/>
        <v>46030</v>
      </c>
      <c r="B18" s="208">
        <v>0</v>
      </c>
      <c r="C18" s="209">
        <v>3.7999999999999999E-2</v>
      </c>
      <c r="D18" s="208">
        <f t="shared" si="0"/>
        <v>0</v>
      </c>
      <c r="G18" s="208">
        <f t="shared" si="1"/>
        <v>0</v>
      </c>
      <c r="J18" s="208">
        <f t="shared" si="2"/>
        <v>0</v>
      </c>
      <c r="M18" s="208">
        <f t="shared" si="3"/>
        <v>0</v>
      </c>
      <c r="P18" s="208">
        <f t="shared" si="4"/>
        <v>0</v>
      </c>
      <c r="S18" s="208">
        <f t="shared" si="5"/>
        <v>0</v>
      </c>
      <c r="V18" s="208">
        <f t="shared" si="6"/>
        <v>0</v>
      </c>
      <c r="Y18" s="208">
        <f t="shared" si="7"/>
        <v>0</v>
      </c>
      <c r="AB18" s="208">
        <f t="shared" si="8"/>
        <v>0</v>
      </c>
      <c r="AE18" s="208">
        <v>0</v>
      </c>
      <c r="AH18" s="208">
        <v>0</v>
      </c>
      <c r="AI18" s="223">
        <f>140000000+100000000+77750000</f>
        <v>317750000</v>
      </c>
      <c r="AJ18" s="224">
        <v>3.7999999999999999E-2</v>
      </c>
      <c r="AK18" s="208">
        <f t="shared" si="9"/>
        <v>33540.277777777781</v>
      </c>
      <c r="AL18" s="223">
        <f t="shared" si="52"/>
        <v>200000000</v>
      </c>
      <c r="AM18" s="224">
        <v>3.85E-2</v>
      </c>
      <c r="AN18" s="208">
        <f t="shared" si="10"/>
        <v>21388.888888888891</v>
      </c>
      <c r="AO18" s="223"/>
      <c r="AP18" s="224"/>
      <c r="AQ18" s="208">
        <f t="shared" si="11"/>
        <v>0</v>
      </c>
      <c r="AR18" s="223"/>
      <c r="AS18" s="224"/>
      <c r="AT18" s="208">
        <f t="shared" si="12"/>
        <v>0</v>
      </c>
      <c r="AW18" s="208">
        <f t="shared" si="13"/>
        <v>0</v>
      </c>
      <c r="AZ18" s="208">
        <f t="shared" si="14"/>
        <v>0</v>
      </c>
      <c r="BC18" s="208">
        <f t="shared" si="15"/>
        <v>0</v>
      </c>
      <c r="BF18" s="208">
        <f t="shared" si="16"/>
        <v>0</v>
      </c>
      <c r="BI18" s="208">
        <f t="shared" si="17"/>
        <v>0</v>
      </c>
      <c r="BL18" s="208">
        <f t="shared" si="18"/>
        <v>0</v>
      </c>
      <c r="BO18" s="208">
        <f t="shared" si="19"/>
        <v>0</v>
      </c>
      <c r="BR18" s="208">
        <f t="shared" si="20"/>
        <v>0</v>
      </c>
      <c r="BU18" s="208">
        <f t="shared" si="21"/>
        <v>0</v>
      </c>
      <c r="BX18" s="208">
        <f t="shared" si="22"/>
        <v>0</v>
      </c>
      <c r="CA18" s="208">
        <f t="shared" si="23"/>
        <v>0</v>
      </c>
      <c r="CD18" s="208">
        <f t="shared" si="24"/>
        <v>0</v>
      </c>
      <c r="CG18" s="208">
        <f t="shared" si="25"/>
        <v>0</v>
      </c>
      <c r="CJ18" s="208">
        <f t="shared" si="26"/>
        <v>0</v>
      </c>
      <c r="CM18" s="208">
        <f t="shared" si="27"/>
        <v>0</v>
      </c>
      <c r="CP18" s="208">
        <f t="shared" si="28"/>
        <v>0</v>
      </c>
      <c r="CS18" s="208">
        <f t="shared" si="29"/>
        <v>0</v>
      </c>
      <c r="CV18" s="208">
        <f t="shared" si="30"/>
        <v>0</v>
      </c>
      <c r="CY18" s="208">
        <f t="shared" si="31"/>
        <v>0</v>
      </c>
      <c r="DB18" s="208">
        <f t="shared" si="32"/>
        <v>0</v>
      </c>
      <c r="DE18" s="208">
        <f t="shared" si="33"/>
        <v>0</v>
      </c>
      <c r="DH18" s="208">
        <f t="shared" si="34"/>
        <v>0</v>
      </c>
      <c r="DK18" s="208">
        <f t="shared" si="35"/>
        <v>0</v>
      </c>
      <c r="DN18" s="208">
        <f t="shared" si="36"/>
        <v>0</v>
      </c>
      <c r="DQ18" s="208">
        <f t="shared" si="37"/>
        <v>0</v>
      </c>
      <c r="DT18" s="208">
        <f t="shared" si="38"/>
        <v>0</v>
      </c>
      <c r="DW18" s="208">
        <f t="shared" si="39"/>
        <v>0</v>
      </c>
      <c r="DZ18" s="208"/>
      <c r="EA18" s="208"/>
      <c r="EB18" s="228">
        <f t="shared" si="40"/>
        <v>517750000</v>
      </c>
      <c r="EC18" s="228">
        <f t="shared" si="41"/>
        <v>0</v>
      </c>
      <c r="ED18" s="208">
        <f t="shared" si="42"/>
        <v>54929.166666666672</v>
      </c>
      <c r="EE18" s="209">
        <f t="shared" si="43"/>
        <v>3.8193143408981167E-2</v>
      </c>
      <c r="EG18" s="228">
        <f t="shared" si="44"/>
        <v>0</v>
      </c>
      <c r="EH18" s="208">
        <f t="shared" si="45"/>
        <v>0</v>
      </c>
      <c r="EI18" s="209">
        <f t="shared" si="46"/>
        <v>0</v>
      </c>
      <c r="EJ18" s="209"/>
      <c r="EK18" s="228">
        <f t="shared" si="47"/>
        <v>517750000</v>
      </c>
      <c r="EL18" s="228">
        <f t="shared" si="48"/>
        <v>0</v>
      </c>
      <c r="EM18" s="228">
        <f t="shared" si="49"/>
        <v>54929.166666666672</v>
      </c>
      <c r="EN18" s="209">
        <f t="shared" si="50"/>
        <v>3.8193143408981167E-2</v>
      </c>
      <c r="EP18" s="208"/>
    </row>
    <row r="19" spans="1:146" x14ac:dyDescent="0.25">
      <c r="A19" s="222">
        <f t="shared" si="51"/>
        <v>46031</v>
      </c>
      <c r="B19" s="208">
        <v>0</v>
      </c>
      <c r="C19" s="209">
        <v>3.7999999999999999E-2</v>
      </c>
      <c r="D19" s="208">
        <f t="shared" si="0"/>
        <v>0</v>
      </c>
      <c r="G19" s="208">
        <f t="shared" si="1"/>
        <v>0</v>
      </c>
      <c r="J19" s="208">
        <f t="shared" si="2"/>
        <v>0</v>
      </c>
      <c r="M19" s="208">
        <f t="shared" si="3"/>
        <v>0</v>
      </c>
      <c r="P19" s="208">
        <f t="shared" si="4"/>
        <v>0</v>
      </c>
      <c r="S19" s="208">
        <f t="shared" si="5"/>
        <v>0</v>
      </c>
      <c r="V19" s="208">
        <f t="shared" si="6"/>
        <v>0</v>
      </c>
      <c r="Y19" s="208">
        <f t="shared" si="7"/>
        <v>0</v>
      </c>
      <c r="AB19" s="208">
        <f t="shared" si="8"/>
        <v>0</v>
      </c>
      <c r="AE19" s="208">
        <v>0</v>
      </c>
      <c r="AH19" s="208">
        <v>0</v>
      </c>
      <c r="AI19" s="223">
        <f>120000000+51850000+145000000</f>
        <v>316850000</v>
      </c>
      <c r="AJ19" s="224">
        <v>3.7999999999999999E-2</v>
      </c>
      <c r="AK19" s="208">
        <f t="shared" si="9"/>
        <v>33445.277777777781</v>
      </c>
      <c r="AL19" s="223">
        <f t="shared" si="52"/>
        <v>200000000</v>
      </c>
      <c r="AM19" s="224">
        <v>3.85E-2</v>
      </c>
      <c r="AN19" s="208">
        <f t="shared" si="10"/>
        <v>21388.888888888891</v>
      </c>
      <c r="AO19" s="223"/>
      <c r="AP19" s="224"/>
      <c r="AQ19" s="208">
        <f t="shared" si="11"/>
        <v>0</v>
      </c>
      <c r="AR19" s="223"/>
      <c r="AS19" s="224"/>
      <c r="AT19" s="208">
        <f t="shared" si="12"/>
        <v>0</v>
      </c>
      <c r="AW19" s="208">
        <f t="shared" si="13"/>
        <v>0</v>
      </c>
      <c r="AZ19" s="208">
        <f t="shared" si="14"/>
        <v>0</v>
      </c>
      <c r="BC19" s="208">
        <f t="shared" si="15"/>
        <v>0</v>
      </c>
      <c r="BF19" s="208">
        <f t="shared" si="16"/>
        <v>0</v>
      </c>
      <c r="BI19" s="208">
        <f t="shared" si="17"/>
        <v>0</v>
      </c>
      <c r="BL19" s="208">
        <f t="shared" si="18"/>
        <v>0</v>
      </c>
      <c r="BO19" s="208">
        <f t="shared" si="19"/>
        <v>0</v>
      </c>
      <c r="BR19" s="208">
        <f t="shared" si="20"/>
        <v>0</v>
      </c>
      <c r="BU19" s="208">
        <f t="shared" si="21"/>
        <v>0</v>
      </c>
      <c r="BX19" s="208">
        <f t="shared" si="22"/>
        <v>0</v>
      </c>
      <c r="CA19" s="208">
        <f t="shared" si="23"/>
        <v>0</v>
      </c>
      <c r="CD19" s="208">
        <f t="shared" si="24"/>
        <v>0</v>
      </c>
      <c r="CG19" s="208">
        <f t="shared" si="25"/>
        <v>0</v>
      </c>
      <c r="CJ19" s="208">
        <f t="shared" si="26"/>
        <v>0</v>
      </c>
      <c r="CM19" s="208">
        <f t="shared" si="27"/>
        <v>0</v>
      </c>
      <c r="CP19" s="208">
        <f t="shared" si="28"/>
        <v>0</v>
      </c>
      <c r="CS19" s="208">
        <f t="shared" si="29"/>
        <v>0</v>
      </c>
      <c r="CV19" s="208">
        <f t="shared" si="30"/>
        <v>0</v>
      </c>
      <c r="CY19" s="208">
        <f t="shared" si="31"/>
        <v>0</v>
      </c>
      <c r="DB19" s="208">
        <f t="shared" si="32"/>
        <v>0</v>
      </c>
      <c r="DE19" s="208">
        <f t="shared" si="33"/>
        <v>0</v>
      </c>
      <c r="DH19" s="208">
        <f t="shared" si="34"/>
        <v>0</v>
      </c>
      <c r="DK19" s="208">
        <f t="shared" si="35"/>
        <v>0</v>
      </c>
      <c r="DN19" s="208">
        <f t="shared" si="36"/>
        <v>0</v>
      </c>
      <c r="DQ19" s="208">
        <f t="shared" si="37"/>
        <v>0</v>
      </c>
      <c r="DT19" s="208">
        <f t="shared" si="38"/>
        <v>0</v>
      </c>
      <c r="DW19" s="208">
        <f t="shared" si="39"/>
        <v>0</v>
      </c>
      <c r="DZ19" s="208"/>
      <c r="EA19" s="208"/>
      <c r="EB19" s="228">
        <f t="shared" si="40"/>
        <v>516850000</v>
      </c>
      <c r="EC19" s="228">
        <f t="shared" si="41"/>
        <v>0</v>
      </c>
      <c r="ED19" s="208">
        <f t="shared" si="42"/>
        <v>54834.166666666672</v>
      </c>
      <c r="EE19" s="209">
        <f t="shared" si="43"/>
        <v>3.819347973299797E-2</v>
      </c>
      <c r="EG19" s="228">
        <f t="shared" si="44"/>
        <v>0</v>
      </c>
      <c r="EH19" s="208">
        <f t="shared" si="45"/>
        <v>0</v>
      </c>
      <c r="EI19" s="209">
        <f t="shared" si="46"/>
        <v>0</v>
      </c>
      <c r="EJ19" s="209"/>
      <c r="EK19" s="228">
        <f t="shared" si="47"/>
        <v>516850000</v>
      </c>
      <c r="EL19" s="228">
        <f t="shared" si="48"/>
        <v>0</v>
      </c>
      <c r="EM19" s="228">
        <f t="shared" si="49"/>
        <v>54834.166666666672</v>
      </c>
      <c r="EN19" s="209">
        <f t="shared" si="50"/>
        <v>3.819347973299797E-2</v>
      </c>
      <c r="EP19" s="208"/>
    </row>
    <row r="20" spans="1:146" x14ac:dyDescent="0.25">
      <c r="A20" s="222">
        <f t="shared" si="51"/>
        <v>46032</v>
      </c>
      <c r="B20" s="208">
        <v>0</v>
      </c>
      <c r="C20" s="209">
        <v>3.7999999999999999E-2</v>
      </c>
      <c r="D20" s="208">
        <f t="shared" si="0"/>
        <v>0</v>
      </c>
      <c r="G20" s="208">
        <f t="shared" si="1"/>
        <v>0</v>
      </c>
      <c r="J20" s="208">
        <f t="shared" si="2"/>
        <v>0</v>
      </c>
      <c r="M20" s="208">
        <f t="shared" si="3"/>
        <v>0</v>
      </c>
      <c r="P20" s="208">
        <f t="shared" si="4"/>
        <v>0</v>
      </c>
      <c r="S20" s="208">
        <f t="shared" si="5"/>
        <v>0</v>
      </c>
      <c r="V20" s="208">
        <f t="shared" si="6"/>
        <v>0</v>
      </c>
      <c r="Y20" s="208">
        <f t="shared" si="7"/>
        <v>0</v>
      </c>
      <c r="AB20" s="208">
        <f t="shared" si="8"/>
        <v>0</v>
      </c>
      <c r="AE20" s="208">
        <v>0</v>
      </c>
      <c r="AH20" s="208">
        <v>0</v>
      </c>
      <c r="AI20" s="223">
        <f>120000000+51850000+145000000</f>
        <v>316850000</v>
      </c>
      <c r="AJ20" s="224">
        <v>3.7999999999999999E-2</v>
      </c>
      <c r="AK20" s="208">
        <f t="shared" si="9"/>
        <v>33445.277777777781</v>
      </c>
      <c r="AL20" s="223">
        <f t="shared" si="52"/>
        <v>200000000</v>
      </c>
      <c r="AM20" s="224">
        <v>3.85E-2</v>
      </c>
      <c r="AN20" s="208">
        <f t="shared" si="10"/>
        <v>21388.888888888891</v>
      </c>
      <c r="AO20" s="223"/>
      <c r="AP20" s="224"/>
      <c r="AQ20" s="208">
        <f t="shared" si="11"/>
        <v>0</v>
      </c>
      <c r="AR20" s="223"/>
      <c r="AS20" s="224"/>
      <c r="AT20" s="208">
        <f t="shared" si="12"/>
        <v>0</v>
      </c>
      <c r="AW20" s="208">
        <f t="shared" si="13"/>
        <v>0</v>
      </c>
      <c r="AZ20" s="208">
        <f t="shared" si="14"/>
        <v>0</v>
      </c>
      <c r="BC20" s="208">
        <f t="shared" si="15"/>
        <v>0</v>
      </c>
      <c r="BF20" s="208">
        <f t="shared" si="16"/>
        <v>0</v>
      </c>
      <c r="BI20" s="208">
        <f t="shared" si="17"/>
        <v>0</v>
      </c>
      <c r="BL20" s="208">
        <f t="shared" si="18"/>
        <v>0</v>
      </c>
      <c r="BO20" s="208">
        <f t="shared" si="19"/>
        <v>0</v>
      </c>
      <c r="BR20" s="208">
        <f t="shared" si="20"/>
        <v>0</v>
      </c>
      <c r="BU20" s="208">
        <f t="shared" si="21"/>
        <v>0</v>
      </c>
      <c r="BX20" s="208">
        <f t="shared" si="22"/>
        <v>0</v>
      </c>
      <c r="CA20" s="208">
        <f t="shared" si="23"/>
        <v>0</v>
      </c>
      <c r="CD20" s="208">
        <f t="shared" si="24"/>
        <v>0</v>
      </c>
      <c r="CG20" s="208">
        <f t="shared" si="25"/>
        <v>0</v>
      </c>
      <c r="CJ20" s="208">
        <f t="shared" si="26"/>
        <v>0</v>
      </c>
      <c r="CM20" s="208">
        <f t="shared" si="27"/>
        <v>0</v>
      </c>
      <c r="CP20" s="208">
        <f t="shared" si="28"/>
        <v>0</v>
      </c>
      <c r="CS20" s="208">
        <f t="shared" si="29"/>
        <v>0</v>
      </c>
      <c r="CV20" s="208">
        <f t="shared" si="30"/>
        <v>0</v>
      </c>
      <c r="CY20" s="208">
        <f t="shared" si="31"/>
        <v>0</v>
      </c>
      <c r="DB20" s="208">
        <f t="shared" si="32"/>
        <v>0</v>
      </c>
      <c r="DE20" s="208">
        <f t="shared" si="33"/>
        <v>0</v>
      </c>
      <c r="DH20" s="208">
        <f t="shared" si="34"/>
        <v>0</v>
      </c>
      <c r="DK20" s="208">
        <f t="shared" si="35"/>
        <v>0</v>
      </c>
      <c r="DN20" s="208">
        <f t="shared" si="36"/>
        <v>0</v>
      </c>
      <c r="DQ20" s="208">
        <f t="shared" si="37"/>
        <v>0</v>
      </c>
      <c r="DT20" s="208">
        <f t="shared" si="38"/>
        <v>0</v>
      </c>
      <c r="DW20" s="208">
        <f t="shared" si="39"/>
        <v>0</v>
      </c>
      <c r="DZ20" s="208"/>
      <c r="EA20" s="208"/>
      <c r="EB20" s="228">
        <f t="shared" si="40"/>
        <v>516850000</v>
      </c>
      <c r="EC20" s="228">
        <f t="shared" si="41"/>
        <v>0</v>
      </c>
      <c r="ED20" s="208">
        <f t="shared" si="42"/>
        <v>54834.166666666672</v>
      </c>
      <c r="EE20" s="209">
        <f t="shared" si="43"/>
        <v>3.819347973299797E-2</v>
      </c>
      <c r="EG20" s="228">
        <f t="shared" si="44"/>
        <v>0</v>
      </c>
      <c r="EH20" s="208">
        <f t="shared" si="45"/>
        <v>0</v>
      </c>
      <c r="EI20" s="209">
        <f t="shared" si="46"/>
        <v>0</v>
      </c>
      <c r="EJ20" s="209"/>
      <c r="EK20" s="228">
        <f t="shared" si="47"/>
        <v>516850000</v>
      </c>
      <c r="EL20" s="228">
        <f t="shared" si="48"/>
        <v>0</v>
      </c>
      <c r="EM20" s="228">
        <f t="shared" si="49"/>
        <v>54834.166666666672</v>
      </c>
      <c r="EN20" s="209">
        <f t="shared" si="50"/>
        <v>3.819347973299797E-2</v>
      </c>
      <c r="EP20" s="208"/>
    </row>
    <row r="21" spans="1:146" x14ac:dyDescent="0.25">
      <c r="A21" s="222">
        <f t="shared" si="51"/>
        <v>46033</v>
      </c>
      <c r="B21" s="208">
        <v>0</v>
      </c>
      <c r="C21" s="209">
        <v>3.7999999999999999E-2</v>
      </c>
      <c r="D21" s="208">
        <f t="shared" si="0"/>
        <v>0</v>
      </c>
      <c r="G21" s="208">
        <f t="shared" si="1"/>
        <v>0</v>
      </c>
      <c r="J21" s="208">
        <f t="shared" si="2"/>
        <v>0</v>
      </c>
      <c r="M21" s="208">
        <f t="shared" si="3"/>
        <v>0</v>
      </c>
      <c r="P21" s="208">
        <f t="shared" si="4"/>
        <v>0</v>
      </c>
      <c r="S21" s="208">
        <f t="shared" si="5"/>
        <v>0</v>
      </c>
      <c r="V21" s="208">
        <f t="shared" si="6"/>
        <v>0</v>
      </c>
      <c r="Y21" s="208">
        <f t="shared" si="7"/>
        <v>0</v>
      </c>
      <c r="AB21" s="208">
        <f t="shared" si="8"/>
        <v>0</v>
      </c>
      <c r="AE21" s="208">
        <v>0</v>
      </c>
      <c r="AH21" s="208">
        <v>0</v>
      </c>
      <c r="AI21" s="223">
        <f>120000000+51850000+145000000</f>
        <v>316850000</v>
      </c>
      <c r="AJ21" s="224">
        <v>3.7999999999999999E-2</v>
      </c>
      <c r="AK21" s="208">
        <f t="shared" si="9"/>
        <v>33445.277777777781</v>
      </c>
      <c r="AL21" s="223">
        <f t="shared" si="52"/>
        <v>200000000</v>
      </c>
      <c r="AM21" s="224">
        <v>3.85E-2</v>
      </c>
      <c r="AN21" s="208">
        <f t="shared" si="10"/>
        <v>21388.888888888891</v>
      </c>
      <c r="AO21" s="223"/>
      <c r="AP21" s="224"/>
      <c r="AQ21" s="208">
        <f t="shared" si="11"/>
        <v>0</v>
      </c>
      <c r="AR21" s="223"/>
      <c r="AS21" s="224"/>
      <c r="AT21" s="208">
        <f t="shared" si="12"/>
        <v>0</v>
      </c>
      <c r="AW21" s="208">
        <f t="shared" si="13"/>
        <v>0</v>
      </c>
      <c r="AZ21" s="208">
        <f t="shared" si="14"/>
        <v>0</v>
      </c>
      <c r="BC21" s="208">
        <f t="shared" si="15"/>
        <v>0</v>
      </c>
      <c r="BF21" s="208">
        <f t="shared" si="16"/>
        <v>0</v>
      </c>
      <c r="BI21" s="208">
        <f t="shared" si="17"/>
        <v>0</v>
      </c>
      <c r="BL21" s="208">
        <f t="shared" si="18"/>
        <v>0</v>
      </c>
      <c r="BO21" s="208">
        <f t="shared" si="19"/>
        <v>0</v>
      </c>
      <c r="BR21" s="208">
        <f t="shared" si="20"/>
        <v>0</v>
      </c>
      <c r="BU21" s="208">
        <f t="shared" si="21"/>
        <v>0</v>
      </c>
      <c r="BX21" s="208">
        <f t="shared" si="22"/>
        <v>0</v>
      </c>
      <c r="CA21" s="208">
        <f t="shared" si="23"/>
        <v>0</v>
      </c>
      <c r="CD21" s="208">
        <f t="shared" si="24"/>
        <v>0</v>
      </c>
      <c r="CG21" s="208">
        <f t="shared" si="25"/>
        <v>0</v>
      </c>
      <c r="CJ21" s="208">
        <f t="shared" si="26"/>
        <v>0</v>
      </c>
      <c r="CM21" s="208">
        <f t="shared" si="27"/>
        <v>0</v>
      </c>
      <c r="CP21" s="208">
        <f t="shared" si="28"/>
        <v>0</v>
      </c>
      <c r="CS21" s="208">
        <f t="shared" si="29"/>
        <v>0</v>
      </c>
      <c r="CV21" s="208">
        <f t="shared" si="30"/>
        <v>0</v>
      </c>
      <c r="CY21" s="208">
        <f t="shared" si="31"/>
        <v>0</v>
      </c>
      <c r="DB21" s="208">
        <f t="shared" si="32"/>
        <v>0</v>
      </c>
      <c r="DE21" s="208">
        <f t="shared" si="33"/>
        <v>0</v>
      </c>
      <c r="DH21" s="208">
        <f t="shared" si="34"/>
        <v>0</v>
      </c>
      <c r="DK21" s="208">
        <f t="shared" si="35"/>
        <v>0</v>
      </c>
      <c r="DN21" s="208">
        <f t="shared" si="36"/>
        <v>0</v>
      </c>
      <c r="DQ21" s="208">
        <f t="shared" si="37"/>
        <v>0</v>
      </c>
      <c r="DT21" s="208">
        <f t="shared" si="38"/>
        <v>0</v>
      </c>
      <c r="DW21" s="208">
        <f t="shared" si="39"/>
        <v>0</v>
      </c>
      <c r="DZ21" s="208"/>
      <c r="EA21" s="208"/>
      <c r="EB21" s="228">
        <f t="shared" si="40"/>
        <v>516850000</v>
      </c>
      <c r="EC21" s="228">
        <f t="shared" si="41"/>
        <v>0</v>
      </c>
      <c r="ED21" s="208">
        <f t="shared" si="42"/>
        <v>54834.166666666672</v>
      </c>
      <c r="EE21" s="209">
        <f t="shared" si="43"/>
        <v>3.819347973299797E-2</v>
      </c>
      <c r="EG21" s="228">
        <f t="shared" si="44"/>
        <v>0</v>
      </c>
      <c r="EH21" s="208">
        <f t="shared" si="45"/>
        <v>0</v>
      </c>
      <c r="EI21" s="209">
        <f t="shared" si="46"/>
        <v>0</v>
      </c>
      <c r="EJ21" s="209"/>
      <c r="EK21" s="228">
        <f t="shared" si="47"/>
        <v>516850000</v>
      </c>
      <c r="EL21" s="228">
        <f t="shared" si="48"/>
        <v>0</v>
      </c>
      <c r="EM21" s="228">
        <f t="shared" si="49"/>
        <v>54834.166666666672</v>
      </c>
      <c r="EN21" s="209">
        <f t="shared" si="50"/>
        <v>3.819347973299797E-2</v>
      </c>
      <c r="EP21" s="208"/>
    </row>
    <row r="22" spans="1:146" x14ac:dyDescent="0.25">
      <c r="A22" s="222">
        <f t="shared" si="51"/>
        <v>46034</v>
      </c>
      <c r="B22" s="208">
        <v>0</v>
      </c>
      <c r="C22" s="209">
        <v>3.7999999999999999E-2</v>
      </c>
      <c r="D22" s="208">
        <f t="shared" si="0"/>
        <v>0</v>
      </c>
      <c r="G22" s="208">
        <f t="shared" si="1"/>
        <v>0</v>
      </c>
      <c r="J22" s="208">
        <f t="shared" si="2"/>
        <v>0</v>
      </c>
      <c r="M22" s="208">
        <f t="shared" si="3"/>
        <v>0</v>
      </c>
      <c r="P22" s="208">
        <f t="shared" si="4"/>
        <v>0</v>
      </c>
      <c r="S22" s="208">
        <f t="shared" si="5"/>
        <v>0</v>
      </c>
      <c r="V22" s="208">
        <f t="shared" si="6"/>
        <v>0</v>
      </c>
      <c r="Y22" s="208">
        <f t="shared" si="7"/>
        <v>0</v>
      </c>
      <c r="AB22" s="208">
        <f t="shared" si="8"/>
        <v>0</v>
      </c>
      <c r="AE22" s="208">
        <v>0</v>
      </c>
      <c r="AH22" s="208">
        <v>0</v>
      </c>
      <c r="AI22" s="223">
        <f>110000000+80000000+70475000+70000000</f>
        <v>330475000</v>
      </c>
      <c r="AJ22" s="224">
        <v>3.7999999999999999E-2</v>
      </c>
      <c r="AK22" s="208">
        <f t="shared" si="9"/>
        <v>34883.472222222219</v>
      </c>
      <c r="AL22" s="223">
        <f t="shared" si="52"/>
        <v>200000000</v>
      </c>
      <c r="AM22" s="224">
        <v>3.85E-2</v>
      </c>
      <c r="AN22" s="208">
        <f t="shared" si="10"/>
        <v>21388.888888888891</v>
      </c>
      <c r="AO22" s="223"/>
      <c r="AP22" s="224"/>
      <c r="AQ22" s="208">
        <f t="shared" si="11"/>
        <v>0</v>
      </c>
      <c r="AR22" s="223"/>
      <c r="AS22" s="224"/>
      <c r="AT22" s="208">
        <f t="shared" si="12"/>
        <v>0</v>
      </c>
      <c r="AW22" s="208">
        <f t="shared" si="13"/>
        <v>0</v>
      </c>
      <c r="AZ22" s="208">
        <f t="shared" si="14"/>
        <v>0</v>
      </c>
      <c r="BC22" s="208">
        <f t="shared" si="15"/>
        <v>0</v>
      </c>
      <c r="BF22" s="208">
        <f t="shared" si="16"/>
        <v>0</v>
      </c>
      <c r="BI22" s="208">
        <f t="shared" si="17"/>
        <v>0</v>
      </c>
      <c r="BL22" s="208">
        <f t="shared" si="18"/>
        <v>0</v>
      </c>
      <c r="BO22" s="208">
        <f t="shared" si="19"/>
        <v>0</v>
      </c>
      <c r="BR22" s="208">
        <f t="shared" si="20"/>
        <v>0</v>
      </c>
      <c r="BU22" s="208">
        <f t="shared" si="21"/>
        <v>0</v>
      </c>
      <c r="BX22" s="208">
        <f t="shared" si="22"/>
        <v>0</v>
      </c>
      <c r="CA22" s="208">
        <f t="shared" si="23"/>
        <v>0</v>
      </c>
      <c r="CD22" s="208">
        <f t="shared" si="24"/>
        <v>0</v>
      </c>
      <c r="CG22" s="208">
        <f t="shared" si="25"/>
        <v>0</v>
      </c>
      <c r="CJ22" s="208">
        <f t="shared" si="26"/>
        <v>0</v>
      </c>
      <c r="CM22" s="208">
        <f t="shared" si="27"/>
        <v>0</v>
      </c>
      <c r="CP22" s="208">
        <f t="shared" si="28"/>
        <v>0</v>
      </c>
      <c r="CS22" s="208">
        <f t="shared" si="29"/>
        <v>0</v>
      </c>
      <c r="CV22" s="208">
        <f t="shared" si="30"/>
        <v>0</v>
      </c>
      <c r="CY22" s="208">
        <f t="shared" si="31"/>
        <v>0</v>
      </c>
      <c r="DB22" s="208">
        <f t="shared" si="32"/>
        <v>0</v>
      </c>
      <c r="DE22" s="208">
        <f t="shared" si="33"/>
        <v>0</v>
      </c>
      <c r="DH22" s="208">
        <f t="shared" si="34"/>
        <v>0</v>
      </c>
      <c r="DK22" s="208">
        <f t="shared" si="35"/>
        <v>0</v>
      </c>
      <c r="DN22" s="208">
        <f t="shared" si="36"/>
        <v>0</v>
      </c>
      <c r="DQ22" s="208">
        <f t="shared" si="37"/>
        <v>0</v>
      </c>
      <c r="DT22" s="208">
        <f t="shared" si="38"/>
        <v>0</v>
      </c>
      <c r="DW22" s="208">
        <f t="shared" si="39"/>
        <v>0</v>
      </c>
      <c r="DZ22" s="208"/>
      <c r="EA22" s="208"/>
      <c r="EB22" s="228">
        <f t="shared" si="40"/>
        <v>530475000</v>
      </c>
      <c r="EC22" s="228">
        <f t="shared" si="41"/>
        <v>0</v>
      </c>
      <c r="ED22" s="208">
        <f t="shared" si="42"/>
        <v>56272.361111111109</v>
      </c>
      <c r="EE22" s="209">
        <f t="shared" si="43"/>
        <v>3.8188510297374988E-2</v>
      </c>
      <c r="EG22" s="228">
        <f t="shared" si="44"/>
        <v>0</v>
      </c>
      <c r="EH22" s="208">
        <f t="shared" si="45"/>
        <v>0</v>
      </c>
      <c r="EI22" s="209">
        <f t="shared" si="46"/>
        <v>0</v>
      </c>
      <c r="EJ22" s="209"/>
      <c r="EK22" s="228">
        <f t="shared" si="47"/>
        <v>530475000</v>
      </c>
      <c r="EL22" s="228">
        <f t="shared" si="48"/>
        <v>0</v>
      </c>
      <c r="EM22" s="228">
        <f t="shared" si="49"/>
        <v>56272.361111111109</v>
      </c>
      <c r="EN22" s="209">
        <f t="shared" si="50"/>
        <v>3.8188510297374988E-2</v>
      </c>
      <c r="EP22" s="208"/>
    </row>
    <row r="23" spans="1:146" x14ac:dyDescent="0.25">
      <c r="A23" s="222">
        <f t="shared" si="51"/>
        <v>46035</v>
      </c>
      <c r="B23" s="208">
        <v>0</v>
      </c>
      <c r="C23" s="209">
        <v>3.7999999999999999E-2</v>
      </c>
      <c r="D23" s="208">
        <f t="shared" si="0"/>
        <v>0</v>
      </c>
      <c r="G23" s="208">
        <f t="shared" si="1"/>
        <v>0</v>
      </c>
      <c r="J23" s="208">
        <f t="shared" si="2"/>
        <v>0</v>
      </c>
      <c r="M23" s="208">
        <f t="shared" si="3"/>
        <v>0</v>
      </c>
      <c r="P23" s="208">
        <f t="shared" si="4"/>
        <v>0</v>
      </c>
      <c r="S23" s="208">
        <f t="shared" si="5"/>
        <v>0</v>
      </c>
      <c r="V23" s="208">
        <f t="shared" si="6"/>
        <v>0</v>
      </c>
      <c r="Y23" s="208">
        <f t="shared" si="7"/>
        <v>0</v>
      </c>
      <c r="AB23" s="208">
        <f t="shared" si="8"/>
        <v>0</v>
      </c>
      <c r="AE23" s="208">
        <v>0</v>
      </c>
      <c r="AH23" s="208">
        <v>0</v>
      </c>
      <c r="AI23" s="223">
        <f>47250000+110000000+75000000+110000000</f>
        <v>342250000</v>
      </c>
      <c r="AJ23" s="224">
        <v>3.7999999999999999E-2</v>
      </c>
      <c r="AK23" s="208">
        <f t="shared" si="9"/>
        <v>36126.388888888891</v>
      </c>
      <c r="AL23" s="223"/>
      <c r="AM23" s="224"/>
      <c r="AN23" s="208">
        <f t="shared" si="10"/>
        <v>0</v>
      </c>
      <c r="AO23" s="223">
        <f t="shared" ref="AO23:AO29" si="53">185000000</f>
        <v>185000000</v>
      </c>
      <c r="AP23" s="224">
        <v>3.8300000000000001E-2</v>
      </c>
      <c r="AQ23" s="208">
        <f t="shared" si="11"/>
        <v>19681.944444444445</v>
      </c>
      <c r="AR23" s="223"/>
      <c r="AS23" s="224"/>
      <c r="AT23" s="208">
        <f t="shared" si="12"/>
        <v>0</v>
      </c>
      <c r="AW23" s="208">
        <f t="shared" si="13"/>
        <v>0</v>
      </c>
      <c r="AZ23" s="208">
        <f t="shared" si="14"/>
        <v>0</v>
      </c>
      <c r="BC23" s="208">
        <f t="shared" si="15"/>
        <v>0</v>
      </c>
      <c r="BF23" s="208">
        <f t="shared" si="16"/>
        <v>0</v>
      </c>
      <c r="BI23" s="208">
        <f t="shared" si="17"/>
        <v>0</v>
      </c>
      <c r="BL23" s="208">
        <f t="shared" si="18"/>
        <v>0</v>
      </c>
      <c r="BO23" s="208">
        <f t="shared" si="19"/>
        <v>0</v>
      </c>
      <c r="BR23" s="208">
        <f t="shared" si="20"/>
        <v>0</v>
      </c>
      <c r="BU23" s="208">
        <f t="shared" si="21"/>
        <v>0</v>
      </c>
      <c r="BX23" s="208">
        <f t="shared" si="22"/>
        <v>0</v>
      </c>
      <c r="CA23" s="208">
        <f t="shared" si="23"/>
        <v>0</v>
      </c>
      <c r="CD23" s="208">
        <f t="shared" si="24"/>
        <v>0</v>
      </c>
      <c r="CG23" s="208">
        <f t="shared" si="25"/>
        <v>0</v>
      </c>
      <c r="CJ23" s="208">
        <f t="shared" si="26"/>
        <v>0</v>
      </c>
      <c r="CM23" s="208">
        <f t="shared" si="27"/>
        <v>0</v>
      </c>
      <c r="CP23" s="208">
        <f t="shared" si="28"/>
        <v>0</v>
      </c>
      <c r="CS23" s="208">
        <f t="shared" si="29"/>
        <v>0</v>
      </c>
      <c r="CV23" s="208">
        <f t="shared" si="30"/>
        <v>0</v>
      </c>
      <c r="CY23" s="208">
        <f t="shared" si="31"/>
        <v>0</v>
      </c>
      <c r="DB23" s="208">
        <f t="shared" si="32"/>
        <v>0</v>
      </c>
      <c r="DE23" s="208">
        <f t="shared" si="33"/>
        <v>0</v>
      </c>
      <c r="DH23" s="208">
        <f t="shared" si="34"/>
        <v>0</v>
      </c>
      <c r="DK23" s="208">
        <f t="shared" si="35"/>
        <v>0</v>
      </c>
      <c r="DN23" s="208">
        <f t="shared" si="36"/>
        <v>0</v>
      </c>
      <c r="DQ23" s="208">
        <f t="shared" si="37"/>
        <v>0</v>
      </c>
      <c r="DT23" s="208">
        <f t="shared" si="38"/>
        <v>0</v>
      </c>
      <c r="DW23" s="208">
        <f t="shared" si="39"/>
        <v>0</v>
      </c>
      <c r="DZ23" s="208"/>
      <c r="EA23" s="208"/>
      <c r="EB23" s="228">
        <f t="shared" si="40"/>
        <v>527250000</v>
      </c>
      <c r="EC23" s="228">
        <f t="shared" si="41"/>
        <v>0</v>
      </c>
      <c r="ED23" s="208">
        <f t="shared" si="42"/>
        <v>55808.333333333336</v>
      </c>
      <c r="EE23" s="209">
        <f t="shared" si="43"/>
        <v>3.8105263157894739E-2</v>
      </c>
      <c r="EG23" s="228">
        <f t="shared" si="44"/>
        <v>0</v>
      </c>
      <c r="EH23" s="208">
        <f t="shared" si="45"/>
        <v>0</v>
      </c>
      <c r="EI23" s="209">
        <f t="shared" si="46"/>
        <v>0</v>
      </c>
      <c r="EJ23" s="209"/>
      <c r="EK23" s="228">
        <f t="shared" si="47"/>
        <v>527250000</v>
      </c>
      <c r="EL23" s="228">
        <f t="shared" si="48"/>
        <v>0</v>
      </c>
      <c r="EM23" s="228">
        <f t="shared" si="49"/>
        <v>55808.333333333336</v>
      </c>
      <c r="EN23" s="209">
        <f t="shared" si="50"/>
        <v>3.8105263157894739E-2</v>
      </c>
      <c r="EP23" s="208"/>
    </row>
    <row r="24" spans="1:146" x14ac:dyDescent="0.25">
      <c r="A24" s="222">
        <f t="shared" si="51"/>
        <v>46036</v>
      </c>
      <c r="B24" s="208">
        <v>0</v>
      </c>
      <c r="C24" s="209">
        <v>3.7999999999999999E-2</v>
      </c>
      <c r="D24" s="208">
        <f t="shared" si="0"/>
        <v>0</v>
      </c>
      <c r="G24" s="208">
        <f t="shared" si="1"/>
        <v>0</v>
      </c>
      <c r="J24" s="208">
        <f t="shared" si="2"/>
        <v>0</v>
      </c>
      <c r="M24" s="208">
        <f t="shared" si="3"/>
        <v>0</v>
      </c>
      <c r="P24" s="208">
        <f t="shared" si="4"/>
        <v>0</v>
      </c>
      <c r="S24" s="208">
        <f t="shared" si="5"/>
        <v>0</v>
      </c>
      <c r="V24" s="208">
        <f t="shared" si="6"/>
        <v>0</v>
      </c>
      <c r="Y24" s="208">
        <f t="shared" si="7"/>
        <v>0</v>
      </c>
      <c r="AB24" s="208">
        <f t="shared" si="8"/>
        <v>0</v>
      </c>
      <c r="AE24" s="208">
        <v>0</v>
      </c>
      <c r="AH24" s="208">
        <v>0</v>
      </c>
      <c r="AI24" s="223">
        <f>50000000+125000000+100000000+71725000</f>
        <v>346725000</v>
      </c>
      <c r="AJ24" s="224">
        <v>3.7999999999999999E-2</v>
      </c>
      <c r="AK24" s="208">
        <f t="shared" si="9"/>
        <v>36598.75</v>
      </c>
      <c r="AL24" s="223"/>
      <c r="AM24" s="224"/>
      <c r="AN24" s="208">
        <f t="shared" si="10"/>
        <v>0</v>
      </c>
      <c r="AO24" s="223">
        <f t="shared" si="53"/>
        <v>185000000</v>
      </c>
      <c r="AP24" s="224">
        <v>3.8300000000000001E-2</v>
      </c>
      <c r="AQ24" s="208">
        <f t="shared" si="11"/>
        <v>19681.944444444445</v>
      </c>
      <c r="AR24" s="223"/>
      <c r="AS24" s="224"/>
      <c r="AT24" s="208">
        <f t="shared" si="12"/>
        <v>0</v>
      </c>
      <c r="AW24" s="208">
        <f t="shared" si="13"/>
        <v>0</v>
      </c>
      <c r="AZ24" s="208">
        <f t="shared" si="14"/>
        <v>0</v>
      </c>
      <c r="BC24" s="208">
        <f t="shared" si="15"/>
        <v>0</v>
      </c>
      <c r="BF24" s="208">
        <f t="shared" si="16"/>
        <v>0</v>
      </c>
      <c r="BI24" s="208">
        <f t="shared" si="17"/>
        <v>0</v>
      </c>
      <c r="BL24" s="208">
        <f t="shared" si="18"/>
        <v>0</v>
      </c>
      <c r="BO24" s="208">
        <f t="shared" si="19"/>
        <v>0</v>
      </c>
      <c r="BR24" s="208">
        <f t="shared" si="20"/>
        <v>0</v>
      </c>
      <c r="BU24" s="208">
        <f t="shared" si="21"/>
        <v>0</v>
      </c>
      <c r="BX24" s="208">
        <f t="shared" si="22"/>
        <v>0</v>
      </c>
      <c r="CA24" s="208">
        <f t="shared" si="23"/>
        <v>0</v>
      </c>
      <c r="CD24" s="208">
        <f t="shared" si="24"/>
        <v>0</v>
      </c>
      <c r="CG24" s="208">
        <f t="shared" si="25"/>
        <v>0</v>
      </c>
      <c r="CJ24" s="208">
        <f t="shared" si="26"/>
        <v>0</v>
      </c>
      <c r="CM24" s="208">
        <f t="shared" si="27"/>
        <v>0</v>
      </c>
      <c r="CP24" s="208">
        <f t="shared" si="28"/>
        <v>0</v>
      </c>
      <c r="CS24" s="208">
        <f t="shared" si="29"/>
        <v>0</v>
      </c>
      <c r="CV24" s="208">
        <f t="shared" si="30"/>
        <v>0</v>
      </c>
      <c r="CY24" s="208">
        <f t="shared" si="31"/>
        <v>0</v>
      </c>
      <c r="DB24" s="208">
        <f t="shared" si="32"/>
        <v>0</v>
      </c>
      <c r="DE24" s="208">
        <f t="shared" si="33"/>
        <v>0</v>
      </c>
      <c r="DH24" s="208">
        <f t="shared" si="34"/>
        <v>0</v>
      </c>
      <c r="DK24" s="208">
        <f t="shared" si="35"/>
        <v>0</v>
      </c>
      <c r="DN24" s="208">
        <f t="shared" si="36"/>
        <v>0</v>
      </c>
      <c r="DQ24" s="208">
        <f t="shared" si="37"/>
        <v>0</v>
      </c>
      <c r="DT24" s="208">
        <f t="shared" si="38"/>
        <v>0</v>
      </c>
      <c r="DW24" s="208">
        <f t="shared" si="39"/>
        <v>0</v>
      </c>
      <c r="DZ24" s="208"/>
      <c r="EA24" s="208"/>
      <c r="EB24" s="228">
        <f t="shared" si="40"/>
        <v>531725000</v>
      </c>
      <c r="EC24" s="228">
        <f t="shared" si="41"/>
        <v>0</v>
      </c>
      <c r="ED24" s="208">
        <f t="shared" si="42"/>
        <v>56280.694444444445</v>
      </c>
      <c r="EE24" s="209">
        <f t="shared" si="43"/>
        <v>3.810437726268278E-2</v>
      </c>
      <c r="EG24" s="228">
        <f t="shared" si="44"/>
        <v>0</v>
      </c>
      <c r="EH24" s="208">
        <f t="shared" si="45"/>
        <v>0</v>
      </c>
      <c r="EI24" s="209">
        <f t="shared" si="46"/>
        <v>0</v>
      </c>
      <c r="EJ24" s="209"/>
      <c r="EK24" s="228">
        <f t="shared" si="47"/>
        <v>531725000</v>
      </c>
      <c r="EL24" s="228">
        <f t="shared" si="48"/>
        <v>0</v>
      </c>
      <c r="EM24" s="228">
        <f t="shared" si="49"/>
        <v>56280.694444444445</v>
      </c>
      <c r="EN24" s="209">
        <f t="shared" si="50"/>
        <v>3.810437726268278E-2</v>
      </c>
      <c r="EP24" s="208"/>
    </row>
    <row r="25" spans="1:146" x14ac:dyDescent="0.25">
      <c r="A25" s="222">
        <f t="shared" si="51"/>
        <v>46037</v>
      </c>
      <c r="B25" s="208">
        <v>0</v>
      </c>
      <c r="C25" s="209">
        <v>3.7999999999999999E-2</v>
      </c>
      <c r="D25" s="208">
        <f t="shared" si="0"/>
        <v>0</v>
      </c>
      <c r="G25" s="208">
        <f t="shared" si="1"/>
        <v>0</v>
      </c>
      <c r="J25" s="208">
        <f t="shared" si="2"/>
        <v>0</v>
      </c>
      <c r="M25" s="208">
        <f t="shared" si="3"/>
        <v>0</v>
      </c>
      <c r="P25" s="208">
        <f t="shared" si="4"/>
        <v>0</v>
      </c>
      <c r="S25" s="208">
        <f t="shared" si="5"/>
        <v>0</v>
      </c>
      <c r="V25" s="208">
        <f t="shared" si="6"/>
        <v>0</v>
      </c>
      <c r="Y25" s="208">
        <f t="shared" si="7"/>
        <v>0</v>
      </c>
      <c r="AB25" s="208">
        <f t="shared" si="8"/>
        <v>0</v>
      </c>
      <c r="AE25" s="208">
        <v>0</v>
      </c>
      <c r="AH25" s="208">
        <v>0</v>
      </c>
      <c r="AI25" s="223">
        <f>90000000+90000000+100000000+78075000</f>
        <v>358075000</v>
      </c>
      <c r="AJ25" s="224">
        <v>3.7999999999999999E-2</v>
      </c>
      <c r="AK25" s="208">
        <f t="shared" si="9"/>
        <v>37796.805555555555</v>
      </c>
      <c r="AL25" s="223"/>
      <c r="AM25" s="224"/>
      <c r="AN25" s="208">
        <f t="shared" si="10"/>
        <v>0</v>
      </c>
      <c r="AO25" s="223">
        <f t="shared" si="53"/>
        <v>185000000</v>
      </c>
      <c r="AP25" s="224">
        <v>3.8300000000000001E-2</v>
      </c>
      <c r="AQ25" s="208">
        <f t="shared" si="11"/>
        <v>19681.944444444445</v>
      </c>
      <c r="AR25" s="223"/>
      <c r="AS25" s="224"/>
      <c r="AT25" s="208">
        <f t="shared" si="12"/>
        <v>0</v>
      </c>
      <c r="AW25" s="208">
        <f t="shared" si="13"/>
        <v>0</v>
      </c>
      <c r="AZ25" s="208">
        <f t="shared" si="14"/>
        <v>0</v>
      </c>
      <c r="BC25" s="208">
        <f t="shared" si="15"/>
        <v>0</v>
      </c>
      <c r="BF25" s="208">
        <f t="shared" si="16"/>
        <v>0</v>
      </c>
      <c r="BI25" s="208">
        <f t="shared" si="17"/>
        <v>0</v>
      </c>
      <c r="BL25" s="208">
        <f t="shared" si="18"/>
        <v>0</v>
      </c>
      <c r="BO25" s="208">
        <f t="shared" si="19"/>
        <v>0</v>
      </c>
      <c r="BR25" s="208">
        <f t="shared" si="20"/>
        <v>0</v>
      </c>
      <c r="BU25" s="208">
        <f t="shared" si="21"/>
        <v>0</v>
      </c>
      <c r="BX25" s="208">
        <f t="shared" si="22"/>
        <v>0</v>
      </c>
      <c r="CA25" s="208">
        <f t="shared" si="23"/>
        <v>0</v>
      </c>
      <c r="CD25" s="208">
        <f t="shared" si="24"/>
        <v>0</v>
      </c>
      <c r="CG25" s="208">
        <f t="shared" si="25"/>
        <v>0</v>
      </c>
      <c r="CJ25" s="208">
        <f t="shared" si="26"/>
        <v>0</v>
      </c>
      <c r="CM25" s="208">
        <f t="shared" si="27"/>
        <v>0</v>
      </c>
      <c r="CP25" s="208">
        <f t="shared" si="28"/>
        <v>0</v>
      </c>
      <c r="CS25" s="208">
        <f t="shared" si="29"/>
        <v>0</v>
      </c>
      <c r="CV25" s="208">
        <f t="shared" si="30"/>
        <v>0</v>
      </c>
      <c r="CY25" s="208">
        <f t="shared" si="31"/>
        <v>0</v>
      </c>
      <c r="DB25" s="208">
        <f t="shared" si="32"/>
        <v>0</v>
      </c>
      <c r="DE25" s="208">
        <f t="shared" si="33"/>
        <v>0</v>
      </c>
      <c r="DH25" s="208">
        <f t="shared" si="34"/>
        <v>0</v>
      </c>
      <c r="DK25" s="208">
        <f t="shared" si="35"/>
        <v>0</v>
      </c>
      <c r="DN25" s="208">
        <f t="shared" si="36"/>
        <v>0</v>
      </c>
      <c r="DQ25" s="208">
        <f t="shared" si="37"/>
        <v>0</v>
      </c>
      <c r="DT25" s="208">
        <f t="shared" si="38"/>
        <v>0</v>
      </c>
      <c r="DW25" s="208">
        <f t="shared" si="39"/>
        <v>0</v>
      </c>
      <c r="DZ25" s="208"/>
      <c r="EA25" s="208"/>
      <c r="EB25" s="228">
        <f t="shared" si="40"/>
        <v>543075000</v>
      </c>
      <c r="EC25" s="228">
        <f t="shared" si="41"/>
        <v>0</v>
      </c>
      <c r="ED25" s="208">
        <f t="shared" si="42"/>
        <v>57478.75</v>
      </c>
      <c r="EE25" s="209">
        <f t="shared" si="43"/>
        <v>3.8102195829305345E-2</v>
      </c>
      <c r="EG25" s="228">
        <f t="shared" si="44"/>
        <v>0</v>
      </c>
      <c r="EH25" s="208">
        <f t="shared" si="45"/>
        <v>0</v>
      </c>
      <c r="EI25" s="209">
        <f t="shared" si="46"/>
        <v>0</v>
      </c>
      <c r="EJ25" s="209"/>
      <c r="EK25" s="228">
        <f t="shared" si="47"/>
        <v>543075000</v>
      </c>
      <c r="EL25" s="228">
        <f t="shared" si="48"/>
        <v>0</v>
      </c>
      <c r="EM25" s="228">
        <f t="shared" si="49"/>
        <v>57478.75</v>
      </c>
      <c r="EN25" s="209">
        <f t="shared" si="50"/>
        <v>3.8102195829305345E-2</v>
      </c>
      <c r="EP25" s="208"/>
    </row>
    <row r="26" spans="1:146" x14ac:dyDescent="0.25">
      <c r="A26" s="222">
        <f t="shared" si="51"/>
        <v>46038</v>
      </c>
      <c r="B26" s="208">
        <v>0</v>
      </c>
      <c r="C26" s="209">
        <v>3.7999999999999999E-2</v>
      </c>
      <c r="D26" s="208">
        <f t="shared" si="0"/>
        <v>0</v>
      </c>
      <c r="G26" s="208">
        <f t="shared" si="1"/>
        <v>0</v>
      </c>
      <c r="J26" s="208">
        <f t="shared" si="2"/>
        <v>0</v>
      </c>
      <c r="M26" s="208">
        <f t="shared" si="3"/>
        <v>0</v>
      </c>
      <c r="P26" s="208">
        <f t="shared" si="4"/>
        <v>0</v>
      </c>
      <c r="S26" s="208">
        <f t="shared" si="5"/>
        <v>0</v>
      </c>
      <c r="V26" s="208">
        <f t="shared" si="6"/>
        <v>0</v>
      </c>
      <c r="Y26" s="208">
        <f t="shared" si="7"/>
        <v>0</v>
      </c>
      <c r="AB26" s="208">
        <f t="shared" si="8"/>
        <v>0</v>
      </c>
      <c r="AE26" s="208">
        <v>0</v>
      </c>
      <c r="AH26" s="208">
        <v>0</v>
      </c>
      <c r="AI26" s="223">
        <f>150000000+50000000+75000000+92050000</f>
        <v>367050000</v>
      </c>
      <c r="AJ26" s="224">
        <v>3.7999999999999999E-2</v>
      </c>
      <c r="AK26" s="208">
        <f t="shared" si="9"/>
        <v>38744.166666666664</v>
      </c>
      <c r="AL26" s="223"/>
      <c r="AM26" s="224"/>
      <c r="AN26" s="208">
        <f t="shared" si="10"/>
        <v>0</v>
      </c>
      <c r="AO26" s="223">
        <f t="shared" si="53"/>
        <v>185000000</v>
      </c>
      <c r="AP26" s="224">
        <v>3.8300000000000001E-2</v>
      </c>
      <c r="AQ26" s="208">
        <f t="shared" si="11"/>
        <v>19681.944444444445</v>
      </c>
      <c r="AR26" s="223"/>
      <c r="AS26" s="224"/>
      <c r="AT26" s="208">
        <f t="shared" si="12"/>
        <v>0</v>
      </c>
      <c r="AW26" s="208">
        <f t="shared" si="13"/>
        <v>0</v>
      </c>
      <c r="AZ26" s="208">
        <f t="shared" si="14"/>
        <v>0</v>
      </c>
      <c r="BC26" s="208">
        <f t="shared" si="15"/>
        <v>0</v>
      </c>
      <c r="BF26" s="208">
        <f t="shared" si="16"/>
        <v>0</v>
      </c>
      <c r="BI26" s="208">
        <f t="shared" si="17"/>
        <v>0</v>
      </c>
      <c r="BL26" s="208">
        <f t="shared" si="18"/>
        <v>0</v>
      </c>
      <c r="BO26" s="208">
        <f t="shared" si="19"/>
        <v>0</v>
      </c>
      <c r="BR26" s="208">
        <f t="shared" si="20"/>
        <v>0</v>
      </c>
      <c r="BU26" s="208">
        <f t="shared" si="21"/>
        <v>0</v>
      </c>
      <c r="BX26" s="208">
        <f t="shared" si="22"/>
        <v>0</v>
      </c>
      <c r="CA26" s="208">
        <f t="shared" si="23"/>
        <v>0</v>
      </c>
      <c r="CD26" s="208">
        <f t="shared" si="24"/>
        <v>0</v>
      </c>
      <c r="CG26" s="208">
        <f t="shared" si="25"/>
        <v>0</v>
      </c>
      <c r="CJ26" s="208">
        <f t="shared" si="26"/>
        <v>0</v>
      </c>
      <c r="CM26" s="208">
        <f t="shared" si="27"/>
        <v>0</v>
      </c>
      <c r="CP26" s="208">
        <f t="shared" si="28"/>
        <v>0</v>
      </c>
      <c r="CS26" s="208">
        <f t="shared" si="29"/>
        <v>0</v>
      </c>
      <c r="CV26" s="208">
        <f t="shared" si="30"/>
        <v>0</v>
      </c>
      <c r="CY26" s="208">
        <f t="shared" si="31"/>
        <v>0</v>
      </c>
      <c r="DB26" s="208">
        <f t="shared" si="32"/>
        <v>0</v>
      </c>
      <c r="DE26" s="208">
        <f t="shared" si="33"/>
        <v>0</v>
      </c>
      <c r="DH26" s="208">
        <f t="shared" si="34"/>
        <v>0</v>
      </c>
      <c r="DK26" s="208">
        <f t="shared" si="35"/>
        <v>0</v>
      </c>
      <c r="DN26" s="208">
        <f t="shared" si="36"/>
        <v>0</v>
      </c>
      <c r="DQ26" s="208">
        <f t="shared" si="37"/>
        <v>0</v>
      </c>
      <c r="DT26" s="208">
        <f t="shared" si="38"/>
        <v>0</v>
      </c>
      <c r="DW26" s="208">
        <f t="shared" si="39"/>
        <v>0</v>
      </c>
      <c r="DZ26" s="208"/>
      <c r="EA26" s="208"/>
      <c r="EB26" s="228">
        <f t="shared" si="40"/>
        <v>552050000</v>
      </c>
      <c r="EC26" s="228">
        <f t="shared" si="41"/>
        <v>0</v>
      </c>
      <c r="ED26" s="208">
        <f t="shared" si="42"/>
        <v>58426.111111111109</v>
      </c>
      <c r="EE26" s="209">
        <f t="shared" si="43"/>
        <v>3.8100534371886603E-2</v>
      </c>
      <c r="EG26" s="228">
        <f t="shared" si="44"/>
        <v>0</v>
      </c>
      <c r="EH26" s="208">
        <f t="shared" si="45"/>
        <v>0</v>
      </c>
      <c r="EI26" s="209">
        <f t="shared" si="46"/>
        <v>0</v>
      </c>
      <c r="EJ26" s="209"/>
      <c r="EK26" s="228">
        <f t="shared" si="47"/>
        <v>552050000</v>
      </c>
      <c r="EL26" s="228">
        <f t="shared" si="48"/>
        <v>0</v>
      </c>
      <c r="EM26" s="228">
        <f t="shared" si="49"/>
        <v>58426.111111111109</v>
      </c>
      <c r="EN26" s="209">
        <f t="shared" si="50"/>
        <v>3.8100534371886603E-2</v>
      </c>
      <c r="EP26" s="208"/>
    </row>
    <row r="27" spans="1:146" x14ac:dyDescent="0.25">
      <c r="A27" s="222">
        <f t="shared" si="51"/>
        <v>46039</v>
      </c>
      <c r="B27" s="208">
        <v>0</v>
      </c>
      <c r="C27" s="209">
        <v>3.7999999999999999E-2</v>
      </c>
      <c r="D27" s="208">
        <f t="shared" si="0"/>
        <v>0</v>
      </c>
      <c r="G27" s="208">
        <f t="shared" si="1"/>
        <v>0</v>
      </c>
      <c r="J27" s="208">
        <f t="shared" si="2"/>
        <v>0</v>
      </c>
      <c r="M27" s="208">
        <f t="shared" si="3"/>
        <v>0</v>
      </c>
      <c r="P27" s="208">
        <f t="shared" si="4"/>
        <v>0</v>
      </c>
      <c r="S27" s="208">
        <f t="shared" si="5"/>
        <v>0</v>
      </c>
      <c r="V27" s="208">
        <f t="shared" si="6"/>
        <v>0</v>
      </c>
      <c r="Y27" s="208">
        <f t="shared" si="7"/>
        <v>0</v>
      </c>
      <c r="AB27" s="208">
        <f t="shared" si="8"/>
        <v>0</v>
      </c>
      <c r="AE27" s="208">
        <v>0</v>
      </c>
      <c r="AH27" s="208">
        <v>0</v>
      </c>
      <c r="AI27" s="223">
        <f>150000000+50000000+75000000+92050000</f>
        <v>367050000</v>
      </c>
      <c r="AJ27" s="224">
        <v>3.7999999999999999E-2</v>
      </c>
      <c r="AK27" s="208">
        <f t="shared" si="9"/>
        <v>38744.166666666664</v>
      </c>
      <c r="AL27" s="223"/>
      <c r="AM27" s="224"/>
      <c r="AN27" s="208">
        <f t="shared" si="10"/>
        <v>0</v>
      </c>
      <c r="AO27" s="223">
        <f t="shared" si="53"/>
        <v>185000000</v>
      </c>
      <c r="AP27" s="224">
        <v>3.8300000000000001E-2</v>
      </c>
      <c r="AQ27" s="208">
        <f t="shared" si="11"/>
        <v>19681.944444444445</v>
      </c>
      <c r="AR27" s="223"/>
      <c r="AS27" s="224"/>
      <c r="AT27" s="208">
        <f t="shared" si="12"/>
        <v>0</v>
      </c>
      <c r="AW27" s="208">
        <f t="shared" si="13"/>
        <v>0</v>
      </c>
      <c r="AZ27" s="208">
        <f t="shared" si="14"/>
        <v>0</v>
      </c>
      <c r="BC27" s="208">
        <f t="shared" si="15"/>
        <v>0</v>
      </c>
      <c r="BF27" s="208">
        <f t="shared" si="16"/>
        <v>0</v>
      </c>
      <c r="BI27" s="208">
        <f t="shared" si="17"/>
        <v>0</v>
      </c>
      <c r="BL27" s="208">
        <f t="shared" si="18"/>
        <v>0</v>
      </c>
      <c r="BO27" s="208">
        <f t="shared" si="19"/>
        <v>0</v>
      </c>
      <c r="BR27" s="208">
        <f t="shared" si="20"/>
        <v>0</v>
      </c>
      <c r="BU27" s="208">
        <f t="shared" si="21"/>
        <v>0</v>
      </c>
      <c r="BX27" s="208">
        <f t="shared" si="22"/>
        <v>0</v>
      </c>
      <c r="CA27" s="208">
        <f t="shared" si="23"/>
        <v>0</v>
      </c>
      <c r="CD27" s="208">
        <f t="shared" si="24"/>
        <v>0</v>
      </c>
      <c r="CG27" s="208">
        <f t="shared" si="25"/>
        <v>0</v>
      </c>
      <c r="CJ27" s="208">
        <f t="shared" si="26"/>
        <v>0</v>
      </c>
      <c r="CM27" s="208">
        <f t="shared" si="27"/>
        <v>0</v>
      </c>
      <c r="CP27" s="208">
        <f t="shared" si="28"/>
        <v>0</v>
      </c>
      <c r="CS27" s="208">
        <f t="shared" si="29"/>
        <v>0</v>
      </c>
      <c r="CV27" s="208">
        <f t="shared" si="30"/>
        <v>0</v>
      </c>
      <c r="CY27" s="208">
        <f t="shared" si="31"/>
        <v>0</v>
      </c>
      <c r="DB27" s="208">
        <f t="shared" si="32"/>
        <v>0</v>
      </c>
      <c r="DE27" s="208">
        <f t="shared" si="33"/>
        <v>0</v>
      </c>
      <c r="DH27" s="208">
        <f t="shared" si="34"/>
        <v>0</v>
      </c>
      <c r="DK27" s="208">
        <f t="shared" si="35"/>
        <v>0</v>
      </c>
      <c r="DN27" s="208">
        <f t="shared" si="36"/>
        <v>0</v>
      </c>
      <c r="DQ27" s="208">
        <f t="shared" si="37"/>
        <v>0</v>
      </c>
      <c r="DT27" s="208">
        <f t="shared" si="38"/>
        <v>0</v>
      </c>
      <c r="DW27" s="208">
        <f t="shared" si="39"/>
        <v>0</v>
      </c>
      <c r="DZ27" s="208"/>
      <c r="EA27" s="208"/>
      <c r="EB27" s="228">
        <f t="shared" si="40"/>
        <v>552050000</v>
      </c>
      <c r="EC27" s="228">
        <f t="shared" si="41"/>
        <v>0</v>
      </c>
      <c r="ED27" s="208">
        <f t="shared" si="42"/>
        <v>58426.111111111109</v>
      </c>
      <c r="EE27" s="209">
        <f t="shared" si="43"/>
        <v>3.8100534371886603E-2</v>
      </c>
      <c r="EG27" s="228">
        <f t="shared" si="44"/>
        <v>0</v>
      </c>
      <c r="EH27" s="208">
        <f t="shared" si="45"/>
        <v>0</v>
      </c>
      <c r="EI27" s="209">
        <f t="shared" si="46"/>
        <v>0</v>
      </c>
      <c r="EJ27" s="209"/>
      <c r="EK27" s="228">
        <f t="shared" si="47"/>
        <v>552050000</v>
      </c>
      <c r="EL27" s="228">
        <f t="shared" si="48"/>
        <v>0</v>
      </c>
      <c r="EM27" s="228">
        <f t="shared" si="49"/>
        <v>58426.111111111109</v>
      </c>
      <c r="EN27" s="209">
        <f t="shared" si="50"/>
        <v>3.8100534371886603E-2</v>
      </c>
      <c r="EP27" s="208"/>
    </row>
    <row r="28" spans="1:146" x14ac:dyDescent="0.25">
      <c r="A28" s="222">
        <f t="shared" si="51"/>
        <v>46040</v>
      </c>
      <c r="B28" s="208">
        <v>0</v>
      </c>
      <c r="C28" s="209">
        <v>3.7999999999999999E-2</v>
      </c>
      <c r="D28" s="208">
        <f t="shared" si="0"/>
        <v>0</v>
      </c>
      <c r="G28" s="208">
        <f t="shared" si="1"/>
        <v>0</v>
      </c>
      <c r="J28" s="208">
        <f t="shared" si="2"/>
        <v>0</v>
      </c>
      <c r="M28" s="208">
        <f t="shared" si="3"/>
        <v>0</v>
      </c>
      <c r="P28" s="208">
        <f t="shared" si="4"/>
        <v>0</v>
      </c>
      <c r="S28" s="208">
        <f t="shared" si="5"/>
        <v>0</v>
      </c>
      <c r="V28" s="208">
        <f t="shared" si="6"/>
        <v>0</v>
      </c>
      <c r="Y28" s="208">
        <f t="shared" si="7"/>
        <v>0</v>
      </c>
      <c r="AB28" s="208">
        <f t="shared" si="8"/>
        <v>0</v>
      </c>
      <c r="AE28" s="208">
        <v>0</v>
      </c>
      <c r="AH28" s="208">
        <v>0</v>
      </c>
      <c r="AI28" s="223">
        <f>150000000+50000000+75000000+92050000</f>
        <v>367050000</v>
      </c>
      <c r="AJ28" s="224">
        <v>3.7999999999999999E-2</v>
      </c>
      <c r="AK28" s="208">
        <f t="shared" si="9"/>
        <v>38744.166666666664</v>
      </c>
      <c r="AL28" s="223"/>
      <c r="AM28" s="224"/>
      <c r="AN28" s="208">
        <f t="shared" si="10"/>
        <v>0</v>
      </c>
      <c r="AO28" s="223">
        <f t="shared" si="53"/>
        <v>185000000</v>
      </c>
      <c r="AP28" s="224">
        <v>3.8300000000000001E-2</v>
      </c>
      <c r="AQ28" s="208">
        <f t="shared" si="11"/>
        <v>19681.944444444445</v>
      </c>
      <c r="AR28" s="223"/>
      <c r="AS28" s="224"/>
      <c r="AT28" s="208">
        <f t="shared" si="12"/>
        <v>0</v>
      </c>
      <c r="AW28" s="208">
        <f t="shared" si="13"/>
        <v>0</v>
      </c>
      <c r="AZ28" s="208">
        <f t="shared" si="14"/>
        <v>0</v>
      </c>
      <c r="BC28" s="208">
        <f t="shared" si="15"/>
        <v>0</v>
      </c>
      <c r="BF28" s="208">
        <f t="shared" si="16"/>
        <v>0</v>
      </c>
      <c r="BI28" s="208">
        <f t="shared" si="17"/>
        <v>0</v>
      </c>
      <c r="BL28" s="208">
        <f t="shared" si="18"/>
        <v>0</v>
      </c>
      <c r="BO28" s="208">
        <f t="shared" si="19"/>
        <v>0</v>
      </c>
      <c r="BR28" s="208">
        <f t="shared" si="20"/>
        <v>0</v>
      </c>
      <c r="BU28" s="208">
        <f t="shared" si="21"/>
        <v>0</v>
      </c>
      <c r="BX28" s="208">
        <f t="shared" si="22"/>
        <v>0</v>
      </c>
      <c r="CA28" s="208">
        <f t="shared" si="23"/>
        <v>0</v>
      </c>
      <c r="CD28" s="208">
        <f t="shared" si="24"/>
        <v>0</v>
      </c>
      <c r="CG28" s="208">
        <f t="shared" si="25"/>
        <v>0</v>
      </c>
      <c r="CJ28" s="208">
        <f t="shared" si="26"/>
        <v>0</v>
      </c>
      <c r="CM28" s="208">
        <f t="shared" si="27"/>
        <v>0</v>
      </c>
      <c r="CP28" s="208">
        <f t="shared" si="28"/>
        <v>0</v>
      </c>
      <c r="CS28" s="208">
        <f t="shared" si="29"/>
        <v>0</v>
      </c>
      <c r="CV28" s="208">
        <f t="shared" si="30"/>
        <v>0</v>
      </c>
      <c r="CY28" s="208">
        <f t="shared" si="31"/>
        <v>0</v>
      </c>
      <c r="DB28" s="208">
        <f t="shared" si="32"/>
        <v>0</v>
      </c>
      <c r="DE28" s="208">
        <f t="shared" si="33"/>
        <v>0</v>
      </c>
      <c r="DH28" s="208">
        <f t="shared" si="34"/>
        <v>0</v>
      </c>
      <c r="DK28" s="208">
        <f t="shared" si="35"/>
        <v>0</v>
      </c>
      <c r="DN28" s="208">
        <f t="shared" si="36"/>
        <v>0</v>
      </c>
      <c r="DQ28" s="208">
        <f t="shared" si="37"/>
        <v>0</v>
      </c>
      <c r="DT28" s="208">
        <f t="shared" si="38"/>
        <v>0</v>
      </c>
      <c r="DW28" s="208">
        <f t="shared" si="39"/>
        <v>0</v>
      </c>
      <c r="DZ28" s="208"/>
      <c r="EA28" s="208"/>
      <c r="EB28" s="228">
        <f t="shared" si="40"/>
        <v>552050000</v>
      </c>
      <c r="EC28" s="228">
        <f t="shared" si="41"/>
        <v>0</v>
      </c>
      <c r="ED28" s="208">
        <f t="shared" si="42"/>
        <v>58426.111111111109</v>
      </c>
      <c r="EE28" s="209">
        <f t="shared" si="43"/>
        <v>3.8100534371886603E-2</v>
      </c>
      <c r="EG28" s="228">
        <f t="shared" si="44"/>
        <v>0</v>
      </c>
      <c r="EH28" s="208">
        <f t="shared" si="45"/>
        <v>0</v>
      </c>
      <c r="EI28" s="209">
        <f t="shared" si="46"/>
        <v>0</v>
      </c>
      <c r="EJ28" s="209"/>
      <c r="EK28" s="228">
        <f t="shared" si="47"/>
        <v>552050000</v>
      </c>
      <c r="EL28" s="228">
        <f t="shared" si="48"/>
        <v>0</v>
      </c>
      <c r="EM28" s="228">
        <f t="shared" si="49"/>
        <v>58426.111111111109</v>
      </c>
      <c r="EN28" s="209">
        <f t="shared" si="50"/>
        <v>3.8100534371886603E-2</v>
      </c>
      <c r="EP28" s="208"/>
    </row>
    <row r="29" spans="1:146" x14ac:dyDescent="0.25">
      <c r="A29" s="222">
        <f t="shared" si="51"/>
        <v>46041</v>
      </c>
      <c r="B29" s="208">
        <v>0</v>
      </c>
      <c r="C29" s="209">
        <v>3.7999999999999999E-2</v>
      </c>
      <c r="D29" s="208">
        <f t="shared" si="0"/>
        <v>0</v>
      </c>
      <c r="G29" s="208">
        <f t="shared" si="1"/>
        <v>0</v>
      </c>
      <c r="J29" s="208">
        <f t="shared" si="2"/>
        <v>0</v>
      </c>
      <c r="M29" s="208">
        <f t="shared" si="3"/>
        <v>0</v>
      </c>
      <c r="P29" s="208">
        <f t="shared" si="4"/>
        <v>0</v>
      </c>
      <c r="S29" s="208">
        <f t="shared" si="5"/>
        <v>0</v>
      </c>
      <c r="V29" s="208">
        <f t="shared" si="6"/>
        <v>0</v>
      </c>
      <c r="Y29" s="208">
        <f t="shared" si="7"/>
        <v>0</v>
      </c>
      <c r="AB29" s="208">
        <f t="shared" si="8"/>
        <v>0</v>
      </c>
      <c r="AE29" s="208">
        <v>0</v>
      </c>
      <c r="AH29" s="208">
        <v>0</v>
      </c>
      <c r="AI29" s="223">
        <f>150000000+50000000+75000000+92050000</f>
        <v>367050000</v>
      </c>
      <c r="AJ29" s="224">
        <v>3.7999999999999999E-2</v>
      </c>
      <c r="AK29" s="208">
        <f t="shared" si="9"/>
        <v>38744.166666666664</v>
      </c>
      <c r="AL29" s="223"/>
      <c r="AM29" s="224"/>
      <c r="AN29" s="208">
        <f t="shared" si="10"/>
        <v>0</v>
      </c>
      <c r="AO29" s="223">
        <f t="shared" si="53"/>
        <v>185000000</v>
      </c>
      <c r="AP29" s="224">
        <v>3.8300000000000001E-2</v>
      </c>
      <c r="AQ29" s="208">
        <f t="shared" si="11"/>
        <v>19681.944444444445</v>
      </c>
      <c r="AR29" s="223"/>
      <c r="AS29" s="224"/>
      <c r="AT29" s="208">
        <f t="shared" si="12"/>
        <v>0</v>
      </c>
      <c r="AW29" s="208">
        <f t="shared" si="13"/>
        <v>0</v>
      </c>
      <c r="AZ29" s="208">
        <f t="shared" si="14"/>
        <v>0</v>
      </c>
      <c r="BC29" s="208">
        <f t="shared" si="15"/>
        <v>0</v>
      </c>
      <c r="BF29" s="208">
        <f t="shared" si="16"/>
        <v>0</v>
      </c>
      <c r="BI29" s="208">
        <f t="shared" si="17"/>
        <v>0</v>
      </c>
      <c r="BL29" s="208">
        <f t="shared" si="18"/>
        <v>0</v>
      </c>
      <c r="BO29" s="208">
        <f t="shared" si="19"/>
        <v>0</v>
      </c>
      <c r="BR29" s="208">
        <f t="shared" si="20"/>
        <v>0</v>
      </c>
      <c r="BU29" s="208">
        <f t="shared" si="21"/>
        <v>0</v>
      </c>
      <c r="BX29" s="208">
        <f t="shared" si="22"/>
        <v>0</v>
      </c>
      <c r="CA29" s="208">
        <f t="shared" si="23"/>
        <v>0</v>
      </c>
      <c r="CD29" s="208">
        <f t="shared" si="24"/>
        <v>0</v>
      </c>
      <c r="CG29" s="208">
        <f t="shared" si="25"/>
        <v>0</v>
      </c>
      <c r="CJ29" s="208">
        <f t="shared" si="26"/>
        <v>0</v>
      </c>
      <c r="CM29" s="208">
        <f t="shared" si="27"/>
        <v>0</v>
      </c>
      <c r="CP29" s="208">
        <f t="shared" si="28"/>
        <v>0</v>
      </c>
      <c r="CS29" s="208">
        <f t="shared" si="29"/>
        <v>0</v>
      </c>
      <c r="CV29" s="208">
        <f t="shared" si="30"/>
        <v>0</v>
      </c>
      <c r="CY29" s="208">
        <f t="shared" si="31"/>
        <v>0</v>
      </c>
      <c r="DB29" s="208">
        <f t="shared" si="32"/>
        <v>0</v>
      </c>
      <c r="DE29" s="208">
        <f t="shared" si="33"/>
        <v>0</v>
      </c>
      <c r="DH29" s="208">
        <f t="shared" si="34"/>
        <v>0</v>
      </c>
      <c r="DK29" s="208">
        <f t="shared" si="35"/>
        <v>0</v>
      </c>
      <c r="DN29" s="208">
        <f t="shared" si="36"/>
        <v>0</v>
      </c>
      <c r="DQ29" s="208">
        <f t="shared" si="37"/>
        <v>0</v>
      </c>
      <c r="DT29" s="208">
        <f t="shared" si="38"/>
        <v>0</v>
      </c>
      <c r="DW29" s="208">
        <f t="shared" si="39"/>
        <v>0</v>
      </c>
      <c r="DZ29" s="208"/>
      <c r="EA29" s="208"/>
      <c r="EB29" s="228">
        <f t="shared" si="40"/>
        <v>552050000</v>
      </c>
      <c r="EC29" s="228">
        <f t="shared" si="41"/>
        <v>0</v>
      </c>
      <c r="ED29" s="208">
        <f t="shared" si="42"/>
        <v>58426.111111111109</v>
      </c>
      <c r="EE29" s="209">
        <f t="shared" si="43"/>
        <v>3.8100534371886603E-2</v>
      </c>
      <c r="EG29" s="228">
        <f t="shared" si="44"/>
        <v>0</v>
      </c>
      <c r="EH29" s="208">
        <f t="shared" si="45"/>
        <v>0</v>
      </c>
      <c r="EI29" s="209">
        <f t="shared" si="46"/>
        <v>0</v>
      </c>
      <c r="EJ29" s="209"/>
      <c r="EK29" s="228">
        <f t="shared" si="47"/>
        <v>552050000</v>
      </c>
      <c r="EL29" s="228">
        <f t="shared" si="48"/>
        <v>0</v>
      </c>
      <c r="EM29" s="228">
        <f t="shared" si="49"/>
        <v>58426.111111111109</v>
      </c>
      <c r="EN29" s="209">
        <f t="shared" si="50"/>
        <v>3.8100534371886603E-2</v>
      </c>
      <c r="EP29" s="208"/>
    </row>
    <row r="30" spans="1:146" x14ac:dyDescent="0.25">
      <c r="A30" s="222">
        <f t="shared" si="51"/>
        <v>46042</v>
      </c>
      <c r="B30" s="208">
        <v>0</v>
      </c>
      <c r="C30" s="209">
        <v>3.7999999999999999E-2</v>
      </c>
      <c r="D30" s="208">
        <f t="shared" si="0"/>
        <v>0</v>
      </c>
      <c r="G30" s="208">
        <f t="shared" si="1"/>
        <v>0</v>
      </c>
      <c r="J30" s="208">
        <f t="shared" si="2"/>
        <v>0</v>
      </c>
      <c r="M30" s="208">
        <f t="shared" si="3"/>
        <v>0</v>
      </c>
      <c r="P30" s="208">
        <f t="shared" si="4"/>
        <v>0</v>
      </c>
      <c r="S30" s="208">
        <f t="shared" si="5"/>
        <v>0</v>
      </c>
      <c r="V30" s="208">
        <f t="shared" si="6"/>
        <v>0</v>
      </c>
      <c r="Y30" s="208">
        <f t="shared" si="7"/>
        <v>0</v>
      </c>
      <c r="AB30" s="208">
        <f t="shared" si="8"/>
        <v>0</v>
      </c>
      <c r="AE30" s="208">
        <v>0</v>
      </c>
      <c r="AH30" s="208">
        <v>0</v>
      </c>
      <c r="AI30" s="223">
        <f>200000000+50000000+50000000+150000000+141575000</f>
        <v>591575000</v>
      </c>
      <c r="AJ30" s="224">
        <v>3.7999999999999999E-2</v>
      </c>
      <c r="AK30" s="208">
        <f t="shared" si="9"/>
        <v>62444.027777777781</v>
      </c>
      <c r="AL30" s="223"/>
      <c r="AM30" s="224"/>
      <c r="AN30" s="208">
        <f t="shared" si="10"/>
        <v>0</v>
      </c>
      <c r="AO30" s="223"/>
      <c r="AP30" s="224"/>
      <c r="AQ30" s="208">
        <f t="shared" si="11"/>
        <v>0</v>
      </c>
      <c r="AR30" s="223"/>
      <c r="AS30" s="224"/>
      <c r="AT30" s="208">
        <f t="shared" si="12"/>
        <v>0</v>
      </c>
      <c r="AW30" s="208">
        <f t="shared" si="13"/>
        <v>0</v>
      </c>
      <c r="AZ30" s="208">
        <f t="shared" si="14"/>
        <v>0</v>
      </c>
      <c r="BC30" s="208">
        <f t="shared" si="15"/>
        <v>0</v>
      </c>
      <c r="BF30" s="208">
        <f t="shared" si="16"/>
        <v>0</v>
      </c>
      <c r="BI30" s="208">
        <f t="shared" si="17"/>
        <v>0</v>
      </c>
      <c r="BL30" s="208">
        <f t="shared" si="18"/>
        <v>0</v>
      </c>
      <c r="BO30" s="208">
        <f t="shared" si="19"/>
        <v>0</v>
      </c>
      <c r="BR30" s="208">
        <f t="shared" si="20"/>
        <v>0</v>
      </c>
      <c r="BU30" s="208">
        <f t="shared" si="21"/>
        <v>0</v>
      </c>
      <c r="BX30" s="208">
        <f t="shared" si="22"/>
        <v>0</v>
      </c>
      <c r="CA30" s="208">
        <f t="shared" si="23"/>
        <v>0</v>
      </c>
      <c r="CD30" s="208">
        <f t="shared" si="24"/>
        <v>0</v>
      </c>
      <c r="CG30" s="208">
        <f t="shared" si="25"/>
        <v>0</v>
      </c>
      <c r="CJ30" s="208">
        <f t="shared" si="26"/>
        <v>0</v>
      </c>
      <c r="CM30" s="208">
        <f t="shared" si="27"/>
        <v>0</v>
      </c>
      <c r="CP30" s="208">
        <f t="shared" si="28"/>
        <v>0</v>
      </c>
      <c r="CS30" s="208">
        <f t="shared" si="29"/>
        <v>0</v>
      </c>
      <c r="CV30" s="208">
        <f t="shared" si="30"/>
        <v>0</v>
      </c>
      <c r="CY30" s="208">
        <f t="shared" si="31"/>
        <v>0</v>
      </c>
      <c r="DB30" s="208">
        <f t="shared" si="32"/>
        <v>0</v>
      </c>
      <c r="DE30" s="208">
        <f t="shared" si="33"/>
        <v>0</v>
      </c>
      <c r="DH30" s="208">
        <f t="shared" si="34"/>
        <v>0</v>
      </c>
      <c r="DK30" s="208">
        <f t="shared" si="35"/>
        <v>0</v>
      </c>
      <c r="DN30" s="208">
        <f t="shared" si="36"/>
        <v>0</v>
      </c>
      <c r="DQ30" s="208">
        <f t="shared" si="37"/>
        <v>0</v>
      </c>
      <c r="DT30" s="208">
        <f t="shared" si="38"/>
        <v>0</v>
      </c>
      <c r="DW30" s="208">
        <f t="shared" si="39"/>
        <v>0</v>
      </c>
      <c r="DZ30" s="208"/>
      <c r="EA30" s="208"/>
      <c r="EB30" s="228">
        <f t="shared" si="40"/>
        <v>591575000</v>
      </c>
      <c r="EC30" s="228">
        <f t="shared" si="41"/>
        <v>0</v>
      </c>
      <c r="ED30" s="208">
        <f t="shared" si="42"/>
        <v>62444.027777777781</v>
      </c>
      <c r="EE30" s="209">
        <f t="shared" si="43"/>
        <v>3.8000000000000006E-2</v>
      </c>
      <c r="EG30" s="228">
        <f t="shared" si="44"/>
        <v>0</v>
      </c>
      <c r="EH30" s="208">
        <f t="shared" si="45"/>
        <v>0</v>
      </c>
      <c r="EI30" s="209">
        <f t="shared" si="46"/>
        <v>0</v>
      </c>
      <c r="EJ30" s="209"/>
      <c r="EK30" s="228">
        <f t="shared" si="47"/>
        <v>591575000</v>
      </c>
      <c r="EL30" s="228">
        <f t="shared" si="48"/>
        <v>0</v>
      </c>
      <c r="EM30" s="228">
        <f t="shared" si="49"/>
        <v>62444.027777777781</v>
      </c>
      <c r="EN30" s="209">
        <f t="shared" si="50"/>
        <v>3.8000000000000006E-2</v>
      </c>
      <c r="EP30" s="208"/>
    </row>
    <row r="31" spans="1:146" x14ac:dyDescent="0.25">
      <c r="A31" s="222">
        <f t="shared" si="51"/>
        <v>46043</v>
      </c>
      <c r="B31" s="208">
        <v>850000</v>
      </c>
      <c r="C31" s="209">
        <v>3.7880009999999999E-2</v>
      </c>
      <c r="D31" s="208">
        <f t="shared" si="0"/>
        <v>89.438912500000001</v>
      </c>
      <c r="G31" s="208">
        <f t="shared" si="1"/>
        <v>0</v>
      </c>
      <c r="J31" s="208">
        <f t="shared" si="2"/>
        <v>0</v>
      </c>
      <c r="M31" s="208">
        <f t="shared" si="3"/>
        <v>0</v>
      </c>
      <c r="P31" s="208">
        <f t="shared" si="4"/>
        <v>0</v>
      </c>
      <c r="S31" s="208">
        <f t="shared" si="5"/>
        <v>0</v>
      </c>
      <c r="V31" s="208">
        <f t="shared" si="6"/>
        <v>0</v>
      </c>
      <c r="Y31" s="208">
        <f t="shared" si="7"/>
        <v>0</v>
      </c>
      <c r="AB31" s="208">
        <f t="shared" si="8"/>
        <v>0</v>
      </c>
      <c r="AE31" s="208">
        <v>0</v>
      </c>
      <c r="AH31" s="208">
        <v>0</v>
      </c>
      <c r="AI31" s="223">
        <f>50000000+27500000+1500000+190000000+150000000+146770000</f>
        <v>565770000</v>
      </c>
      <c r="AJ31" s="224">
        <v>3.7900000000000003E-2</v>
      </c>
      <c r="AK31" s="208">
        <f t="shared" si="9"/>
        <v>59563.008333333331</v>
      </c>
      <c r="AL31" s="223">
        <f>53230000</f>
        <v>53230000</v>
      </c>
      <c r="AM31" s="224">
        <v>3.7999999999999999E-2</v>
      </c>
      <c r="AN31" s="208">
        <f t="shared" si="10"/>
        <v>5618.7222222222226</v>
      </c>
      <c r="AO31" s="223"/>
      <c r="AP31" s="224"/>
      <c r="AQ31" s="208">
        <f t="shared" si="11"/>
        <v>0</v>
      </c>
      <c r="AR31" s="223"/>
      <c r="AS31" s="224"/>
      <c r="AT31" s="208">
        <f t="shared" si="12"/>
        <v>0</v>
      </c>
      <c r="AW31" s="208">
        <f t="shared" si="13"/>
        <v>0</v>
      </c>
      <c r="AZ31" s="208">
        <f t="shared" si="14"/>
        <v>0</v>
      </c>
      <c r="BC31" s="208">
        <f t="shared" si="15"/>
        <v>0</v>
      </c>
      <c r="BF31" s="208">
        <f t="shared" si="16"/>
        <v>0</v>
      </c>
      <c r="BI31" s="208">
        <f t="shared" si="17"/>
        <v>0</v>
      </c>
      <c r="BL31" s="208">
        <f t="shared" si="18"/>
        <v>0</v>
      </c>
      <c r="BO31" s="208">
        <f t="shared" si="19"/>
        <v>0</v>
      </c>
      <c r="BR31" s="208">
        <f t="shared" si="20"/>
        <v>0</v>
      </c>
      <c r="BU31" s="208">
        <f t="shared" si="21"/>
        <v>0</v>
      </c>
      <c r="BX31" s="208">
        <f t="shared" si="22"/>
        <v>0</v>
      </c>
      <c r="CA31" s="208">
        <f t="shared" si="23"/>
        <v>0</v>
      </c>
      <c r="CD31" s="208">
        <f t="shared" si="24"/>
        <v>0</v>
      </c>
      <c r="CG31" s="208">
        <f t="shared" si="25"/>
        <v>0</v>
      </c>
      <c r="CJ31" s="208">
        <f t="shared" si="26"/>
        <v>0</v>
      </c>
      <c r="CM31" s="208">
        <f t="shared" si="27"/>
        <v>0</v>
      </c>
      <c r="CP31" s="208">
        <f t="shared" si="28"/>
        <v>0</v>
      </c>
      <c r="CS31" s="208">
        <f t="shared" si="29"/>
        <v>0</v>
      </c>
      <c r="CV31" s="208">
        <f t="shared" si="30"/>
        <v>0</v>
      </c>
      <c r="CY31" s="208">
        <f t="shared" si="31"/>
        <v>0</v>
      </c>
      <c r="DB31" s="208">
        <f t="shared" si="32"/>
        <v>0</v>
      </c>
      <c r="DE31" s="208">
        <f t="shared" si="33"/>
        <v>0</v>
      </c>
      <c r="DH31" s="208">
        <f t="shared" si="34"/>
        <v>0</v>
      </c>
      <c r="DK31" s="208">
        <f t="shared" si="35"/>
        <v>0</v>
      </c>
      <c r="DN31" s="208">
        <f t="shared" si="36"/>
        <v>0</v>
      </c>
      <c r="DQ31" s="208">
        <f t="shared" si="37"/>
        <v>0</v>
      </c>
      <c r="DT31" s="208">
        <f t="shared" si="38"/>
        <v>0</v>
      </c>
      <c r="DW31" s="208">
        <f t="shared" si="39"/>
        <v>0</v>
      </c>
      <c r="DZ31" s="208"/>
      <c r="EA31" s="208"/>
      <c r="EB31" s="228">
        <f t="shared" si="40"/>
        <v>619850000</v>
      </c>
      <c r="EC31" s="228">
        <f t="shared" si="41"/>
        <v>850000</v>
      </c>
      <c r="ED31" s="208">
        <f t="shared" si="42"/>
        <v>65271.169468055552</v>
      </c>
      <c r="EE31" s="209">
        <f t="shared" si="43"/>
        <v>3.790856014922965E-2</v>
      </c>
      <c r="EG31" s="228">
        <f t="shared" si="44"/>
        <v>0</v>
      </c>
      <c r="EH31" s="208">
        <f t="shared" si="45"/>
        <v>0</v>
      </c>
      <c r="EI31" s="209">
        <f t="shared" si="46"/>
        <v>0</v>
      </c>
      <c r="EJ31" s="209"/>
      <c r="EK31" s="228">
        <f t="shared" si="47"/>
        <v>619000000</v>
      </c>
      <c r="EL31" s="228">
        <f t="shared" si="48"/>
        <v>0</v>
      </c>
      <c r="EM31" s="228">
        <f t="shared" si="49"/>
        <v>65181.73055555555</v>
      </c>
      <c r="EN31" s="209">
        <f t="shared" si="50"/>
        <v>3.7908599353796438E-2</v>
      </c>
      <c r="EP31" s="208"/>
    </row>
    <row r="32" spans="1:146" x14ac:dyDescent="0.25">
      <c r="A32" s="222">
        <f t="shared" si="51"/>
        <v>46044</v>
      </c>
      <c r="B32" s="208">
        <v>6800000</v>
      </c>
      <c r="C32" s="209">
        <v>3.7737670000000001E-2</v>
      </c>
      <c r="D32" s="208">
        <f t="shared" si="0"/>
        <v>712.82265555555557</v>
      </c>
      <c r="G32" s="208">
        <f t="shared" si="1"/>
        <v>0</v>
      </c>
      <c r="J32" s="208">
        <f t="shared" si="2"/>
        <v>0</v>
      </c>
      <c r="M32" s="208">
        <f t="shared" si="3"/>
        <v>0</v>
      </c>
      <c r="P32" s="208">
        <f t="shared" si="4"/>
        <v>0</v>
      </c>
      <c r="S32" s="208">
        <f t="shared" si="5"/>
        <v>0</v>
      </c>
      <c r="V32" s="208">
        <f t="shared" si="6"/>
        <v>0</v>
      </c>
      <c r="Y32" s="208">
        <f t="shared" si="7"/>
        <v>0</v>
      </c>
      <c r="AB32" s="208">
        <f t="shared" si="8"/>
        <v>0</v>
      </c>
      <c r="AE32" s="208">
        <v>0</v>
      </c>
      <c r="AH32" s="208">
        <v>0</v>
      </c>
      <c r="AI32" s="223">
        <f>100000000+100000000+78700000+124200000+200000000</f>
        <v>602900000</v>
      </c>
      <c r="AJ32" s="224">
        <v>3.7900000000000003E-2</v>
      </c>
      <c r="AK32" s="208">
        <f t="shared" si="9"/>
        <v>63471.972222222234</v>
      </c>
      <c r="AL32" s="223"/>
      <c r="AM32" s="224"/>
      <c r="AN32" s="208">
        <f t="shared" si="10"/>
        <v>0</v>
      </c>
      <c r="AO32" s="223"/>
      <c r="AP32" s="224"/>
      <c r="AQ32" s="208">
        <f t="shared" si="11"/>
        <v>0</v>
      </c>
      <c r="AR32" s="223">
        <f t="shared" ref="AR32:AR38" si="54">25800000</f>
        <v>25800000</v>
      </c>
      <c r="AS32" s="224">
        <v>3.8100000000000002E-2</v>
      </c>
      <c r="AT32" s="208">
        <f t="shared" si="12"/>
        <v>2730.5</v>
      </c>
      <c r="AW32" s="208">
        <f t="shared" si="13"/>
        <v>0</v>
      </c>
      <c r="AZ32" s="208">
        <f t="shared" si="14"/>
        <v>0</v>
      </c>
      <c r="BC32" s="208">
        <f t="shared" si="15"/>
        <v>0</v>
      </c>
      <c r="BF32" s="208">
        <f t="shared" si="16"/>
        <v>0</v>
      </c>
      <c r="BI32" s="208">
        <f t="shared" si="17"/>
        <v>0</v>
      </c>
      <c r="BL32" s="208">
        <f t="shared" si="18"/>
        <v>0</v>
      </c>
      <c r="BO32" s="208">
        <f t="shared" si="19"/>
        <v>0</v>
      </c>
      <c r="BR32" s="208">
        <f t="shared" si="20"/>
        <v>0</v>
      </c>
      <c r="BU32" s="208">
        <f t="shared" si="21"/>
        <v>0</v>
      </c>
      <c r="BX32" s="208">
        <f t="shared" si="22"/>
        <v>0</v>
      </c>
      <c r="CA32" s="208">
        <f t="shared" si="23"/>
        <v>0</v>
      </c>
      <c r="CD32" s="208">
        <f t="shared" si="24"/>
        <v>0</v>
      </c>
      <c r="CG32" s="208">
        <f t="shared" si="25"/>
        <v>0</v>
      </c>
      <c r="CJ32" s="208">
        <f t="shared" si="26"/>
        <v>0</v>
      </c>
      <c r="CM32" s="208">
        <f t="shared" si="27"/>
        <v>0</v>
      </c>
      <c r="CP32" s="208">
        <f t="shared" si="28"/>
        <v>0</v>
      </c>
      <c r="CS32" s="208">
        <f t="shared" si="29"/>
        <v>0</v>
      </c>
      <c r="CV32" s="208">
        <f t="shared" si="30"/>
        <v>0</v>
      </c>
      <c r="CY32" s="208">
        <f t="shared" si="31"/>
        <v>0</v>
      </c>
      <c r="DB32" s="208">
        <f t="shared" si="32"/>
        <v>0</v>
      </c>
      <c r="DE32" s="208">
        <f t="shared" si="33"/>
        <v>0</v>
      </c>
      <c r="DH32" s="208">
        <f t="shared" si="34"/>
        <v>0</v>
      </c>
      <c r="DK32" s="208">
        <f t="shared" si="35"/>
        <v>0</v>
      </c>
      <c r="DN32" s="208">
        <f t="shared" si="36"/>
        <v>0</v>
      </c>
      <c r="DQ32" s="208">
        <f t="shared" si="37"/>
        <v>0</v>
      </c>
      <c r="DT32" s="208">
        <f t="shared" si="38"/>
        <v>0</v>
      </c>
      <c r="DW32" s="208">
        <f t="shared" si="39"/>
        <v>0</v>
      </c>
      <c r="DZ32" s="208"/>
      <c r="EA32" s="208"/>
      <c r="EB32" s="228">
        <f t="shared" si="40"/>
        <v>635500000</v>
      </c>
      <c r="EC32" s="228">
        <f t="shared" si="41"/>
        <v>6800000</v>
      </c>
      <c r="ED32" s="208">
        <f t="shared" si="42"/>
        <v>66915.294877777778</v>
      </c>
      <c r="EE32" s="209">
        <f t="shared" si="43"/>
        <v>3.7906382621557828E-2</v>
      </c>
      <c r="EG32" s="228">
        <f t="shared" si="44"/>
        <v>0</v>
      </c>
      <c r="EH32" s="208">
        <f t="shared" si="45"/>
        <v>0</v>
      </c>
      <c r="EI32" s="209">
        <f t="shared" si="46"/>
        <v>0</v>
      </c>
      <c r="EJ32" s="209"/>
      <c r="EK32" s="228">
        <f t="shared" si="47"/>
        <v>628700000</v>
      </c>
      <c r="EL32" s="228">
        <f t="shared" si="48"/>
        <v>0</v>
      </c>
      <c r="EM32" s="228">
        <f t="shared" si="49"/>
        <v>66202.472222222234</v>
      </c>
      <c r="EN32" s="209">
        <f t="shared" si="50"/>
        <v>3.7908207412120254E-2</v>
      </c>
      <c r="EP32" s="208"/>
    </row>
    <row r="33" spans="1:146" x14ac:dyDescent="0.25">
      <c r="A33" s="222">
        <f t="shared" si="51"/>
        <v>46045</v>
      </c>
      <c r="B33" s="208">
        <v>12700000</v>
      </c>
      <c r="C33" s="209">
        <v>3.7701789999999999E-2</v>
      </c>
      <c r="D33" s="208">
        <f t="shared" si="0"/>
        <v>1330.0353694444445</v>
      </c>
      <c r="G33" s="208">
        <f t="shared" si="1"/>
        <v>0</v>
      </c>
      <c r="J33" s="208">
        <f t="shared" si="2"/>
        <v>0</v>
      </c>
      <c r="M33" s="208">
        <f t="shared" si="3"/>
        <v>0</v>
      </c>
      <c r="P33" s="208">
        <f t="shared" si="4"/>
        <v>0</v>
      </c>
      <c r="S33" s="208">
        <f t="shared" si="5"/>
        <v>0</v>
      </c>
      <c r="V33" s="208">
        <f t="shared" si="6"/>
        <v>0</v>
      </c>
      <c r="Y33" s="208">
        <f t="shared" si="7"/>
        <v>0</v>
      </c>
      <c r="AB33" s="208">
        <f t="shared" si="8"/>
        <v>0</v>
      </c>
      <c r="AE33" s="208">
        <v>0</v>
      </c>
      <c r="AH33" s="208">
        <v>0</v>
      </c>
      <c r="AI33" s="223">
        <f>50000000+105678000</f>
        <v>155678000</v>
      </c>
      <c r="AJ33" s="224">
        <v>3.7900000000000003E-2</v>
      </c>
      <c r="AK33" s="208">
        <f t="shared" si="9"/>
        <v>16389.433888888889</v>
      </c>
      <c r="AL33" s="223">
        <f>210000000+184800000</f>
        <v>394800000</v>
      </c>
      <c r="AM33" s="224">
        <v>3.7999999999999999E-2</v>
      </c>
      <c r="AN33" s="208">
        <f t="shared" si="10"/>
        <v>41673.333333333336</v>
      </c>
      <c r="AO33" s="223">
        <f>54322000</f>
        <v>54322000</v>
      </c>
      <c r="AP33" s="224">
        <v>3.8199999999999998E-2</v>
      </c>
      <c r="AQ33" s="208">
        <f t="shared" si="11"/>
        <v>5764.1677777777777</v>
      </c>
      <c r="AR33" s="223">
        <f t="shared" si="54"/>
        <v>25800000</v>
      </c>
      <c r="AS33" s="224">
        <v>3.8100000000000002E-2</v>
      </c>
      <c r="AT33" s="208">
        <f t="shared" si="12"/>
        <v>2730.5</v>
      </c>
      <c r="AW33" s="208">
        <f t="shared" si="13"/>
        <v>0</v>
      </c>
      <c r="AZ33" s="208">
        <f t="shared" si="14"/>
        <v>0</v>
      </c>
      <c r="BC33" s="208">
        <f t="shared" si="15"/>
        <v>0</v>
      </c>
      <c r="BF33" s="208">
        <f t="shared" si="16"/>
        <v>0</v>
      </c>
      <c r="BI33" s="208">
        <f t="shared" si="17"/>
        <v>0</v>
      </c>
      <c r="BL33" s="208">
        <f t="shared" si="18"/>
        <v>0</v>
      </c>
      <c r="BO33" s="208">
        <f t="shared" si="19"/>
        <v>0</v>
      </c>
      <c r="BR33" s="208">
        <f t="shared" si="20"/>
        <v>0</v>
      </c>
      <c r="BU33" s="208">
        <f t="shared" si="21"/>
        <v>0</v>
      </c>
      <c r="BX33" s="208">
        <f t="shared" si="22"/>
        <v>0</v>
      </c>
      <c r="CA33" s="208">
        <f t="shared" si="23"/>
        <v>0</v>
      </c>
      <c r="CD33" s="208">
        <f t="shared" si="24"/>
        <v>0</v>
      </c>
      <c r="CG33" s="208">
        <f t="shared" si="25"/>
        <v>0</v>
      </c>
      <c r="CJ33" s="208">
        <f t="shared" si="26"/>
        <v>0</v>
      </c>
      <c r="CM33" s="208">
        <f t="shared" si="27"/>
        <v>0</v>
      </c>
      <c r="CP33" s="208">
        <f t="shared" si="28"/>
        <v>0</v>
      </c>
      <c r="CS33" s="208">
        <f t="shared" si="29"/>
        <v>0</v>
      </c>
      <c r="CV33" s="208">
        <f t="shared" si="30"/>
        <v>0</v>
      </c>
      <c r="CY33" s="208">
        <f t="shared" si="31"/>
        <v>0</v>
      </c>
      <c r="DB33" s="208">
        <f t="shared" si="32"/>
        <v>0</v>
      </c>
      <c r="DE33" s="208">
        <f t="shared" si="33"/>
        <v>0</v>
      </c>
      <c r="DH33" s="208">
        <f t="shared" si="34"/>
        <v>0</v>
      </c>
      <c r="DK33" s="208">
        <f t="shared" si="35"/>
        <v>0</v>
      </c>
      <c r="DN33" s="208">
        <f t="shared" si="36"/>
        <v>0</v>
      </c>
      <c r="DQ33" s="208">
        <f t="shared" si="37"/>
        <v>0</v>
      </c>
      <c r="DT33" s="208">
        <f t="shared" si="38"/>
        <v>0</v>
      </c>
      <c r="DW33" s="208">
        <f t="shared" si="39"/>
        <v>0</v>
      </c>
      <c r="DZ33" s="208"/>
      <c r="EA33" s="208"/>
      <c r="EB33" s="228">
        <f t="shared" si="40"/>
        <v>643300000</v>
      </c>
      <c r="EC33" s="228">
        <f t="shared" si="41"/>
        <v>12700000</v>
      </c>
      <c r="ED33" s="208">
        <f t="shared" si="42"/>
        <v>67887.470369444447</v>
      </c>
      <c r="EE33" s="209">
        <f t="shared" si="43"/>
        <v>3.7990811958650714E-2</v>
      </c>
      <c r="EG33" s="228">
        <f t="shared" si="44"/>
        <v>0</v>
      </c>
      <c r="EH33" s="208">
        <f t="shared" si="45"/>
        <v>0</v>
      </c>
      <c r="EI33" s="209">
        <f t="shared" si="46"/>
        <v>0</v>
      </c>
      <c r="EJ33" s="209"/>
      <c r="EK33" s="228">
        <f t="shared" si="47"/>
        <v>630600000</v>
      </c>
      <c r="EL33" s="228">
        <f t="shared" si="48"/>
        <v>0</v>
      </c>
      <c r="EM33" s="228">
        <f t="shared" si="49"/>
        <v>66557.434999999998</v>
      </c>
      <c r="EN33" s="209">
        <f t="shared" si="50"/>
        <v>3.7996632730732637E-2</v>
      </c>
      <c r="EP33" s="208"/>
    </row>
    <row r="34" spans="1:146" x14ac:dyDescent="0.25">
      <c r="A34" s="222">
        <f t="shared" si="51"/>
        <v>46046</v>
      </c>
      <c r="B34" s="208">
        <v>12700000</v>
      </c>
      <c r="C34" s="209">
        <v>3.7701789999999999E-2</v>
      </c>
      <c r="D34" s="208">
        <f t="shared" si="0"/>
        <v>1330.0353694444445</v>
      </c>
      <c r="G34" s="208">
        <f t="shared" si="1"/>
        <v>0</v>
      </c>
      <c r="J34" s="208">
        <f t="shared" si="2"/>
        <v>0</v>
      </c>
      <c r="M34" s="208">
        <f t="shared" si="3"/>
        <v>0</v>
      </c>
      <c r="P34" s="208">
        <f t="shared" si="4"/>
        <v>0</v>
      </c>
      <c r="S34" s="208">
        <f t="shared" si="5"/>
        <v>0</v>
      </c>
      <c r="V34" s="208">
        <f t="shared" si="6"/>
        <v>0</v>
      </c>
      <c r="Y34" s="208">
        <f t="shared" si="7"/>
        <v>0</v>
      </c>
      <c r="AB34" s="208">
        <f t="shared" si="8"/>
        <v>0</v>
      </c>
      <c r="AE34" s="208">
        <v>0</v>
      </c>
      <c r="AH34" s="208">
        <v>0</v>
      </c>
      <c r="AI34" s="223">
        <v>155678000</v>
      </c>
      <c r="AJ34" s="224">
        <v>3.7900000000000003E-2</v>
      </c>
      <c r="AK34" s="208">
        <f t="shared" si="9"/>
        <v>16389.433888888889</v>
      </c>
      <c r="AL34" s="223">
        <f>210000000+184800000</f>
        <v>394800000</v>
      </c>
      <c r="AM34" s="224">
        <v>3.7999999999999999E-2</v>
      </c>
      <c r="AN34" s="208">
        <f t="shared" si="10"/>
        <v>41673.333333333336</v>
      </c>
      <c r="AO34" s="223">
        <f>54322000</f>
        <v>54322000</v>
      </c>
      <c r="AP34" s="224">
        <v>3.8199999999999998E-2</v>
      </c>
      <c r="AQ34" s="208">
        <f t="shared" si="11"/>
        <v>5764.1677777777777</v>
      </c>
      <c r="AR34" s="223">
        <f t="shared" si="54"/>
        <v>25800000</v>
      </c>
      <c r="AS34" s="224">
        <v>3.8100000000000002E-2</v>
      </c>
      <c r="AT34" s="208">
        <f t="shared" si="12"/>
        <v>2730.5</v>
      </c>
      <c r="AW34" s="208">
        <f t="shared" si="13"/>
        <v>0</v>
      </c>
      <c r="AZ34" s="208">
        <f t="shared" si="14"/>
        <v>0</v>
      </c>
      <c r="BC34" s="208">
        <f t="shared" si="15"/>
        <v>0</v>
      </c>
      <c r="BF34" s="208">
        <f t="shared" si="16"/>
        <v>0</v>
      </c>
      <c r="BI34" s="208">
        <f t="shared" si="17"/>
        <v>0</v>
      </c>
      <c r="BL34" s="208">
        <f t="shared" si="18"/>
        <v>0</v>
      </c>
      <c r="BO34" s="208">
        <f t="shared" si="19"/>
        <v>0</v>
      </c>
      <c r="BR34" s="208">
        <f t="shared" si="20"/>
        <v>0</v>
      </c>
      <c r="BU34" s="208">
        <f t="shared" si="21"/>
        <v>0</v>
      </c>
      <c r="BX34" s="208">
        <f t="shared" si="22"/>
        <v>0</v>
      </c>
      <c r="CA34" s="208">
        <f t="shared" si="23"/>
        <v>0</v>
      </c>
      <c r="CD34" s="208">
        <f t="shared" si="24"/>
        <v>0</v>
      </c>
      <c r="CG34" s="208">
        <f t="shared" si="25"/>
        <v>0</v>
      </c>
      <c r="CJ34" s="208">
        <f t="shared" si="26"/>
        <v>0</v>
      </c>
      <c r="CM34" s="208">
        <f t="shared" si="27"/>
        <v>0</v>
      </c>
      <c r="CP34" s="208">
        <f t="shared" si="28"/>
        <v>0</v>
      </c>
      <c r="CS34" s="208">
        <f t="shared" si="29"/>
        <v>0</v>
      </c>
      <c r="CV34" s="208">
        <f t="shared" si="30"/>
        <v>0</v>
      </c>
      <c r="CY34" s="208">
        <f t="shared" si="31"/>
        <v>0</v>
      </c>
      <c r="DB34" s="208">
        <f t="shared" si="32"/>
        <v>0</v>
      </c>
      <c r="DE34" s="208">
        <f t="shared" si="33"/>
        <v>0</v>
      </c>
      <c r="DH34" s="208">
        <f t="shared" si="34"/>
        <v>0</v>
      </c>
      <c r="DK34" s="208">
        <f t="shared" si="35"/>
        <v>0</v>
      </c>
      <c r="DN34" s="208">
        <f t="shared" si="36"/>
        <v>0</v>
      </c>
      <c r="DQ34" s="208">
        <f t="shared" si="37"/>
        <v>0</v>
      </c>
      <c r="DT34" s="208">
        <f t="shared" si="38"/>
        <v>0</v>
      </c>
      <c r="DW34" s="208">
        <f t="shared" si="39"/>
        <v>0</v>
      </c>
      <c r="DZ34" s="208"/>
      <c r="EA34" s="208"/>
      <c r="EB34" s="228">
        <f t="shared" si="40"/>
        <v>643300000</v>
      </c>
      <c r="EC34" s="228">
        <f t="shared" si="41"/>
        <v>12700000</v>
      </c>
      <c r="ED34" s="208">
        <f t="shared" si="42"/>
        <v>67887.470369444447</v>
      </c>
      <c r="EE34" s="209">
        <f t="shared" si="43"/>
        <v>3.7990811958650714E-2</v>
      </c>
      <c r="EG34" s="228">
        <f t="shared" si="44"/>
        <v>0</v>
      </c>
      <c r="EH34" s="208">
        <f t="shared" si="45"/>
        <v>0</v>
      </c>
      <c r="EI34" s="209">
        <f t="shared" si="46"/>
        <v>0</v>
      </c>
      <c r="EJ34" s="209"/>
      <c r="EK34" s="228">
        <f t="shared" si="47"/>
        <v>630600000</v>
      </c>
      <c r="EL34" s="228">
        <f t="shared" si="48"/>
        <v>0</v>
      </c>
      <c r="EM34" s="228">
        <f t="shared" si="49"/>
        <v>66557.434999999998</v>
      </c>
      <c r="EN34" s="209">
        <f t="shared" si="50"/>
        <v>3.7996632730732637E-2</v>
      </c>
      <c r="EP34" s="208"/>
    </row>
    <row r="35" spans="1:146" x14ac:dyDescent="0.25">
      <c r="A35" s="222">
        <f t="shared" si="51"/>
        <v>46047</v>
      </c>
      <c r="B35" s="208">
        <v>12700000</v>
      </c>
      <c r="C35" s="209">
        <v>3.7701789999999999E-2</v>
      </c>
      <c r="D35" s="208">
        <f t="shared" si="0"/>
        <v>1330.0353694444445</v>
      </c>
      <c r="G35" s="208">
        <f t="shared" si="1"/>
        <v>0</v>
      </c>
      <c r="J35" s="208">
        <f t="shared" si="2"/>
        <v>0</v>
      </c>
      <c r="M35" s="208">
        <f t="shared" si="3"/>
        <v>0</v>
      </c>
      <c r="P35" s="208">
        <f t="shared" si="4"/>
        <v>0</v>
      </c>
      <c r="S35" s="208">
        <f t="shared" si="5"/>
        <v>0</v>
      </c>
      <c r="V35" s="208">
        <f t="shared" si="6"/>
        <v>0</v>
      </c>
      <c r="Y35" s="208">
        <f t="shared" si="7"/>
        <v>0</v>
      </c>
      <c r="AB35" s="208">
        <f t="shared" si="8"/>
        <v>0</v>
      </c>
      <c r="AE35" s="208">
        <v>0</v>
      </c>
      <c r="AH35" s="208">
        <v>0</v>
      </c>
      <c r="AI35" s="223">
        <v>155678000</v>
      </c>
      <c r="AJ35" s="224">
        <v>3.7900000000000003E-2</v>
      </c>
      <c r="AK35" s="208">
        <f t="shared" si="9"/>
        <v>16389.433888888889</v>
      </c>
      <c r="AL35" s="223">
        <f>210000000+184800000</f>
        <v>394800000</v>
      </c>
      <c r="AM35" s="224">
        <v>3.7999999999999999E-2</v>
      </c>
      <c r="AN35" s="208">
        <f t="shared" si="10"/>
        <v>41673.333333333336</v>
      </c>
      <c r="AO35" s="223">
        <f>54322000</f>
        <v>54322000</v>
      </c>
      <c r="AP35" s="224">
        <v>3.8199999999999998E-2</v>
      </c>
      <c r="AQ35" s="208">
        <f t="shared" si="11"/>
        <v>5764.1677777777777</v>
      </c>
      <c r="AR35" s="223">
        <f t="shared" si="54"/>
        <v>25800000</v>
      </c>
      <c r="AS35" s="224">
        <v>3.8100000000000002E-2</v>
      </c>
      <c r="AT35" s="208">
        <f t="shared" si="12"/>
        <v>2730.5</v>
      </c>
      <c r="AW35" s="208">
        <f t="shared" si="13"/>
        <v>0</v>
      </c>
      <c r="AZ35" s="208">
        <f t="shared" si="14"/>
        <v>0</v>
      </c>
      <c r="BC35" s="208">
        <f t="shared" si="15"/>
        <v>0</v>
      </c>
      <c r="BF35" s="208">
        <f t="shared" si="16"/>
        <v>0</v>
      </c>
      <c r="BI35" s="208">
        <f t="shared" si="17"/>
        <v>0</v>
      </c>
      <c r="BL35" s="208">
        <f t="shared" si="18"/>
        <v>0</v>
      </c>
      <c r="BO35" s="208">
        <f t="shared" si="19"/>
        <v>0</v>
      </c>
      <c r="BR35" s="208">
        <f t="shared" si="20"/>
        <v>0</v>
      </c>
      <c r="BU35" s="208">
        <f t="shared" si="21"/>
        <v>0</v>
      </c>
      <c r="BX35" s="208">
        <f t="shared" si="22"/>
        <v>0</v>
      </c>
      <c r="CA35" s="208">
        <f t="shared" si="23"/>
        <v>0</v>
      </c>
      <c r="CD35" s="208">
        <f t="shared" si="24"/>
        <v>0</v>
      </c>
      <c r="CG35" s="208">
        <f t="shared" si="25"/>
        <v>0</v>
      </c>
      <c r="CJ35" s="208">
        <f t="shared" si="26"/>
        <v>0</v>
      </c>
      <c r="CM35" s="208">
        <f t="shared" si="27"/>
        <v>0</v>
      </c>
      <c r="CP35" s="208">
        <f t="shared" si="28"/>
        <v>0</v>
      </c>
      <c r="CS35" s="208">
        <f t="shared" si="29"/>
        <v>0</v>
      </c>
      <c r="CV35" s="208">
        <f t="shared" si="30"/>
        <v>0</v>
      </c>
      <c r="CY35" s="208">
        <f t="shared" si="31"/>
        <v>0</v>
      </c>
      <c r="DB35" s="208">
        <f t="shared" si="32"/>
        <v>0</v>
      </c>
      <c r="DE35" s="208">
        <f t="shared" si="33"/>
        <v>0</v>
      </c>
      <c r="DH35" s="208">
        <f t="shared" si="34"/>
        <v>0</v>
      </c>
      <c r="DK35" s="208">
        <f t="shared" si="35"/>
        <v>0</v>
      </c>
      <c r="DN35" s="208">
        <f t="shared" si="36"/>
        <v>0</v>
      </c>
      <c r="DQ35" s="208">
        <f t="shared" si="37"/>
        <v>0</v>
      </c>
      <c r="DT35" s="208">
        <f t="shared" si="38"/>
        <v>0</v>
      </c>
      <c r="DW35" s="208">
        <f t="shared" si="39"/>
        <v>0</v>
      </c>
      <c r="DZ35" s="208"/>
      <c r="EA35" s="208"/>
      <c r="EB35" s="228">
        <f t="shared" si="40"/>
        <v>643300000</v>
      </c>
      <c r="EC35" s="228">
        <f t="shared" si="41"/>
        <v>12700000</v>
      </c>
      <c r="ED35" s="208">
        <f t="shared" si="42"/>
        <v>67887.470369444447</v>
      </c>
      <c r="EE35" s="209">
        <f t="shared" si="43"/>
        <v>3.7990811958650714E-2</v>
      </c>
      <c r="EG35" s="228">
        <f t="shared" si="44"/>
        <v>0</v>
      </c>
      <c r="EH35" s="208">
        <f t="shared" si="45"/>
        <v>0</v>
      </c>
      <c r="EI35" s="209">
        <f t="shared" si="46"/>
        <v>0</v>
      </c>
      <c r="EJ35" s="209"/>
      <c r="EK35" s="228">
        <f t="shared" si="47"/>
        <v>630600000</v>
      </c>
      <c r="EL35" s="228">
        <f t="shared" si="48"/>
        <v>0</v>
      </c>
      <c r="EM35" s="228">
        <f t="shared" si="49"/>
        <v>66557.434999999998</v>
      </c>
      <c r="EN35" s="209">
        <f t="shared" si="50"/>
        <v>3.7996632730732637E-2</v>
      </c>
      <c r="EP35" s="208"/>
    </row>
    <row r="36" spans="1:146" x14ac:dyDescent="0.25">
      <c r="A36" s="222">
        <f t="shared" si="51"/>
        <v>46048</v>
      </c>
      <c r="B36" s="208">
        <v>9875000</v>
      </c>
      <c r="C36" s="209">
        <v>3.7787319999999999E-2</v>
      </c>
      <c r="D36" s="208">
        <f t="shared" si="0"/>
        <v>1036.5271805555556</v>
      </c>
      <c r="G36" s="208">
        <f t="shared" si="1"/>
        <v>0</v>
      </c>
      <c r="J36" s="208">
        <f t="shared" si="2"/>
        <v>0</v>
      </c>
      <c r="M36" s="208">
        <f t="shared" si="3"/>
        <v>0</v>
      </c>
      <c r="P36" s="208">
        <f t="shared" si="4"/>
        <v>0</v>
      </c>
      <c r="S36" s="208">
        <f t="shared" si="5"/>
        <v>0</v>
      </c>
      <c r="V36" s="208">
        <f t="shared" si="6"/>
        <v>0</v>
      </c>
      <c r="Y36" s="208">
        <f t="shared" si="7"/>
        <v>0</v>
      </c>
      <c r="AB36" s="208">
        <f t="shared" si="8"/>
        <v>0</v>
      </c>
      <c r="AE36" s="208">
        <v>0</v>
      </c>
      <c r="AH36" s="208">
        <v>0</v>
      </c>
      <c r="AI36" s="223">
        <f>225000000+50000000+175000000+210700000</f>
        <v>660700000</v>
      </c>
      <c r="AJ36" s="224">
        <v>3.7999999999999999E-2</v>
      </c>
      <c r="AK36" s="208">
        <f t="shared" si="9"/>
        <v>69740.555555555562</v>
      </c>
      <c r="AL36" s="223"/>
      <c r="AM36" s="224"/>
      <c r="AN36" s="208">
        <f t="shared" si="10"/>
        <v>0</v>
      </c>
      <c r="AO36" s="223"/>
      <c r="AP36" s="224"/>
      <c r="AQ36" s="208">
        <f t="shared" si="11"/>
        <v>0</v>
      </c>
      <c r="AR36" s="223">
        <f t="shared" si="54"/>
        <v>25800000</v>
      </c>
      <c r="AS36" s="224">
        <v>3.8100000000000002E-2</v>
      </c>
      <c r="AT36" s="208">
        <f t="shared" si="12"/>
        <v>2730.5</v>
      </c>
      <c r="AW36" s="208">
        <f t="shared" si="13"/>
        <v>0</v>
      </c>
      <c r="AZ36" s="208">
        <f t="shared" si="14"/>
        <v>0</v>
      </c>
      <c r="BC36" s="208">
        <f t="shared" si="15"/>
        <v>0</v>
      </c>
      <c r="BF36" s="208">
        <f t="shared" si="16"/>
        <v>0</v>
      </c>
      <c r="BI36" s="208">
        <f t="shared" si="17"/>
        <v>0</v>
      </c>
      <c r="BL36" s="208">
        <f t="shared" si="18"/>
        <v>0</v>
      </c>
      <c r="BO36" s="208">
        <f t="shared" si="19"/>
        <v>0</v>
      </c>
      <c r="BR36" s="208">
        <f t="shared" si="20"/>
        <v>0</v>
      </c>
      <c r="BU36" s="208">
        <f t="shared" si="21"/>
        <v>0</v>
      </c>
      <c r="BX36" s="208">
        <f t="shared" si="22"/>
        <v>0</v>
      </c>
      <c r="CA36" s="208">
        <f t="shared" si="23"/>
        <v>0</v>
      </c>
      <c r="CD36" s="208">
        <f t="shared" si="24"/>
        <v>0</v>
      </c>
      <c r="CG36" s="208">
        <f t="shared" si="25"/>
        <v>0</v>
      </c>
      <c r="CJ36" s="208">
        <f t="shared" si="26"/>
        <v>0</v>
      </c>
      <c r="CM36" s="208">
        <f t="shared" si="27"/>
        <v>0</v>
      </c>
      <c r="CP36" s="208">
        <f t="shared" si="28"/>
        <v>0</v>
      </c>
      <c r="CS36" s="208">
        <f t="shared" si="29"/>
        <v>0</v>
      </c>
      <c r="CV36" s="208">
        <f t="shared" si="30"/>
        <v>0</v>
      </c>
      <c r="CY36" s="208">
        <f t="shared" si="31"/>
        <v>0</v>
      </c>
      <c r="DB36" s="208">
        <f t="shared" si="32"/>
        <v>0</v>
      </c>
      <c r="DE36" s="208">
        <f t="shared" si="33"/>
        <v>0</v>
      </c>
      <c r="DH36" s="208">
        <f t="shared" si="34"/>
        <v>0</v>
      </c>
      <c r="DK36" s="208">
        <f t="shared" si="35"/>
        <v>0</v>
      </c>
      <c r="DN36" s="208">
        <f t="shared" si="36"/>
        <v>0</v>
      </c>
      <c r="DQ36" s="208">
        <f t="shared" si="37"/>
        <v>0</v>
      </c>
      <c r="DT36" s="208">
        <f t="shared" si="38"/>
        <v>0</v>
      </c>
      <c r="DW36" s="208">
        <f t="shared" si="39"/>
        <v>0</v>
      </c>
      <c r="DZ36" s="208"/>
      <c r="EA36" s="208"/>
      <c r="EB36" s="228">
        <f t="shared" si="40"/>
        <v>696375000</v>
      </c>
      <c r="EC36" s="228">
        <f t="shared" si="41"/>
        <v>9875000</v>
      </c>
      <c r="ED36" s="208">
        <f t="shared" si="42"/>
        <v>73507.582736111115</v>
      </c>
      <c r="EE36" s="209">
        <f t="shared" si="43"/>
        <v>3.8000688975049365E-2</v>
      </c>
      <c r="EG36" s="228">
        <f t="shared" si="44"/>
        <v>0</v>
      </c>
      <c r="EH36" s="208">
        <f t="shared" si="45"/>
        <v>0</v>
      </c>
      <c r="EI36" s="209">
        <f t="shared" si="46"/>
        <v>0</v>
      </c>
      <c r="EJ36" s="209"/>
      <c r="EK36" s="228">
        <f t="shared" si="47"/>
        <v>686500000</v>
      </c>
      <c r="EL36" s="228">
        <f t="shared" si="48"/>
        <v>0</v>
      </c>
      <c r="EM36" s="228">
        <f t="shared" si="49"/>
        <v>72471.055555555562</v>
      </c>
      <c r="EN36" s="209">
        <f t="shared" si="50"/>
        <v>3.8003758193736345E-2</v>
      </c>
      <c r="EP36" s="208"/>
    </row>
    <row r="37" spans="1:146" x14ac:dyDescent="0.25">
      <c r="A37" s="222">
        <f t="shared" si="51"/>
        <v>46049</v>
      </c>
      <c r="B37" s="208">
        <v>26975000</v>
      </c>
      <c r="C37" s="209">
        <v>3.7719019999999999E-2</v>
      </c>
      <c r="D37" s="208">
        <f t="shared" si="0"/>
        <v>2826.3071236111109</v>
      </c>
      <c r="G37" s="208">
        <f t="shared" si="1"/>
        <v>0</v>
      </c>
      <c r="J37" s="208">
        <f t="shared" si="2"/>
        <v>0</v>
      </c>
      <c r="M37" s="208">
        <f t="shared" si="3"/>
        <v>0</v>
      </c>
      <c r="P37" s="208">
        <f t="shared" si="4"/>
        <v>0</v>
      </c>
      <c r="S37" s="208">
        <f t="shared" si="5"/>
        <v>0</v>
      </c>
      <c r="V37" s="208">
        <f t="shared" si="6"/>
        <v>0</v>
      </c>
      <c r="Y37" s="208">
        <f t="shared" si="7"/>
        <v>0</v>
      </c>
      <c r="AB37" s="208">
        <f t="shared" si="8"/>
        <v>0</v>
      </c>
      <c r="AE37" s="208">
        <v>0</v>
      </c>
      <c r="AH37" s="208">
        <v>0</v>
      </c>
      <c r="AI37" s="223">
        <f>50000000+250000000+200000000+131150000</f>
        <v>631150000</v>
      </c>
      <c r="AJ37" s="224">
        <v>3.7999999999999999E-2</v>
      </c>
      <c r="AK37" s="208">
        <f t="shared" si="9"/>
        <v>66621.388888888891</v>
      </c>
      <c r="AL37" s="223"/>
      <c r="AM37" s="224"/>
      <c r="AN37" s="208">
        <f t="shared" si="10"/>
        <v>0</v>
      </c>
      <c r="AO37" s="223"/>
      <c r="AP37" s="224"/>
      <c r="AQ37" s="208">
        <f t="shared" si="11"/>
        <v>0</v>
      </c>
      <c r="AR37" s="223">
        <f t="shared" si="54"/>
        <v>25800000</v>
      </c>
      <c r="AS37" s="224">
        <v>3.8100000000000002E-2</v>
      </c>
      <c r="AT37" s="208">
        <f t="shared" si="12"/>
        <v>2730.5</v>
      </c>
      <c r="AW37" s="208">
        <f t="shared" si="13"/>
        <v>0</v>
      </c>
      <c r="AZ37" s="208">
        <f t="shared" si="14"/>
        <v>0</v>
      </c>
      <c r="BC37" s="208">
        <f t="shared" si="15"/>
        <v>0</v>
      </c>
      <c r="BF37" s="208">
        <f t="shared" si="16"/>
        <v>0</v>
      </c>
      <c r="BI37" s="208">
        <f t="shared" si="17"/>
        <v>0</v>
      </c>
      <c r="BL37" s="208">
        <f t="shared" si="18"/>
        <v>0</v>
      </c>
      <c r="BO37" s="208">
        <f t="shared" si="19"/>
        <v>0</v>
      </c>
      <c r="BR37" s="208">
        <f t="shared" si="20"/>
        <v>0</v>
      </c>
      <c r="BU37" s="208">
        <f t="shared" si="21"/>
        <v>0</v>
      </c>
      <c r="BX37" s="208">
        <f t="shared" si="22"/>
        <v>0</v>
      </c>
      <c r="CA37" s="208">
        <f t="shared" si="23"/>
        <v>0</v>
      </c>
      <c r="CD37" s="208">
        <f t="shared" si="24"/>
        <v>0</v>
      </c>
      <c r="CG37" s="208">
        <f t="shared" si="25"/>
        <v>0</v>
      </c>
      <c r="CJ37" s="208">
        <f t="shared" si="26"/>
        <v>0</v>
      </c>
      <c r="CM37" s="208">
        <f t="shared" si="27"/>
        <v>0</v>
      </c>
      <c r="CP37" s="208">
        <f t="shared" si="28"/>
        <v>0</v>
      </c>
      <c r="CS37" s="208">
        <f t="shared" si="29"/>
        <v>0</v>
      </c>
      <c r="CV37" s="208">
        <f t="shared" si="30"/>
        <v>0</v>
      </c>
      <c r="CY37" s="208">
        <f t="shared" si="31"/>
        <v>0</v>
      </c>
      <c r="DB37" s="208">
        <f t="shared" si="32"/>
        <v>0</v>
      </c>
      <c r="DE37" s="208">
        <f t="shared" si="33"/>
        <v>0</v>
      </c>
      <c r="DH37" s="208">
        <f t="shared" si="34"/>
        <v>0</v>
      </c>
      <c r="DK37" s="208">
        <f t="shared" si="35"/>
        <v>0</v>
      </c>
      <c r="DN37" s="208">
        <f t="shared" si="36"/>
        <v>0</v>
      </c>
      <c r="DQ37" s="208">
        <f t="shared" si="37"/>
        <v>0</v>
      </c>
      <c r="DT37" s="208">
        <f t="shared" si="38"/>
        <v>0</v>
      </c>
      <c r="DW37" s="208">
        <f t="shared" si="39"/>
        <v>0</v>
      </c>
      <c r="DZ37" s="208"/>
      <c r="EA37" s="208"/>
      <c r="EB37" s="228">
        <f t="shared" si="40"/>
        <v>683925000</v>
      </c>
      <c r="EC37" s="228">
        <f t="shared" si="41"/>
        <v>26975000</v>
      </c>
      <c r="ED37" s="208">
        <f t="shared" si="42"/>
        <v>72178.196012500004</v>
      </c>
      <c r="EE37" s="209">
        <f t="shared" si="43"/>
        <v>3.7992690082245859E-2</v>
      </c>
      <c r="EG37" s="228">
        <f t="shared" si="44"/>
        <v>0</v>
      </c>
      <c r="EH37" s="208">
        <f t="shared" si="45"/>
        <v>0</v>
      </c>
      <c r="EI37" s="209">
        <f t="shared" si="46"/>
        <v>0</v>
      </c>
      <c r="EJ37" s="209"/>
      <c r="EK37" s="228">
        <f t="shared" si="47"/>
        <v>656950000</v>
      </c>
      <c r="EL37" s="228">
        <f t="shared" si="48"/>
        <v>0</v>
      </c>
      <c r="EM37" s="228">
        <f t="shared" si="49"/>
        <v>69351.888888888891</v>
      </c>
      <c r="EN37" s="209">
        <f t="shared" si="50"/>
        <v>3.8003927239515949E-2</v>
      </c>
      <c r="EP37" s="208"/>
    </row>
    <row r="38" spans="1:146" x14ac:dyDescent="0.25">
      <c r="A38" s="222">
        <f t="shared" si="51"/>
        <v>46050</v>
      </c>
      <c r="B38" s="208">
        <v>17200000</v>
      </c>
      <c r="C38" s="209">
        <v>3.7813779999999998E-2</v>
      </c>
      <c r="D38" s="208">
        <f t="shared" si="0"/>
        <v>1806.6583777777776</v>
      </c>
      <c r="G38" s="208">
        <f t="shared" si="1"/>
        <v>0</v>
      </c>
      <c r="J38" s="208">
        <f t="shared" si="2"/>
        <v>0</v>
      </c>
      <c r="M38" s="208">
        <f t="shared" si="3"/>
        <v>0</v>
      </c>
      <c r="P38" s="208">
        <f t="shared" si="4"/>
        <v>0</v>
      </c>
      <c r="S38" s="208">
        <f t="shared" si="5"/>
        <v>0</v>
      </c>
      <c r="V38" s="208">
        <f t="shared" si="6"/>
        <v>0</v>
      </c>
      <c r="Y38" s="208">
        <f t="shared" si="7"/>
        <v>0</v>
      </c>
      <c r="AB38" s="208">
        <f t="shared" si="8"/>
        <v>0</v>
      </c>
      <c r="AE38" s="208">
        <v>0</v>
      </c>
      <c r="AH38" s="208">
        <v>0</v>
      </c>
      <c r="AI38" s="223">
        <f>30000000+146875000+10000000+95000000</f>
        <v>281875000</v>
      </c>
      <c r="AJ38" s="224">
        <v>3.7999999999999999E-2</v>
      </c>
      <c r="AK38" s="208">
        <f t="shared" si="9"/>
        <v>29753.472222222223</v>
      </c>
      <c r="AL38" s="223">
        <f>50000000</f>
        <v>50000000</v>
      </c>
      <c r="AM38" s="224">
        <v>3.8800000000000001E-2</v>
      </c>
      <c r="AN38" s="208">
        <f t="shared" si="10"/>
        <v>5388.8888888888887</v>
      </c>
      <c r="AO38" s="223">
        <f>200000000</f>
        <v>200000000</v>
      </c>
      <c r="AP38" s="224">
        <v>3.8699999999999998E-2</v>
      </c>
      <c r="AQ38" s="208">
        <f t="shared" si="11"/>
        <v>21500</v>
      </c>
      <c r="AR38" s="223">
        <f t="shared" si="54"/>
        <v>25800000</v>
      </c>
      <c r="AS38" s="224">
        <v>3.8100000000000002E-2</v>
      </c>
      <c r="AT38" s="208">
        <f t="shared" si="12"/>
        <v>2730.5</v>
      </c>
      <c r="AU38" s="208">
        <f>28124000</f>
        <v>28124000</v>
      </c>
      <c r="AV38" s="209">
        <v>3.8300000000000001E-2</v>
      </c>
      <c r="AW38" s="208">
        <f t="shared" si="13"/>
        <v>2992.0811111111111</v>
      </c>
      <c r="AX38" s="208">
        <f>75000000+21876000</f>
        <v>96876000</v>
      </c>
      <c r="AY38" s="209">
        <v>3.85E-2</v>
      </c>
      <c r="AZ38" s="208">
        <f t="shared" si="14"/>
        <v>10360.35</v>
      </c>
      <c r="BC38" s="208">
        <f t="shared" si="15"/>
        <v>0</v>
      </c>
      <c r="BF38" s="208">
        <f t="shared" si="16"/>
        <v>0</v>
      </c>
      <c r="BI38" s="208">
        <f t="shared" si="17"/>
        <v>0</v>
      </c>
      <c r="BL38" s="208">
        <f t="shared" si="18"/>
        <v>0</v>
      </c>
      <c r="BO38" s="208">
        <f t="shared" si="19"/>
        <v>0</v>
      </c>
      <c r="BR38" s="208">
        <f t="shared" si="20"/>
        <v>0</v>
      </c>
      <c r="BU38" s="208">
        <f t="shared" si="21"/>
        <v>0</v>
      </c>
      <c r="BX38" s="208">
        <f t="shared" si="22"/>
        <v>0</v>
      </c>
      <c r="CA38" s="208">
        <f t="shared" si="23"/>
        <v>0</v>
      </c>
      <c r="CD38" s="208">
        <f t="shared" si="24"/>
        <v>0</v>
      </c>
      <c r="CG38" s="208">
        <f t="shared" si="25"/>
        <v>0</v>
      </c>
      <c r="CJ38" s="208">
        <f t="shared" si="26"/>
        <v>0</v>
      </c>
      <c r="CM38" s="208">
        <f t="shared" si="27"/>
        <v>0</v>
      </c>
      <c r="CP38" s="208">
        <f t="shared" si="28"/>
        <v>0</v>
      </c>
      <c r="CS38" s="208">
        <f t="shared" si="29"/>
        <v>0</v>
      </c>
      <c r="CV38" s="208">
        <f t="shared" si="30"/>
        <v>0</v>
      </c>
      <c r="CY38" s="208">
        <f t="shared" si="31"/>
        <v>0</v>
      </c>
      <c r="DB38" s="208">
        <f t="shared" si="32"/>
        <v>0</v>
      </c>
      <c r="DE38" s="208">
        <f t="shared" si="33"/>
        <v>0</v>
      </c>
      <c r="DH38" s="208">
        <f t="shared" si="34"/>
        <v>0</v>
      </c>
      <c r="DK38" s="208">
        <f t="shared" si="35"/>
        <v>0</v>
      </c>
      <c r="DN38" s="208">
        <f t="shared" si="36"/>
        <v>0</v>
      </c>
      <c r="DQ38" s="208">
        <f t="shared" si="37"/>
        <v>0</v>
      </c>
      <c r="DT38" s="208">
        <f t="shared" si="38"/>
        <v>0</v>
      </c>
      <c r="DW38" s="208">
        <f t="shared" si="39"/>
        <v>0</v>
      </c>
      <c r="DZ38" s="208"/>
      <c r="EA38" s="208"/>
      <c r="EB38" s="228">
        <f t="shared" si="40"/>
        <v>699875000</v>
      </c>
      <c r="EC38" s="228">
        <f t="shared" si="41"/>
        <v>17200000</v>
      </c>
      <c r="ED38" s="208">
        <f t="shared" si="42"/>
        <v>74531.950599999996</v>
      </c>
      <c r="EE38" s="209">
        <f t="shared" si="43"/>
        <v>3.8337563444900871E-2</v>
      </c>
      <c r="EG38" s="228">
        <f t="shared" si="44"/>
        <v>0</v>
      </c>
      <c r="EH38" s="208">
        <f t="shared" si="45"/>
        <v>0</v>
      </c>
      <c r="EI38" s="209">
        <f t="shared" si="46"/>
        <v>0</v>
      </c>
      <c r="EJ38" s="209"/>
      <c r="EK38" s="228">
        <f t="shared" si="47"/>
        <v>682675000</v>
      </c>
      <c r="EL38" s="228">
        <f t="shared" si="48"/>
        <v>0</v>
      </c>
      <c r="EM38" s="228">
        <f t="shared" si="49"/>
        <v>72725.292222222226</v>
      </c>
      <c r="EN38" s="209">
        <f t="shared" si="50"/>
        <v>3.8350760171384626E-2</v>
      </c>
      <c r="EP38" s="208"/>
    </row>
    <row r="39" spans="1:146" x14ac:dyDescent="0.25">
      <c r="A39" s="222">
        <f t="shared" si="51"/>
        <v>46051</v>
      </c>
      <c r="B39" s="208">
        <v>575000</v>
      </c>
      <c r="C39" s="209">
        <v>3.8237060000000003E-2</v>
      </c>
      <c r="D39" s="208">
        <f t="shared" si="0"/>
        <v>61.073081944444453</v>
      </c>
      <c r="G39" s="208">
        <f t="shared" si="1"/>
        <v>0</v>
      </c>
      <c r="J39" s="208">
        <f t="shared" si="2"/>
        <v>0</v>
      </c>
      <c r="M39" s="208">
        <f t="shared" si="3"/>
        <v>0</v>
      </c>
      <c r="P39" s="208">
        <f t="shared" si="4"/>
        <v>0</v>
      </c>
      <c r="S39" s="208">
        <f t="shared" si="5"/>
        <v>0</v>
      </c>
      <c r="V39" s="208">
        <f t="shared" si="6"/>
        <v>0</v>
      </c>
      <c r="Y39" s="208">
        <f t="shared" si="7"/>
        <v>0</v>
      </c>
      <c r="AB39" s="208">
        <f t="shared" si="8"/>
        <v>0</v>
      </c>
      <c r="AE39" s="208">
        <v>0</v>
      </c>
      <c r="AH39" s="208">
        <v>0</v>
      </c>
      <c r="AI39" s="223">
        <f>150000000+100000000+166550000</f>
        <v>416550000</v>
      </c>
      <c r="AJ39" s="224">
        <v>3.7999999999999999E-2</v>
      </c>
      <c r="AK39" s="208">
        <f t="shared" si="9"/>
        <v>43969.166666666664</v>
      </c>
      <c r="AL39" s="223">
        <f>50000000</f>
        <v>50000000</v>
      </c>
      <c r="AM39" s="224">
        <v>3.8800000000000001E-2</v>
      </c>
      <c r="AN39" s="208">
        <f t="shared" si="10"/>
        <v>5388.8888888888887</v>
      </c>
      <c r="AO39" s="223">
        <f>200000000</f>
        <v>200000000</v>
      </c>
      <c r="AP39" s="224">
        <v>3.8699999999999998E-2</v>
      </c>
      <c r="AQ39" s="208">
        <f t="shared" si="11"/>
        <v>21500</v>
      </c>
      <c r="AR39" s="223"/>
      <c r="AS39" s="224"/>
      <c r="AT39" s="208">
        <f t="shared" si="12"/>
        <v>0</v>
      </c>
      <c r="AU39" s="208">
        <f>28124000</f>
        <v>28124000</v>
      </c>
      <c r="AV39" s="209">
        <v>3.8300000000000001E-2</v>
      </c>
      <c r="AW39" s="208">
        <f t="shared" si="13"/>
        <v>2992.0811111111111</v>
      </c>
      <c r="AX39" s="208">
        <f>75000000+21876000</f>
        <v>96876000</v>
      </c>
      <c r="AY39" s="209">
        <v>3.85E-2</v>
      </c>
      <c r="AZ39" s="208">
        <f t="shared" si="14"/>
        <v>10360.35</v>
      </c>
      <c r="BC39" s="208">
        <f t="shared" si="15"/>
        <v>0</v>
      </c>
      <c r="BF39" s="208">
        <f t="shared" si="16"/>
        <v>0</v>
      </c>
      <c r="BI39" s="208">
        <f t="shared" si="17"/>
        <v>0</v>
      </c>
      <c r="BL39" s="208">
        <f t="shared" si="18"/>
        <v>0</v>
      </c>
      <c r="BO39" s="208">
        <f t="shared" si="19"/>
        <v>0</v>
      </c>
      <c r="BR39" s="208">
        <f t="shared" si="20"/>
        <v>0</v>
      </c>
      <c r="BU39" s="208">
        <f t="shared" si="21"/>
        <v>0</v>
      </c>
      <c r="BX39" s="208">
        <f t="shared" si="22"/>
        <v>0</v>
      </c>
      <c r="CA39" s="208">
        <f t="shared" si="23"/>
        <v>0</v>
      </c>
      <c r="CD39" s="208">
        <f t="shared" si="24"/>
        <v>0</v>
      </c>
      <c r="CG39" s="208">
        <f t="shared" si="25"/>
        <v>0</v>
      </c>
      <c r="CJ39" s="208">
        <f t="shared" si="26"/>
        <v>0</v>
      </c>
      <c r="CM39" s="208">
        <f t="shared" si="27"/>
        <v>0</v>
      </c>
      <c r="CP39" s="208">
        <f t="shared" si="28"/>
        <v>0</v>
      </c>
      <c r="CS39" s="208">
        <f t="shared" si="29"/>
        <v>0</v>
      </c>
      <c r="CV39" s="208">
        <f t="shared" si="30"/>
        <v>0</v>
      </c>
      <c r="CY39" s="208">
        <f t="shared" si="31"/>
        <v>0</v>
      </c>
      <c r="DB39" s="208">
        <f t="shared" si="32"/>
        <v>0</v>
      </c>
      <c r="DE39" s="208">
        <f t="shared" si="33"/>
        <v>0</v>
      </c>
      <c r="DH39" s="208">
        <f t="shared" si="34"/>
        <v>0</v>
      </c>
      <c r="DK39" s="208">
        <f t="shared" si="35"/>
        <v>0</v>
      </c>
      <c r="DN39" s="208">
        <f t="shared" si="36"/>
        <v>0</v>
      </c>
      <c r="DQ39" s="208">
        <f t="shared" si="37"/>
        <v>0</v>
      </c>
      <c r="DT39" s="208">
        <f t="shared" si="38"/>
        <v>0</v>
      </c>
      <c r="DW39" s="208">
        <f t="shared" si="39"/>
        <v>0</v>
      </c>
      <c r="DZ39" s="208"/>
      <c r="EA39" s="208"/>
      <c r="EB39" s="228">
        <f t="shared" si="40"/>
        <v>792125000</v>
      </c>
      <c r="EC39" s="228">
        <f t="shared" si="41"/>
        <v>575000</v>
      </c>
      <c r="ED39" s="208">
        <f t="shared" si="42"/>
        <v>84271.559748611107</v>
      </c>
      <c r="EE39" s="209">
        <f t="shared" si="43"/>
        <v>3.8299209732681076E-2</v>
      </c>
      <c r="EG39" s="228">
        <f t="shared" si="44"/>
        <v>0</v>
      </c>
      <c r="EH39" s="208">
        <f t="shared" si="45"/>
        <v>0</v>
      </c>
      <c r="EI39" s="209">
        <f t="shared" si="46"/>
        <v>0</v>
      </c>
      <c r="EJ39" s="209"/>
      <c r="EK39" s="228">
        <f t="shared" si="47"/>
        <v>791550000</v>
      </c>
      <c r="EL39" s="228">
        <f t="shared" si="48"/>
        <v>0</v>
      </c>
      <c r="EM39" s="228">
        <f t="shared" si="49"/>
        <v>84210.486666666664</v>
      </c>
      <c r="EN39" s="209">
        <f t="shared" si="50"/>
        <v>3.8299254879666476E-2</v>
      </c>
      <c r="EP39" s="208"/>
    </row>
    <row r="40" spans="1:146" x14ac:dyDescent="0.25">
      <c r="A40" s="222">
        <f t="shared" si="51"/>
        <v>46052</v>
      </c>
      <c r="B40" s="208">
        <v>0</v>
      </c>
      <c r="C40" s="209">
        <v>3.8240129999999997E-2</v>
      </c>
      <c r="D40" s="208">
        <f t="shared" si="0"/>
        <v>0</v>
      </c>
      <c r="G40" s="208">
        <f t="shared" si="1"/>
        <v>0</v>
      </c>
      <c r="J40" s="208">
        <f t="shared" si="2"/>
        <v>0</v>
      </c>
      <c r="M40" s="208">
        <f t="shared" si="3"/>
        <v>0</v>
      </c>
      <c r="P40" s="208">
        <f t="shared" si="4"/>
        <v>0</v>
      </c>
      <c r="S40" s="208">
        <f t="shared" si="5"/>
        <v>0</v>
      </c>
      <c r="V40" s="208">
        <f t="shared" si="6"/>
        <v>0</v>
      </c>
      <c r="Y40" s="208">
        <f t="shared" si="7"/>
        <v>0</v>
      </c>
      <c r="AB40" s="208">
        <f t="shared" si="8"/>
        <v>0</v>
      </c>
      <c r="AE40" s="208">
        <v>0</v>
      </c>
      <c r="AH40" s="208">
        <v>0</v>
      </c>
      <c r="AI40" s="223">
        <f>70000000+80000000+125000000+166075000</f>
        <v>441075000</v>
      </c>
      <c r="AJ40" s="224">
        <v>3.7999999999999999E-2</v>
      </c>
      <c r="AK40" s="208">
        <f t="shared" si="9"/>
        <v>46557.916666666664</v>
      </c>
      <c r="AL40" s="223">
        <f>50000000</f>
        <v>50000000</v>
      </c>
      <c r="AM40" s="224">
        <v>3.8800000000000001E-2</v>
      </c>
      <c r="AN40" s="208">
        <f t="shared" si="10"/>
        <v>5388.8888888888887</v>
      </c>
      <c r="AO40" s="223">
        <f>200000000</f>
        <v>200000000</v>
      </c>
      <c r="AP40" s="224">
        <v>3.8699999999999998E-2</v>
      </c>
      <c r="AQ40" s="208">
        <f t="shared" si="11"/>
        <v>21500</v>
      </c>
      <c r="AR40" s="223"/>
      <c r="AS40" s="224"/>
      <c r="AT40" s="208">
        <f t="shared" si="12"/>
        <v>0</v>
      </c>
      <c r="AU40" s="208">
        <f>28124000</f>
        <v>28124000</v>
      </c>
      <c r="AV40" s="209">
        <v>3.8300000000000001E-2</v>
      </c>
      <c r="AW40" s="208">
        <f t="shared" si="13"/>
        <v>2992.0811111111111</v>
      </c>
      <c r="AX40" s="208">
        <f>75000000+21876000</f>
        <v>96876000</v>
      </c>
      <c r="AY40" s="209">
        <v>3.85E-2</v>
      </c>
      <c r="AZ40" s="208">
        <f t="shared" si="14"/>
        <v>10360.35</v>
      </c>
      <c r="BC40" s="208">
        <f t="shared" si="15"/>
        <v>0</v>
      </c>
      <c r="BF40" s="208">
        <f t="shared" si="16"/>
        <v>0</v>
      </c>
      <c r="BI40" s="208">
        <f t="shared" si="17"/>
        <v>0</v>
      </c>
      <c r="BL40" s="208">
        <f t="shared" si="18"/>
        <v>0</v>
      </c>
      <c r="BO40" s="208">
        <f t="shared" si="19"/>
        <v>0</v>
      </c>
      <c r="BR40" s="208">
        <f t="shared" si="20"/>
        <v>0</v>
      </c>
      <c r="BU40" s="208">
        <f t="shared" si="21"/>
        <v>0</v>
      </c>
      <c r="BX40" s="208">
        <f t="shared" si="22"/>
        <v>0</v>
      </c>
      <c r="CA40" s="208">
        <f t="shared" si="23"/>
        <v>0</v>
      </c>
      <c r="CD40" s="208">
        <f t="shared" si="24"/>
        <v>0</v>
      </c>
      <c r="CG40" s="208">
        <f t="shared" si="25"/>
        <v>0</v>
      </c>
      <c r="CJ40" s="208">
        <f t="shared" si="26"/>
        <v>0</v>
      </c>
      <c r="CM40" s="208">
        <f t="shared" si="27"/>
        <v>0</v>
      </c>
      <c r="CP40" s="208">
        <f t="shared" si="28"/>
        <v>0</v>
      </c>
      <c r="CS40" s="208">
        <f t="shared" si="29"/>
        <v>0</v>
      </c>
      <c r="CV40" s="208">
        <f t="shared" si="30"/>
        <v>0</v>
      </c>
      <c r="CY40" s="208">
        <f t="shared" si="31"/>
        <v>0</v>
      </c>
      <c r="DB40" s="208">
        <f t="shared" si="32"/>
        <v>0</v>
      </c>
      <c r="DE40" s="208">
        <f t="shared" si="33"/>
        <v>0</v>
      </c>
      <c r="DH40" s="208">
        <f t="shared" si="34"/>
        <v>0</v>
      </c>
      <c r="DK40" s="208">
        <f t="shared" si="35"/>
        <v>0</v>
      </c>
      <c r="DN40" s="208">
        <f t="shared" si="36"/>
        <v>0</v>
      </c>
      <c r="DQ40" s="208">
        <f t="shared" si="37"/>
        <v>0</v>
      </c>
      <c r="DT40" s="208">
        <f t="shared" si="38"/>
        <v>0</v>
      </c>
      <c r="DW40" s="208">
        <f t="shared" si="39"/>
        <v>0</v>
      </c>
      <c r="DZ40" s="208"/>
      <c r="EA40" s="208"/>
      <c r="EB40" s="228">
        <f t="shared" si="40"/>
        <v>816075000</v>
      </c>
      <c r="EC40" s="228">
        <f t="shared" si="41"/>
        <v>0</v>
      </c>
      <c r="ED40" s="208">
        <f t="shared" si="42"/>
        <v>86799.236666666679</v>
      </c>
      <c r="EE40" s="209">
        <f t="shared" si="43"/>
        <v>3.829026155684221E-2</v>
      </c>
      <c r="EG40" s="228">
        <f t="shared" si="44"/>
        <v>0</v>
      </c>
      <c r="EH40" s="208">
        <f t="shared" si="45"/>
        <v>0</v>
      </c>
      <c r="EI40" s="209">
        <f t="shared" si="46"/>
        <v>0</v>
      </c>
      <c r="EJ40" s="209"/>
      <c r="EK40" s="228">
        <f t="shared" si="47"/>
        <v>816075000</v>
      </c>
      <c r="EL40" s="228">
        <f t="shared" si="48"/>
        <v>0</v>
      </c>
      <c r="EM40" s="228">
        <f t="shared" si="49"/>
        <v>86799.236666666664</v>
      </c>
      <c r="EN40" s="209">
        <f t="shared" si="50"/>
        <v>3.8290261556842203E-2</v>
      </c>
      <c r="EP40" s="208"/>
    </row>
    <row r="41" spans="1:146" x14ac:dyDescent="0.25">
      <c r="A41" s="222">
        <f t="shared" si="51"/>
        <v>46053</v>
      </c>
      <c r="B41" s="208">
        <v>0</v>
      </c>
      <c r="C41" s="209">
        <v>3.8240129999999997E-2</v>
      </c>
      <c r="D41" s="249">
        <f t="shared" si="0"/>
        <v>0</v>
      </c>
      <c r="G41" s="249">
        <f t="shared" si="1"/>
        <v>0</v>
      </c>
      <c r="J41" s="225">
        <f t="shared" si="2"/>
        <v>0</v>
      </c>
      <c r="M41" s="225">
        <f t="shared" si="3"/>
        <v>0</v>
      </c>
      <c r="P41" s="225">
        <f t="shared" si="4"/>
        <v>0</v>
      </c>
      <c r="S41" s="225">
        <f t="shared" si="5"/>
        <v>0</v>
      </c>
      <c r="V41" s="225">
        <f t="shared" si="6"/>
        <v>0</v>
      </c>
      <c r="Y41" s="225">
        <f t="shared" si="7"/>
        <v>0</v>
      </c>
      <c r="AB41" s="225">
        <f t="shared" si="8"/>
        <v>0</v>
      </c>
      <c r="AE41" s="225">
        <v>0</v>
      </c>
      <c r="AH41" s="225">
        <v>0</v>
      </c>
      <c r="AI41" s="208">
        <f>70000000+80000000+125000000+166075000</f>
        <v>441075000</v>
      </c>
      <c r="AJ41" s="209">
        <v>3.7999999999999999E-2</v>
      </c>
      <c r="AK41" s="249">
        <f t="shared" si="9"/>
        <v>46557.916666666664</v>
      </c>
      <c r="AL41" s="208">
        <f>50000000</f>
        <v>50000000</v>
      </c>
      <c r="AM41" s="209">
        <v>3.8800000000000001E-2</v>
      </c>
      <c r="AN41" s="249">
        <f t="shared" si="10"/>
        <v>5388.8888888888887</v>
      </c>
      <c r="AO41" s="208">
        <f>200000000</f>
        <v>200000000</v>
      </c>
      <c r="AP41" s="209">
        <v>3.8699999999999998E-2</v>
      </c>
      <c r="AQ41" s="249">
        <f t="shared" si="11"/>
        <v>21500</v>
      </c>
      <c r="AT41" s="249">
        <f t="shared" si="12"/>
        <v>0</v>
      </c>
      <c r="AU41" s="208">
        <f>28124000</f>
        <v>28124000</v>
      </c>
      <c r="AV41" s="209">
        <v>3.8300000000000001E-2</v>
      </c>
      <c r="AW41" s="249">
        <f t="shared" si="13"/>
        <v>2992.0811111111111</v>
      </c>
      <c r="AX41" s="208">
        <f>75000000+21876000</f>
        <v>96876000</v>
      </c>
      <c r="AY41" s="209">
        <v>3.85E-2</v>
      </c>
      <c r="AZ41" s="249">
        <f t="shared" si="14"/>
        <v>10360.35</v>
      </c>
      <c r="BC41" s="249">
        <f t="shared" si="15"/>
        <v>0</v>
      </c>
      <c r="BF41" s="249">
        <f t="shared" si="16"/>
        <v>0</v>
      </c>
      <c r="BI41" s="249">
        <f t="shared" si="17"/>
        <v>0</v>
      </c>
      <c r="BL41" s="249">
        <f t="shared" si="18"/>
        <v>0</v>
      </c>
      <c r="BO41" s="225">
        <f t="shared" si="19"/>
        <v>0</v>
      </c>
      <c r="BR41" s="225">
        <f t="shared" si="20"/>
        <v>0</v>
      </c>
      <c r="BU41" s="225">
        <f t="shared" si="21"/>
        <v>0</v>
      </c>
      <c r="BX41" s="225">
        <f t="shared" si="22"/>
        <v>0</v>
      </c>
      <c r="CA41" s="225">
        <f t="shared" si="23"/>
        <v>0</v>
      </c>
      <c r="CD41" s="225">
        <f t="shared" si="24"/>
        <v>0</v>
      </c>
      <c r="CG41" s="225">
        <f t="shared" si="25"/>
        <v>0</v>
      </c>
      <c r="CJ41" s="225">
        <f t="shared" si="26"/>
        <v>0</v>
      </c>
      <c r="CM41" s="225">
        <f t="shared" si="27"/>
        <v>0</v>
      </c>
      <c r="CP41" s="225">
        <f t="shared" si="28"/>
        <v>0</v>
      </c>
      <c r="CS41" s="225">
        <f t="shared" si="29"/>
        <v>0</v>
      </c>
      <c r="CV41" s="225">
        <f t="shared" si="30"/>
        <v>0</v>
      </c>
      <c r="CY41" s="225">
        <f t="shared" si="31"/>
        <v>0</v>
      </c>
      <c r="DB41" s="225">
        <f t="shared" si="32"/>
        <v>0</v>
      </c>
      <c r="DE41" s="225">
        <f t="shared" si="33"/>
        <v>0</v>
      </c>
      <c r="DH41" s="225">
        <f t="shared" si="34"/>
        <v>0</v>
      </c>
      <c r="DK41" s="225">
        <f t="shared" si="35"/>
        <v>0</v>
      </c>
      <c r="DN41" s="225">
        <f t="shared" si="36"/>
        <v>0</v>
      </c>
      <c r="DQ41" s="225">
        <f t="shared" si="37"/>
        <v>0</v>
      </c>
      <c r="DT41" s="225">
        <f t="shared" si="38"/>
        <v>0</v>
      </c>
      <c r="DW41" s="225">
        <f t="shared" si="39"/>
        <v>0</v>
      </c>
      <c r="DZ41" s="208"/>
      <c r="EA41" s="208"/>
      <c r="EB41" s="208">
        <f t="shared" si="40"/>
        <v>816075000</v>
      </c>
      <c r="EC41" s="208">
        <f t="shared" si="41"/>
        <v>0</v>
      </c>
      <c r="ED41" s="249">
        <f t="shared" si="42"/>
        <v>86799.236666666679</v>
      </c>
      <c r="EE41" s="209">
        <f t="shared" si="43"/>
        <v>3.829026155684221E-2</v>
      </c>
      <c r="EG41" s="208">
        <f t="shared" si="44"/>
        <v>0</v>
      </c>
      <c r="EH41" s="225">
        <f t="shared" si="45"/>
        <v>0</v>
      </c>
      <c r="EI41" s="209">
        <f t="shared" si="46"/>
        <v>0</v>
      </c>
      <c r="EJ41" s="209"/>
      <c r="EK41" s="208">
        <f t="shared" si="47"/>
        <v>816075000</v>
      </c>
      <c r="EL41" s="208">
        <f t="shared" si="48"/>
        <v>0</v>
      </c>
      <c r="EM41" s="249">
        <f t="shared" si="49"/>
        <v>86799.236666666664</v>
      </c>
      <c r="EN41" s="209">
        <f t="shared" si="50"/>
        <v>3.8290261556842203E-2</v>
      </c>
    </row>
    <row r="42" spans="1:146" x14ac:dyDescent="0.25">
      <c r="A42" s="166" t="s">
        <v>35</v>
      </c>
      <c r="D42" s="208">
        <f>SUM(D11:D41)</f>
        <v>10522.93344027778</v>
      </c>
      <c r="F42" s="208"/>
      <c r="G42" s="208">
        <f>SUM(G11:G41)</f>
        <v>0</v>
      </c>
      <c r="I42" s="208"/>
      <c r="J42" s="208">
        <f>SUM(J11:J41)</f>
        <v>0</v>
      </c>
      <c r="L42" s="208"/>
      <c r="M42" s="208">
        <f>SUM(M11:M41)</f>
        <v>0</v>
      </c>
      <c r="O42" s="208"/>
      <c r="P42" s="208">
        <f>SUM(P11:P41)</f>
        <v>0</v>
      </c>
      <c r="R42" s="208"/>
      <c r="S42" s="208">
        <f>SUM(S11:S41)</f>
        <v>0</v>
      </c>
      <c r="U42" s="208"/>
      <c r="V42" s="208">
        <f>SUM(V11:V41)</f>
        <v>0</v>
      </c>
      <c r="X42" s="208"/>
      <c r="Y42" s="208">
        <f>SUM(Y11:Y41)</f>
        <v>0</v>
      </c>
      <c r="AA42" s="208"/>
      <c r="AB42" s="208">
        <f>SUM(AB11:AB41)</f>
        <v>0</v>
      </c>
      <c r="AD42" s="208"/>
      <c r="AE42" s="208">
        <f>SUM(AE11:AE41)</f>
        <v>0</v>
      </c>
      <c r="AG42" s="208"/>
      <c r="AH42" s="208">
        <f>SUM(AH11:AH41)</f>
        <v>0</v>
      </c>
      <c r="AJ42" s="208"/>
      <c r="AK42" s="208">
        <f>SUM(AK11:AK41)</f>
        <v>1248220.7822222223</v>
      </c>
      <c r="AM42" s="208"/>
      <c r="AN42" s="208">
        <f>SUM(AN11:AN41)</f>
        <v>344138.72222222213</v>
      </c>
      <c r="AP42" s="208"/>
      <c r="AQ42" s="208">
        <f>SUM(AQ11:AQ41)</f>
        <v>241066.11444444439</v>
      </c>
      <c r="AS42" s="208"/>
      <c r="AT42" s="208">
        <f>SUM(AT11:AT41)</f>
        <v>19113.5</v>
      </c>
      <c r="AV42" s="208"/>
      <c r="AW42" s="208">
        <f>SUM(AW11:AW41)</f>
        <v>11968.324444444444</v>
      </c>
      <c r="AY42" s="208"/>
      <c r="AZ42" s="208">
        <f>SUM(AZ11:AZ41)</f>
        <v>41441.4</v>
      </c>
      <c r="BB42" s="208"/>
      <c r="BC42" s="208">
        <f>SUM(BC11:BC41)</f>
        <v>0</v>
      </c>
      <c r="BE42" s="208"/>
      <c r="BF42" s="208">
        <f>SUM(BF11:BF41)</f>
        <v>0</v>
      </c>
      <c r="BH42" s="208"/>
      <c r="BI42" s="208">
        <f>SUM(BI11:BI41)</f>
        <v>0</v>
      </c>
      <c r="BK42" s="208"/>
      <c r="BL42" s="208">
        <f>SUM(BL11:BL41)</f>
        <v>0</v>
      </c>
      <c r="BN42" s="208"/>
      <c r="BO42" s="208">
        <f>SUM(BO11:BO41)</f>
        <v>0</v>
      </c>
      <c r="BQ42" s="208"/>
      <c r="BR42" s="208">
        <f>SUM(BR11:BR41)</f>
        <v>0</v>
      </c>
      <c r="BT42" s="208"/>
      <c r="BU42" s="208">
        <f>SUM(BU11:BU41)</f>
        <v>0</v>
      </c>
      <c r="BW42" s="208"/>
      <c r="BX42" s="208">
        <f>SUM(BX11:BX41)</f>
        <v>0</v>
      </c>
      <c r="BZ42" s="208"/>
      <c r="CA42" s="208">
        <f>SUM(CA11:CA41)</f>
        <v>0</v>
      </c>
      <c r="CC42" s="208"/>
      <c r="CD42" s="208">
        <f>SUM(CD11:CD41)</f>
        <v>0</v>
      </c>
      <c r="CF42" s="208"/>
      <c r="CG42" s="208">
        <f>SUM(CG11:CG41)</f>
        <v>0</v>
      </c>
      <c r="CI42" s="208"/>
      <c r="CJ42" s="208">
        <f>SUM(CJ11:CJ41)</f>
        <v>0</v>
      </c>
      <c r="CL42" s="208"/>
      <c r="CM42" s="208">
        <f>SUM(CM11:CM41)</f>
        <v>0</v>
      </c>
      <c r="CO42" s="208"/>
      <c r="CP42" s="208">
        <f>SUM(CP11:CP41)</f>
        <v>0</v>
      </c>
      <c r="CR42" s="208"/>
      <c r="CS42" s="208">
        <f>SUM(CS11:CS41)</f>
        <v>0</v>
      </c>
      <c r="CU42" s="208"/>
      <c r="CV42" s="208">
        <f>SUM(CV11:CV41)</f>
        <v>0</v>
      </c>
      <c r="CX42" s="208"/>
      <c r="CY42" s="208">
        <f>SUM(CY11:CY41)</f>
        <v>0</v>
      </c>
      <c r="DA42" s="208"/>
      <c r="DB42" s="208">
        <f>SUM(DB11:DB41)</f>
        <v>0</v>
      </c>
      <c r="DD42" s="208"/>
      <c r="DE42" s="208">
        <f>SUM(DE11:DE41)</f>
        <v>0</v>
      </c>
      <c r="DG42" s="208"/>
      <c r="DH42" s="208">
        <f>SUM(DH11:DH41)</f>
        <v>0</v>
      </c>
      <c r="DJ42" s="208"/>
      <c r="DK42" s="208">
        <f>SUM(DK11:DK41)</f>
        <v>0</v>
      </c>
      <c r="DM42" s="208"/>
      <c r="DN42" s="208">
        <f>SUM(DN11:DN41)</f>
        <v>0</v>
      </c>
      <c r="DP42" s="208"/>
      <c r="DQ42" s="208">
        <f>SUM(DQ11:DQ41)</f>
        <v>0</v>
      </c>
      <c r="DS42" s="208"/>
      <c r="DT42" s="208">
        <f>SUM(DT11:DT41)</f>
        <v>0</v>
      </c>
      <c r="DV42" s="208"/>
      <c r="DW42" s="208">
        <f>SUM(DW11:DW41)</f>
        <v>0</v>
      </c>
      <c r="DY42" s="208"/>
      <c r="DZ42" s="208"/>
      <c r="EA42" s="208"/>
      <c r="EB42" s="208"/>
      <c r="EC42" s="208"/>
      <c r="ED42" s="208">
        <f>SUM(ED11:ED41)</f>
        <v>1916471.7767736111</v>
      </c>
      <c r="EE42" s="208"/>
      <c r="EF42" s="208"/>
      <c r="EG42" s="208"/>
      <c r="EH42" s="208">
        <f>SUM(EH11:EH41)</f>
        <v>0</v>
      </c>
      <c r="EI42" s="208"/>
      <c r="EJ42" s="208"/>
      <c r="EK42" s="208"/>
      <c r="EL42" s="208"/>
      <c r="EM42" s="208">
        <f>SUM(EM11:EM41)</f>
        <v>1905948.8433333335</v>
      </c>
      <c r="EN42" s="208"/>
    </row>
    <row r="43" spans="1:146" x14ac:dyDescent="0.25">
      <c r="EM43" s="226"/>
    </row>
    <row r="44" spans="1:146" x14ac:dyDescent="0.25">
      <c r="EM44" s="208"/>
    </row>
    <row r="45" spans="1:146" x14ac:dyDescent="0.25">
      <c r="EM45" s="208"/>
    </row>
    <row r="47" spans="1:146" x14ac:dyDescent="0.25">
      <c r="EM47" s="208"/>
    </row>
  </sheetData>
  <pageMargins left="0.7" right="0.7" top="0.75" bottom="0.75" header="0.3" footer="0.3"/>
  <pageSetup scale="60" orientation="portrait" r:id="rId1"/>
  <headerFooter>
    <oddFooter>&amp;CSchedule RL-1</oddFooter>
  </headerFooter>
  <colBreaks count="5" manualBreakCount="5">
    <brk id="34" max="1048575" man="1"/>
    <brk id="43" max="41" man="1"/>
    <brk id="52" max="41" man="1"/>
    <brk id="64" max="1048575" man="1"/>
    <brk id="130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5"/>
  <dimension ref="A1:EQ47"/>
  <sheetViews>
    <sheetView zoomScaleNormal="100" workbookViewId="0">
      <selection activeCell="B1" sqref="B1"/>
    </sheetView>
  </sheetViews>
  <sheetFormatPr defaultRowHeight="15" x14ac:dyDescent="0.25"/>
  <cols>
    <col min="1" max="1" width="14.5703125" style="166" bestFit="1" customWidth="1"/>
    <col min="2" max="2" width="18" style="208" customWidth="1"/>
    <col min="3" max="3" width="15.42578125" style="209" bestFit="1" customWidth="1"/>
    <col min="4" max="4" width="15.42578125" style="166" bestFit="1" customWidth="1"/>
    <col min="5" max="5" width="15.5703125" style="208" bestFit="1" customWidth="1"/>
    <col min="6" max="6" width="12.28515625" style="209" bestFit="1" customWidth="1"/>
    <col min="7" max="7" width="21.5703125" style="166" customWidth="1"/>
    <col min="8" max="8" width="15.42578125" style="208" hidden="1" customWidth="1"/>
    <col min="9" max="9" width="10.28515625" style="209" hidden="1" customWidth="1"/>
    <col min="10" max="10" width="13.42578125" style="166" hidden="1" customWidth="1"/>
    <col min="11" max="11" width="14.42578125" style="208" hidden="1" customWidth="1"/>
    <col min="12" max="12" width="10.28515625" style="209" hidden="1" customWidth="1"/>
    <col min="13" max="13" width="11.7109375" style="166" hidden="1" customWidth="1"/>
    <col min="14" max="14" width="14.42578125" style="208" hidden="1" customWidth="1"/>
    <col min="15" max="15" width="10.28515625" style="209" hidden="1" customWidth="1"/>
    <col min="16" max="16" width="11.7109375" style="166" hidden="1" customWidth="1"/>
    <col min="17" max="17" width="15.42578125" style="208" hidden="1" customWidth="1"/>
    <col min="18" max="18" width="10.28515625" style="209" hidden="1" customWidth="1"/>
    <col min="19" max="19" width="11.7109375" style="166" hidden="1" customWidth="1"/>
    <col min="20" max="20" width="15.42578125" style="208" hidden="1" customWidth="1"/>
    <col min="21" max="21" width="10.28515625" style="209" hidden="1" customWidth="1"/>
    <col min="22" max="22" width="11.7109375" style="166" hidden="1" customWidth="1"/>
    <col min="23" max="23" width="15.42578125" style="208" hidden="1" customWidth="1"/>
    <col min="24" max="24" width="10.28515625" style="209" hidden="1" customWidth="1"/>
    <col min="25" max="25" width="11.7109375" style="166" hidden="1" customWidth="1"/>
    <col min="26" max="26" width="15.42578125" style="208" hidden="1" customWidth="1"/>
    <col min="27" max="27" width="10.28515625" style="209" hidden="1" customWidth="1"/>
    <col min="28" max="28" width="11.7109375" style="166" hidden="1" customWidth="1"/>
    <col min="29" max="29" width="15.42578125" style="208" hidden="1" customWidth="1"/>
    <col min="30" max="30" width="10.28515625" style="209" hidden="1" customWidth="1"/>
    <col min="31" max="31" width="11.7109375" style="166" hidden="1" customWidth="1"/>
    <col min="32" max="32" width="14.42578125" style="208" hidden="1" customWidth="1"/>
    <col min="33" max="33" width="10.28515625" style="209" hidden="1" customWidth="1"/>
    <col min="34" max="34" width="10.7109375" style="166" hidden="1" customWidth="1"/>
    <col min="35" max="35" width="14.42578125" style="208" customWidth="1"/>
    <col min="36" max="36" width="11.7109375" style="209" customWidth="1"/>
    <col min="37" max="37" width="16.5703125" style="166" customWidth="1"/>
    <col min="38" max="38" width="14.42578125" style="208" customWidth="1"/>
    <col min="39" max="39" width="13.140625" style="209" customWidth="1"/>
    <col min="40" max="40" width="13.7109375" style="166" bestFit="1" customWidth="1"/>
    <col min="41" max="41" width="15.42578125" style="208" bestFit="1" customWidth="1"/>
    <col min="42" max="42" width="12.28515625" style="209" bestFit="1" customWidth="1"/>
    <col min="43" max="43" width="17.140625" style="166" customWidth="1"/>
    <col min="44" max="44" width="15.42578125" style="208" bestFit="1" customWidth="1"/>
    <col min="45" max="45" width="16.28515625" style="209" customWidth="1"/>
    <col min="46" max="46" width="16" style="166" customWidth="1"/>
    <col min="47" max="47" width="19.7109375" style="208" customWidth="1"/>
    <col min="48" max="48" width="14.28515625" style="209" customWidth="1"/>
    <col min="49" max="49" width="13.85546875" style="166" customWidth="1"/>
    <col min="50" max="50" width="19.42578125" style="208" customWidth="1"/>
    <col min="51" max="51" width="14.28515625" style="209" customWidth="1"/>
    <col min="52" max="52" width="13.85546875" style="166" customWidth="1"/>
    <col min="53" max="53" width="17.42578125" style="208" customWidth="1"/>
    <col min="54" max="54" width="12.140625" style="209" customWidth="1"/>
    <col min="55" max="55" width="13.28515625" style="166" customWidth="1"/>
    <col min="56" max="56" width="18.7109375" style="208" customWidth="1"/>
    <col min="57" max="57" width="12.42578125" style="209" customWidth="1"/>
    <col min="58" max="58" width="15" style="166" customWidth="1"/>
    <col min="59" max="59" width="17.7109375" style="208" customWidth="1"/>
    <col min="60" max="60" width="12.7109375" style="209" customWidth="1"/>
    <col min="61" max="61" width="14" style="166" customWidth="1"/>
    <col min="62" max="62" width="18.28515625" style="208" customWidth="1"/>
    <col min="63" max="63" width="12.5703125" style="209" customWidth="1"/>
    <col min="64" max="64" width="12.5703125" style="166" customWidth="1"/>
    <col min="65" max="65" width="14.42578125" style="208" hidden="1" customWidth="1"/>
    <col min="66" max="66" width="10.28515625" style="209" hidden="1" customWidth="1"/>
    <col min="67" max="67" width="10.7109375" style="166" hidden="1" customWidth="1"/>
    <col min="68" max="68" width="14.42578125" style="208" hidden="1" customWidth="1"/>
    <col min="69" max="69" width="10.28515625" style="209" hidden="1" customWidth="1"/>
    <col min="70" max="70" width="10.7109375" style="166" hidden="1" customWidth="1"/>
    <col min="71" max="71" width="14.42578125" style="208" hidden="1" customWidth="1"/>
    <col min="72" max="72" width="10.28515625" style="209" hidden="1" customWidth="1"/>
    <col min="73" max="73" width="10.7109375" style="166" hidden="1" customWidth="1"/>
    <col min="74" max="74" width="14.42578125" style="208" hidden="1" customWidth="1"/>
    <col min="75" max="75" width="10.28515625" style="209" hidden="1" customWidth="1"/>
    <col min="76" max="76" width="10.7109375" style="166" hidden="1" customWidth="1"/>
    <col min="77" max="77" width="14.42578125" style="208" hidden="1" customWidth="1"/>
    <col min="78" max="78" width="10.28515625" style="209" hidden="1" customWidth="1"/>
    <col min="79" max="79" width="10.7109375" style="166" hidden="1" customWidth="1"/>
    <col min="80" max="80" width="14.42578125" style="208" hidden="1" customWidth="1"/>
    <col min="81" max="81" width="10.28515625" style="209" hidden="1" customWidth="1"/>
    <col min="82" max="82" width="10.7109375" style="166" hidden="1" customWidth="1"/>
    <col min="83" max="83" width="14.42578125" style="208" hidden="1" customWidth="1"/>
    <col min="84" max="84" width="10.28515625" style="209" hidden="1" customWidth="1"/>
    <col min="85" max="85" width="10.7109375" style="166" hidden="1" customWidth="1"/>
    <col min="86" max="86" width="14.42578125" style="208" hidden="1" customWidth="1"/>
    <col min="87" max="87" width="10.28515625" style="209" hidden="1" customWidth="1"/>
    <col min="88" max="88" width="10.7109375" style="166" hidden="1" customWidth="1"/>
    <col min="89" max="89" width="14.42578125" style="208" hidden="1" customWidth="1"/>
    <col min="90" max="90" width="10.28515625" style="209" hidden="1" customWidth="1"/>
    <col min="91" max="91" width="10.7109375" style="166" hidden="1" customWidth="1"/>
    <col min="92" max="92" width="14.42578125" style="208" hidden="1" customWidth="1"/>
    <col min="93" max="93" width="10.28515625" style="209" hidden="1" customWidth="1"/>
    <col min="94" max="94" width="10.7109375" style="166" hidden="1" customWidth="1"/>
    <col min="95" max="95" width="14.42578125" style="208" hidden="1" customWidth="1"/>
    <col min="96" max="96" width="10.28515625" style="209" hidden="1" customWidth="1"/>
    <col min="97" max="97" width="10.7109375" style="166" hidden="1" customWidth="1"/>
    <col min="98" max="98" width="14.42578125" style="208" hidden="1" customWidth="1"/>
    <col min="99" max="99" width="10.28515625" style="209" hidden="1" customWidth="1"/>
    <col min="100" max="100" width="10.7109375" style="166" hidden="1" customWidth="1"/>
    <col min="101" max="101" width="14.42578125" style="208" hidden="1" customWidth="1"/>
    <col min="102" max="102" width="10.28515625" style="209" hidden="1" customWidth="1"/>
    <col min="103" max="103" width="10.7109375" style="166" hidden="1" customWidth="1"/>
    <col min="104" max="104" width="14.42578125" style="208" hidden="1" customWidth="1"/>
    <col min="105" max="105" width="10.28515625" style="209" hidden="1" customWidth="1"/>
    <col min="106" max="106" width="10.7109375" style="166" hidden="1" customWidth="1"/>
    <col min="107" max="107" width="14.42578125" style="208" hidden="1" customWidth="1"/>
    <col min="108" max="108" width="10.28515625" style="209" hidden="1" customWidth="1"/>
    <col min="109" max="109" width="10.7109375" style="166" hidden="1" customWidth="1"/>
    <col min="110" max="110" width="14.42578125" style="208" hidden="1" customWidth="1"/>
    <col min="111" max="111" width="10.28515625" style="209" hidden="1" customWidth="1"/>
    <col min="112" max="112" width="10.7109375" style="166" hidden="1" customWidth="1"/>
    <col min="113" max="113" width="14.42578125" style="208" hidden="1" customWidth="1"/>
    <col min="114" max="114" width="10.28515625" style="209" hidden="1" customWidth="1"/>
    <col min="115" max="115" width="10.7109375" style="166" hidden="1" customWidth="1"/>
    <col min="116" max="116" width="14.42578125" style="208" hidden="1" customWidth="1"/>
    <col min="117" max="117" width="10.28515625" style="209" hidden="1" customWidth="1"/>
    <col min="118" max="118" width="10.7109375" style="166" hidden="1" customWidth="1"/>
    <col min="119" max="119" width="14.42578125" style="208" hidden="1" customWidth="1"/>
    <col min="120" max="120" width="10.28515625" style="209" hidden="1" customWidth="1"/>
    <col min="121" max="121" width="10.7109375" style="166" hidden="1" customWidth="1"/>
    <col min="122" max="122" width="14.42578125" style="208" hidden="1" customWidth="1"/>
    <col min="123" max="123" width="10.28515625" style="209" hidden="1" customWidth="1"/>
    <col min="124" max="124" width="10.7109375" style="166" hidden="1" customWidth="1"/>
    <col min="125" max="125" width="14.42578125" style="208" hidden="1" customWidth="1"/>
    <col min="126" max="126" width="10.28515625" style="209" hidden="1" customWidth="1"/>
    <col min="127" max="127" width="10.7109375" style="166" hidden="1" customWidth="1"/>
    <col min="128" max="128" width="14.42578125" style="208" hidden="1" customWidth="1"/>
    <col min="129" max="129" width="10.28515625" style="209" hidden="1" customWidth="1"/>
    <col min="130" max="130" width="10.7109375" style="166" hidden="1" customWidth="1"/>
    <col min="131" max="131" width="2.7109375" style="166" customWidth="1"/>
    <col min="132" max="132" width="19.85546875" style="166" customWidth="1"/>
    <col min="133" max="133" width="15.42578125" style="166" hidden="1" customWidth="1"/>
    <col min="134" max="134" width="16.28515625" style="166" customWidth="1"/>
    <col min="135" max="135" width="20.140625" style="166" customWidth="1"/>
    <col min="136" max="136" width="2.7109375" style="166" customWidth="1"/>
    <col min="137" max="137" width="15.42578125" style="166" hidden="1" customWidth="1"/>
    <col min="138" max="138" width="14.42578125" style="166" hidden="1" customWidth="1"/>
    <col min="139" max="139" width="12.42578125" style="166" hidden="1" customWidth="1"/>
    <col min="140" max="140" width="2.7109375" style="166" hidden="1" customWidth="1"/>
    <col min="141" max="141" width="21.140625" style="166" customWidth="1"/>
    <col min="142" max="142" width="15.42578125" style="166" hidden="1" customWidth="1"/>
    <col min="143" max="143" width="14.42578125" style="166" bestFit="1" customWidth="1"/>
    <col min="144" max="144" width="21" style="166" customWidth="1"/>
    <col min="145" max="145" width="42.85546875" style="166" bestFit="1" customWidth="1"/>
    <col min="146" max="146" width="19.42578125" style="166" bestFit="1" customWidth="1"/>
    <col min="147" max="147" width="26.7109375" style="166" customWidth="1"/>
    <col min="148" max="16384" width="9.140625" style="166"/>
  </cols>
  <sheetData>
    <row r="1" spans="1:147" s="175" customFormat="1" x14ac:dyDescent="0.25">
      <c r="A1" s="227" t="s">
        <v>0</v>
      </c>
      <c r="B1" s="228"/>
      <c r="C1" s="229"/>
      <c r="E1" s="228"/>
      <c r="F1" s="229"/>
      <c r="H1" s="228"/>
      <c r="I1" s="229"/>
      <c r="K1" s="228"/>
      <c r="L1" s="229"/>
      <c r="N1" s="228"/>
      <c r="O1" s="229"/>
      <c r="Q1" s="228"/>
      <c r="R1" s="229"/>
      <c r="T1" s="228"/>
      <c r="U1" s="229"/>
      <c r="W1" s="228"/>
      <c r="X1" s="229"/>
      <c r="Z1" s="228"/>
      <c r="AA1" s="229"/>
      <c r="AC1" s="228"/>
      <c r="AD1" s="229"/>
      <c r="AF1" s="228"/>
      <c r="AG1" s="229"/>
      <c r="AI1" s="228"/>
      <c r="AJ1" s="229"/>
      <c r="AL1" s="228"/>
      <c r="AM1" s="229"/>
      <c r="AO1" s="228"/>
      <c r="AP1" s="229"/>
      <c r="AR1" s="228"/>
      <c r="AS1" s="229"/>
      <c r="AU1" s="228"/>
      <c r="AV1" s="229"/>
      <c r="AX1" s="228"/>
      <c r="AY1" s="229"/>
      <c r="BA1" s="228"/>
      <c r="BB1" s="229"/>
      <c r="BD1" s="228"/>
      <c r="BE1" s="229"/>
      <c r="BG1" s="228"/>
      <c r="BH1" s="229"/>
      <c r="BJ1" s="228"/>
      <c r="BK1" s="229"/>
      <c r="BM1" s="228"/>
      <c r="BN1" s="229"/>
      <c r="BP1" s="228"/>
      <c r="BQ1" s="229"/>
      <c r="BS1" s="228"/>
      <c r="BT1" s="229"/>
      <c r="BV1" s="228"/>
      <c r="BW1" s="229"/>
      <c r="BY1" s="228"/>
      <c r="BZ1" s="229"/>
      <c r="CB1" s="228"/>
      <c r="CC1" s="229"/>
      <c r="CE1" s="228"/>
      <c r="CF1" s="229"/>
      <c r="CH1" s="228"/>
      <c r="CI1" s="229"/>
      <c r="CK1" s="228"/>
      <c r="CL1" s="229"/>
      <c r="CN1" s="228"/>
      <c r="CO1" s="229"/>
      <c r="CQ1" s="228"/>
      <c r="CR1" s="229"/>
      <c r="CT1" s="228"/>
      <c r="CU1" s="229"/>
      <c r="CW1" s="228"/>
      <c r="CX1" s="229"/>
      <c r="CZ1" s="228"/>
      <c r="DA1" s="229"/>
      <c r="DC1" s="228"/>
      <c r="DD1" s="229"/>
      <c r="DF1" s="228"/>
      <c r="DG1" s="229"/>
      <c r="DI1" s="228"/>
      <c r="DJ1" s="229"/>
      <c r="DL1" s="228"/>
      <c r="DM1" s="229"/>
      <c r="DO1" s="228"/>
      <c r="DP1" s="229"/>
      <c r="DR1" s="228"/>
      <c r="DS1" s="229"/>
      <c r="DU1" s="228"/>
      <c r="DV1" s="229"/>
      <c r="DX1" s="228"/>
      <c r="DY1" s="229"/>
      <c r="DZ1" s="230"/>
      <c r="ED1" s="169"/>
      <c r="EE1" s="231" t="s">
        <v>37</v>
      </c>
      <c r="EI1" s="169" t="s">
        <v>38</v>
      </c>
      <c r="EM1" s="169"/>
      <c r="EN1" s="169" t="s">
        <v>39</v>
      </c>
      <c r="EO1" s="227" t="s">
        <v>40</v>
      </c>
      <c r="EP1" s="227" t="s">
        <v>41</v>
      </c>
      <c r="EQ1" s="227" t="s">
        <v>42</v>
      </c>
    </row>
    <row r="2" spans="1:147" s="175" customFormat="1" ht="15.75" thickBot="1" x14ac:dyDescent="0.3">
      <c r="A2" s="227" t="s">
        <v>43</v>
      </c>
      <c r="B2" s="228"/>
      <c r="C2" s="229"/>
      <c r="E2" s="230"/>
      <c r="F2" s="229"/>
      <c r="G2" s="169"/>
      <c r="H2" s="228"/>
      <c r="I2" s="229"/>
      <c r="K2" s="228"/>
      <c r="L2" s="229"/>
      <c r="N2" s="228"/>
      <c r="O2" s="229"/>
      <c r="Q2" s="228"/>
      <c r="R2" s="229"/>
      <c r="T2" s="228"/>
      <c r="U2" s="229"/>
      <c r="W2" s="228"/>
      <c r="X2" s="229"/>
      <c r="Z2" s="228"/>
      <c r="AA2" s="229"/>
      <c r="AC2" s="228"/>
      <c r="AD2" s="229"/>
      <c r="AF2" s="228"/>
      <c r="AG2" s="229"/>
      <c r="AI2" s="228"/>
      <c r="AJ2" s="229"/>
      <c r="AL2" s="228"/>
      <c r="AM2" s="229"/>
      <c r="AO2" s="228"/>
      <c r="AP2" s="229"/>
      <c r="AR2" s="228"/>
      <c r="AS2" s="229"/>
      <c r="AU2" s="228"/>
      <c r="AV2" s="229"/>
      <c r="AX2" s="228"/>
      <c r="AY2" s="229"/>
      <c r="BA2" s="228"/>
      <c r="BB2" s="229"/>
      <c r="BD2" s="228"/>
      <c r="BE2" s="229"/>
      <c r="BG2" s="228"/>
      <c r="BH2" s="229"/>
      <c r="BJ2" s="228"/>
      <c r="BK2" s="229"/>
      <c r="BM2" s="228"/>
      <c r="BN2" s="229"/>
      <c r="BP2" s="228"/>
      <c r="BQ2" s="229"/>
      <c r="BS2" s="228"/>
      <c r="BT2" s="229"/>
      <c r="BV2" s="228"/>
      <c r="BW2" s="229"/>
      <c r="BY2" s="228"/>
      <c r="BZ2" s="229"/>
      <c r="CB2" s="228"/>
      <c r="CC2" s="229"/>
      <c r="CE2" s="228"/>
      <c r="CF2" s="229"/>
      <c r="CH2" s="228"/>
      <c r="CI2" s="229"/>
      <c r="CK2" s="228"/>
      <c r="CL2" s="229"/>
      <c r="CN2" s="228"/>
      <c r="CO2" s="229"/>
      <c r="CQ2" s="228"/>
      <c r="CR2" s="229"/>
      <c r="CT2" s="228"/>
      <c r="CU2" s="229"/>
      <c r="CW2" s="228"/>
      <c r="CX2" s="229"/>
      <c r="CZ2" s="228"/>
      <c r="DA2" s="229"/>
      <c r="DC2" s="228"/>
      <c r="DD2" s="229"/>
      <c r="DF2" s="228"/>
      <c r="DG2" s="229"/>
      <c r="DI2" s="228"/>
      <c r="DJ2" s="229"/>
      <c r="DL2" s="228"/>
      <c r="DM2" s="229"/>
      <c r="DO2" s="228"/>
      <c r="DP2" s="229"/>
      <c r="DR2" s="228"/>
      <c r="DS2" s="229"/>
      <c r="DU2" s="228"/>
      <c r="DV2" s="229"/>
      <c r="DX2" s="228"/>
      <c r="DY2" s="229"/>
      <c r="EB2" s="166" t="s">
        <v>44</v>
      </c>
      <c r="EC2" s="166"/>
      <c r="ED2" s="208"/>
      <c r="EE2" s="208">
        <f>EB38</f>
        <v>165225000</v>
      </c>
      <c r="EI2" s="208" t="e">
        <f>#REF!</f>
        <v>#REF!</v>
      </c>
      <c r="EM2" s="208"/>
      <c r="EN2" s="208">
        <f>EK38</f>
        <v>165225000</v>
      </c>
      <c r="EO2" s="232">
        <v>-17486.310000000001</v>
      </c>
      <c r="EP2" s="228">
        <f>EN2+EO2</f>
        <v>165207513.69</v>
      </c>
      <c r="EQ2" s="228">
        <f>EE2+EO2</f>
        <v>165207513.69</v>
      </c>
    </row>
    <row r="3" spans="1:147" ht="15.75" thickTop="1" x14ac:dyDescent="0.25">
      <c r="A3" s="233" t="s">
        <v>263</v>
      </c>
      <c r="E3" s="234" t="s">
        <v>45</v>
      </c>
      <c r="F3" s="210"/>
      <c r="G3" s="211"/>
      <c r="EB3" s="166" t="s">
        <v>46</v>
      </c>
      <c r="ED3" s="208"/>
      <c r="EE3" s="208">
        <f>AVERAGE(EB11:EB38)</f>
        <v>846934250</v>
      </c>
      <c r="EI3" s="208">
        <f>AVERAGE(EG11:EG38)</f>
        <v>0</v>
      </c>
      <c r="EM3" s="208"/>
      <c r="EN3" s="208">
        <f>AVERAGE(EK11:EK38)</f>
        <v>842641392.85714281</v>
      </c>
    </row>
    <row r="4" spans="1:147" x14ac:dyDescent="0.25">
      <c r="E4" s="212" t="s">
        <v>44</v>
      </c>
      <c r="F4" s="208"/>
      <c r="G4" s="213">
        <f>EQ2</f>
        <v>165207513.69</v>
      </c>
      <c r="AI4" s="227" t="s">
        <v>47</v>
      </c>
      <c r="EB4" s="166" t="s">
        <v>48</v>
      </c>
      <c r="ED4" s="209"/>
      <c r="EE4" s="209">
        <f>IF(EE3=0,0,360*(AVERAGE(ED11:ED38)/EE3))</f>
        <v>3.8304703095500874E-2</v>
      </c>
      <c r="EI4" s="209">
        <f>IF(EI3=0,0,360*(AVERAGE(EH11:EH38)/EI3))</f>
        <v>0</v>
      </c>
      <c r="EM4" s="209"/>
      <c r="EN4" s="209">
        <f>IF(EN3=0,0,360*(AVERAGE(EM11:EM38)/EN3))</f>
        <v>3.8307374514806952E-2</v>
      </c>
      <c r="EO4" s="175" t="s">
        <v>239</v>
      </c>
      <c r="EQ4" s="169" t="s">
        <v>47</v>
      </c>
    </row>
    <row r="5" spans="1:147" x14ac:dyDescent="0.25">
      <c r="E5" s="212" t="s">
        <v>46</v>
      </c>
      <c r="F5" s="208"/>
      <c r="G5" s="213">
        <f>EE3</f>
        <v>846934250</v>
      </c>
      <c r="AI5" s="235" t="s">
        <v>39</v>
      </c>
      <c r="EB5" s="166" t="s">
        <v>49</v>
      </c>
      <c r="ED5" s="208"/>
      <c r="EE5" s="208">
        <f>MAX(EB11:EB38)</f>
        <v>1360050000</v>
      </c>
      <c r="EI5" s="208">
        <f>MAX(EG11:EG38)</f>
        <v>0</v>
      </c>
      <c r="EM5" s="208"/>
      <c r="EN5" s="208">
        <f>MAX(EK11:EK38)</f>
        <v>1360050000</v>
      </c>
      <c r="EO5" s="166" t="s">
        <v>240</v>
      </c>
    </row>
    <row r="6" spans="1:147" x14ac:dyDescent="0.25">
      <c r="E6" s="212" t="s">
        <v>48</v>
      </c>
      <c r="F6" s="208"/>
      <c r="G6" s="214">
        <f>EE4</f>
        <v>3.8304703095500874E-2</v>
      </c>
    </row>
    <row r="7" spans="1:147" ht="15.75" thickBot="1" x14ac:dyDescent="0.3">
      <c r="E7" s="215" t="s">
        <v>49</v>
      </c>
      <c r="F7" s="216"/>
      <c r="G7" s="217">
        <f>EE5</f>
        <v>1360050000</v>
      </c>
      <c r="AI7" s="235" t="s">
        <v>39</v>
      </c>
      <c r="EB7" s="236" t="s">
        <v>50</v>
      </c>
      <c r="EC7" s="236"/>
      <c r="ED7" s="218"/>
      <c r="EE7" s="218"/>
      <c r="EG7" s="236" t="s">
        <v>51</v>
      </c>
      <c r="EH7" s="218"/>
      <c r="EI7" s="218"/>
      <c r="EJ7" s="165"/>
      <c r="EK7" s="236" t="s">
        <v>52</v>
      </c>
      <c r="EL7" s="236"/>
      <c r="EM7" s="218"/>
      <c r="EN7" s="218"/>
    </row>
    <row r="8" spans="1:147" ht="15.75" thickTop="1" x14ac:dyDescent="0.25">
      <c r="AI8" s="230" t="s">
        <v>53</v>
      </c>
      <c r="AL8" s="230" t="s">
        <v>53</v>
      </c>
      <c r="AO8" s="230" t="s">
        <v>53</v>
      </c>
      <c r="AR8" s="230" t="s">
        <v>53</v>
      </c>
      <c r="AU8" s="230" t="s">
        <v>53</v>
      </c>
      <c r="AX8" s="230" t="s">
        <v>53</v>
      </c>
      <c r="BA8" s="230" t="s">
        <v>53</v>
      </c>
      <c r="BD8" s="230" t="s">
        <v>53</v>
      </c>
      <c r="BG8" s="230" t="s">
        <v>53</v>
      </c>
      <c r="BJ8" s="230" t="s">
        <v>53</v>
      </c>
      <c r="BM8" s="230" t="s">
        <v>53</v>
      </c>
      <c r="BP8" s="230" t="s">
        <v>53</v>
      </c>
      <c r="BS8" s="230" t="s">
        <v>53</v>
      </c>
      <c r="BV8" s="230" t="s">
        <v>53</v>
      </c>
      <c r="BY8" s="230" t="s">
        <v>53</v>
      </c>
      <c r="CB8" s="230" t="s">
        <v>53</v>
      </c>
      <c r="CE8" s="230" t="s">
        <v>53</v>
      </c>
      <c r="CH8" s="230" t="s">
        <v>53</v>
      </c>
      <c r="CK8" s="230" t="s">
        <v>53</v>
      </c>
      <c r="CN8" s="230" t="s">
        <v>53</v>
      </c>
      <c r="CQ8" s="230" t="s">
        <v>53</v>
      </c>
      <c r="CT8" s="230" t="s">
        <v>53</v>
      </c>
      <c r="CW8" s="230" t="s">
        <v>53</v>
      </c>
      <c r="CZ8" s="230" t="s">
        <v>53</v>
      </c>
      <c r="DC8" s="230" t="s">
        <v>53</v>
      </c>
      <c r="DF8" s="230" t="s">
        <v>53</v>
      </c>
      <c r="DI8" s="230" t="s">
        <v>53</v>
      </c>
      <c r="DL8" s="230" t="s">
        <v>53</v>
      </c>
      <c r="DO8" s="230" t="s">
        <v>53</v>
      </c>
      <c r="DR8" s="230" t="s">
        <v>53</v>
      </c>
      <c r="EB8" s="219"/>
      <c r="EC8" s="219"/>
      <c r="ED8" s="219"/>
      <c r="EE8" s="219" t="s">
        <v>54</v>
      </c>
      <c r="EG8" s="219"/>
      <c r="EH8" s="237" t="s">
        <v>38</v>
      </c>
      <c r="EI8" s="219" t="s">
        <v>54</v>
      </c>
      <c r="EJ8" s="219"/>
      <c r="EK8" s="169" t="s">
        <v>55</v>
      </c>
      <c r="EL8" s="169" t="s">
        <v>56</v>
      </c>
      <c r="EM8" s="237" t="s">
        <v>57</v>
      </c>
      <c r="EN8" s="219" t="s">
        <v>54</v>
      </c>
    </row>
    <row r="9" spans="1:147" x14ac:dyDescent="0.25">
      <c r="B9" s="220" t="s">
        <v>58</v>
      </c>
      <c r="C9" s="221"/>
      <c r="D9" s="218"/>
      <c r="E9" s="220" t="s">
        <v>59</v>
      </c>
      <c r="F9" s="221"/>
      <c r="G9" s="218"/>
      <c r="H9" s="220" t="s">
        <v>60</v>
      </c>
      <c r="I9" s="221"/>
      <c r="J9" s="218"/>
      <c r="K9" s="220" t="s">
        <v>61</v>
      </c>
      <c r="L9" s="221"/>
      <c r="M9" s="218"/>
      <c r="N9" s="220" t="s">
        <v>62</v>
      </c>
      <c r="O9" s="221"/>
      <c r="P9" s="218"/>
      <c r="Q9" s="220" t="s">
        <v>63</v>
      </c>
      <c r="R9" s="221"/>
      <c r="S9" s="218"/>
      <c r="T9" s="220" t="s">
        <v>64</v>
      </c>
      <c r="U9" s="221"/>
      <c r="V9" s="218"/>
      <c r="W9" s="220" t="s">
        <v>65</v>
      </c>
      <c r="X9" s="221"/>
      <c r="Y9" s="218"/>
      <c r="Z9" s="220" t="s">
        <v>66</v>
      </c>
      <c r="AA9" s="221"/>
      <c r="AB9" s="218"/>
      <c r="AC9" s="238" t="s">
        <v>67</v>
      </c>
      <c r="AD9" s="221"/>
      <c r="AE9" s="218"/>
      <c r="AF9" s="238" t="s">
        <v>68</v>
      </c>
      <c r="AG9" s="221"/>
      <c r="AH9" s="218"/>
      <c r="AI9" s="220" t="s">
        <v>69</v>
      </c>
      <c r="AJ9" s="221"/>
      <c r="AK9" s="218"/>
      <c r="AL9" s="220" t="s">
        <v>70</v>
      </c>
      <c r="AM9" s="221"/>
      <c r="AN9" s="218"/>
      <c r="AO9" s="220" t="s">
        <v>71</v>
      </c>
      <c r="AP9" s="221"/>
      <c r="AQ9" s="218"/>
      <c r="AR9" s="220" t="s">
        <v>72</v>
      </c>
      <c r="AS9" s="221"/>
      <c r="AT9" s="218"/>
      <c r="AU9" s="220" t="s">
        <v>73</v>
      </c>
      <c r="AV9" s="221"/>
      <c r="AW9" s="218"/>
      <c r="AX9" s="220" t="s">
        <v>74</v>
      </c>
      <c r="AY9" s="221"/>
      <c r="AZ9" s="218"/>
      <c r="BA9" s="220" t="s">
        <v>75</v>
      </c>
      <c r="BB9" s="221"/>
      <c r="BC9" s="218"/>
      <c r="BD9" s="220" t="s">
        <v>76</v>
      </c>
      <c r="BE9" s="221"/>
      <c r="BF9" s="218"/>
      <c r="BG9" s="220" t="s">
        <v>77</v>
      </c>
      <c r="BH9" s="221"/>
      <c r="BI9" s="218"/>
      <c r="BJ9" s="220" t="s">
        <v>78</v>
      </c>
      <c r="BK9" s="221"/>
      <c r="BL9" s="218"/>
      <c r="BM9" s="220" t="s">
        <v>79</v>
      </c>
      <c r="BN9" s="221"/>
      <c r="BO9" s="218"/>
      <c r="BP9" s="220" t="s">
        <v>80</v>
      </c>
      <c r="BQ9" s="221"/>
      <c r="BR9" s="218"/>
      <c r="BS9" s="220" t="s">
        <v>81</v>
      </c>
      <c r="BT9" s="221"/>
      <c r="BU9" s="218"/>
      <c r="BV9" s="220" t="s">
        <v>82</v>
      </c>
      <c r="BW9" s="221"/>
      <c r="BX9" s="218"/>
      <c r="BY9" s="220" t="s">
        <v>83</v>
      </c>
      <c r="BZ9" s="221"/>
      <c r="CA9" s="218"/>
      <c r="CB9" s="220" t="s">
        <v>84</v>
      </c>
      <c r="CC9" s="221"/>
      <c r="CD9" s="218"/>
      <c r="CE9" s="220" t="s">
        <v>85</v>
      </c>
      <c r="CF9" s="221"/>
      <c r="CG9" s="218"/>
      <c r="CH9" s="220" t="s">
        <v>86</v>
      </c>
      <c r="CI9" s="221"/>
      <c r="CJ9" s="218"/>
      <c r="CK9" s="220" t="s">
        <v>87</v>
      </c>
      <c r="CL9" s="221"/>
      <c r="CM9" s="218"/>
      <c r="CN9" s="220" t="s">
        <v>88</v>
      </c>
      <c r="CO9" s="221"/>
      <c r="CP9" s="218"/>
      <c r="CQ9" s="220" t="s">
        <v>89</v>
      </c>
      <c r="CR9" s="221"/>
      <c r="CS9" s="218"/>
      <c r="CT9" s="220" t="s">
        <v>90</v>
      </c>
      <c r="CU9" s="221"/>
      <c r="CV9" s="218"/>
      <c r="CW9" s="220" t="s">
        <v>91</v>
      </c>
      <c r="CX9" s="221"/>
      <c r="CY9" s="218"/>
      <c r="CZ9" s="220" t="s">
        <v>92</v>
      </c>
      <c r="DA9" s="221"/>
      <c r="DB9" s="218"/>
      <c r="DC9" s="220" t="s">
        <v>93</v>
      </c>
      <c r="DD9" s="221"/>
      <c r="DE9" s="218"/>
      <c r="DF9" s="220" t="s">
        <v>94</v>
      </c>
      <c r="DG9" s="221"/>
      <c r="DH9" s="218"/>
      <c r="DI9" s="220" t="s">
        <v>95</v>
      </c>
      <c r="DJ9" s="221"/>
      <c r="DK9" s="218"/>
      <c r="DL9" s="220" t="s">
        <v>96</v>
      </c>
      <c r="DM9" s="221"/>
      <c r="DN9" s="218"/>
      <c r="DO9" s="220" t="s">
        <v>97</v>
      </c>
      <c r="DP9" s="221"/>
      <c r="DQ9" s="218"/>
      <c r="DR9" s="220" t="s">
        <v>98</v>
      </c>
      <c r="DS9" s="221"/>
      <c r="DT9" s="218"/>
      <c r="DU9" s="220" t="s">
        <v>99</v>
      </c>
      <c r="DV9" s="221"/>
      <c r="DW9" s="218"/>
      <c r="DX9" s="239" t="s">
        <v>100</v>
      </c>
      <c r="DY9" s="221"/>
      <c r="DZ9" s="218"/>
      <c r="EA9" s="165"/>
      <c r="EB9" s="169" t="s">
        <v>101</v>
      </c>
      <c r="EC9" s="169" t="s">
        <v>102</v>
      </c>
      <c r="ED9" s="219" t="s">
        <v>103</v>
      </c>
      <c r="EE9" s="219" t="s">
        <v>104</v>
      </c>
      <c r="EG9" s="237" t="s">
        <v>105</v>
      </c>
      <c r="EH9" s="219" t="s">
        <v>103</v>
      </c>
      <c r="EI9" s="219" t="s">
        <v>104</v>
      </c>
      <c r="EJ9" s="219"/>
      <c r="EK9" s="237" t="s">
        <v>57</v>
      </c>
      <c r="EL9" s="237" t="s">
        <v>57</v>
      </c>
      <c r="EM9" s="219" t="s">
        <v>103</v>
      </c>
      <c r="EN9" s="219" t="s">
        <v>104</v>
      </c>
    </row>
    <row r="10" spans="1:147" x14ac:dyDescent="0.25">
      <c r="A10" s="219" t="s">
        <v>106</v>
      </c>
      <c r="B10" s="240" t="s">
        <v>107</v>
      </c>
      <c r="C10" s="241" t="s">
        <v>108</v>
      </c>
      <c r="D10" s="242" t="s">
        <v>12</v>
      </c>
      <c r="E10" s="240" t="s">
        <v>107</v>
      </c>
      <c r="F10" s="241" t="s">
        <v>108</v>
      </c>
      <c r="G10" s="242" t="s">
        <v>12</v>
      </c>
      <c r="H10" s="240" t="s">
        <v>107</v>
      </c>
      <c r="I10" s="241" t="s">
        <v>108</v>
      </c>
      <c r="J10" s="242" t="s">
        <v>12</v>
      </c>
      <c r="K10" s="240" t="s">
        <v>107</v>
      </c>
      <c r="L10" s="241" t="s">
        <v>108</v>
      </c>
      <c r="M10" s="242" t="s">
        <v>12</v>
      </c>
      <c r="N10" s="240" t="s">
        <v>107</v>
      </c>
      <c r="O10" s="241" t="s">
        <v>108</v>
      </c>
      <c r="P10" s="242" t="s">
        <v>12</v>
      </c>
      <c r="Q10" s="240" t="s">
        <v>107</v>
      </c>
      <c r="R10" s="241" t="s">
        <v>108</v>
      </c>
      <c r="S10" s="242" t="s">
        <v>12</v>
      </c>
      <c r="T10" s="240" t="s">
        <v>107</v>
      </c>
      <c r="U10" s="241" t="s">
        <v>108</v>
      </c>
      <c r="V10" s="242" t="s">
        <v>12</v>
      </c>
      <c r="W10" s="240" t="s">
        <v>107</v>
      </c>
      <c r="X10" s="241" t="s">
        <v>108</v>
      </c>
      <c r="Y10" s="242" t="s">
        <v>12</v>
      </c>
      <c r="Z10" s="240" t="s">
        <v>107</v>
      </c>
      <c r="AA10" s="241" t="s">
        <v>108</v>
      </c>
      <c r="AB10" s="242" t="s">
        <v>12</v>
      </c>
      <c r="AC10" s="240" t="s">
        <v>107</v>
      </c>
      <c r="AD10" s="241" t="s">
        <v>108</v>
      </c>
      <c r="AE10" s="242" t="s">
        <v>12</v>
      </c>
      <c r="AF10" s="240" t="s">
        <v>107</v>
      </c>
      <c r="AG10" s="241" t="s">
        <v>108</v>
      </c>
      <c r="AH10" s="242" t="s">
        <v>12</v>
      </c>
      <c r="AI10" s="240" t="s">
        <v>107</v>
      </c>
      <c r="AJ10" s="241" t="s">
        <v>108</v>
      </c>
      <c r="AK10" s="242" t="s">
        <v>12</v>
      </c>
      <c r="AL10" s="240" t="s">
        <v>107</v>
      </c>
      <c r="AM10" s="241" t="s">
        <v>108</v>
      </c>
      <c r="AN10" s="242" t="s">
        <v>12</v>
      </c>
      <c r="AO10" s="240" t="s">
        <v>107</v>
      </c>
      <c r="AP10" s="241" t="s">
        <v>108</v>
      </c>
      <c r="AQ10" s="242" t="s">
        <v>12</v>
      </c>
      <c r="AR10" s="240" t="s">
        <v>107</v>
      </c>
      <c r="AS10" s="241" t="s">
        <v>108</v>
      </c>
      <c r="AT10" s="242" t="s">
        <v>12</v>
      </c>
      <c r="AU10" s="240" t="s">
        <v>107</v>
      </c>
      <c r="AV10" s="241" t="s">
        <v>108</v>
      </c>
      <c r="AW10" s="242" t="s">
        <v>12</v>
      </c>
      <c r="AX10" s="240" t="s">
        <v>107</v>
      </c>
      <c r="AY10" s="241" t="s">
        <v>108</v>
      </c>
      <c r="AZ10" s="242" t="s">
        <v>12</v>
      </c>
      <c r="BA10" s="240" t="s">
        <v>107</v>
      </c>
      <c r="BB10" s="241" t="s">
        <v>108</v>
      </c>
      <c r="BC10" s="242" t="s">
        <v>12</v>
      </c>
      <c r="BD10" s="240" t="s">
        <v>107</v>
      </c>
      <c r="BE10" s="241" t="s">
        <v>108</v>
      </c>
      <c r="BF10" s="242" t="s">
        <v>12</v>
      </c>
      <c r="BG10" s="240" t="s">
        <v>107</v>
      </c>
      <c r="BH10" s="241" t="s">
        <v>108</v>
      </c>
      <c r="BI10" s="242" t="s">
        <v>12</v>
      </c>
      <c r="BJ10" s="240" t="s">
        <v>107</v>
      </c>
      <c r="BK10" s="241" t="s">
        <v>108</v>
      </c>
      <c r="BL10" s="242" t="s">
        <v>12</v>
      </c>
      <c r="BM10" s="240" t="s">
        <v>107</v>
      </c>
      <c r="BN10" s="241" t="s">
        <v>108</v>
      </c>
      <c r="BO10" s="242" t="s">
        <v>12</v>
      </c>
      <c r="BP10" s="240" t="s">
        <v>107</v>
      </c>
      <c r="BQ10" s="241" t="s">
        <v>108</v>
      </c>
      <c r="BR10" s="242" t="s">
        <v>12</v>
      </c>
      <c r="BS10" s="240" t="s">
        <v>107</v>
      </c>
      <c r="BT10" s="241" t="s">
        <v>108</v>
      </c>
      <c r="BU10" s="242" t="s">
        <v>12</v>
      </c>
      <c r="BV10" s="240" t="s">
        <v>107</v>
      </c>
      <c r="BW10" s="241" t="s">
        <v>108</v>
      </c>
      <c r="BX10" s="242" t="s">
        <v>12</v>
      </c>
      <c r="BY10" s="240" t="s">
        <v>107</v>
      </c>
      <c r="BZ10" s="241" t="s">
        <v>108</v>
      </c>
      <c r="CA10" s="242" t="s">
        <v>12</v>
      </c>
      <c r="CB10" s="240" t="s">
        <v>107</v>
      </c>
      <c r="CC10" s="241" t="s">
        <v>108</v>
      </c>
      <c r="CD10" s="242" t="s">
        <v>12</v>
      </c>
      <c r="CE10" s="240" t="s">
        <v>107</v>
      </c>
      <c r="CF10" s="241" t="s">
        <v>108</v>
      </c>
      <c r="CG10" s="242" t="s">
        <v>12</v>
      </c>
      <c r="CH10" s="240" t="s">
        <v>107</v>
      </c>
      <c r="CI10" s="241" t="s">
        <v>108</v>
      </c>
      <c r="CJ10" s="242" t="s">
        <v>12</v>
      </c>
      <c r="CK10" s="240" t="s">
        <v>107</v>
      </c>
      <c r="CL10" s="241" t="s">
        <v>108</v>
      </c>
      <c r="CM10" s="242" t="s">
        <v>12</v>
      </c>
      <c r="CN10" s="240" t="s">
        <v>107</v>
      </c>
      <c r="CO10" s="241" t="s">
        <v>108</v>
      </c>
      <c r="CP10" s="242" t="s">
        <v>12</v>
      </c>
      <c r="CQ10" s="240" t="s">
        <v>107</v>
      </c>
      <c r="CR10" s="241" t="s">
        <v>108</v>
      </c>
      <c r="CS10" s="242" t="s">
        <v>12</v>
      </c>
      <c r="CT10" s="240" t="s">
        <v>107</v>
      </c>
      <c r="CU10" s="241" t="s">
        <v>108</v>
      </c>
      <c r="CV10" s="242" t="s">
        <v>12</v>
      </c>
      <c r="CW10" s="240" t="s">
        <v>107</v>
      </c>
      <c r="CX10" s="241" t="s">
        <v>108</v>
      </c>
      <c r="CY10" s="242" t="s">
        <v>12</v>
      </c>
      <c r="CZ10" s="240" t="s">
        <v>107</v>
      </c>
      <c r="DA10" s="241" t="s">
        <v>108</v>
      </c>
      <c r="DB10" s="242" t="s">
        <v>12</v>
      </c>
      <c r="DC10" s="240" t="s">
        <v>107</v>
      </c>
      <c r="DD10" s="241" t="s">
        <v>108</v>
      </c>
      <c r="DE10" s="242" t="s">
        <v>12</v>
      </c>
      <c r="DF10" s="240" t="s">
        <v>107</v>
      </c>
      <c r="DG10" s="241" t="s">
        <v>108</v>
      </c>
      <c r="DH10" s="242" t="s">
        <v>12</v>
      </c>
      <c r="DI10" s="240" t="s">
        <v>107</v>
      </c>
      <c r="DJ10" s="241" t="s">
        <v>108</v>
      </c>
      <c r="DK10" s="242" t="s">
        <v>12</v>
      </c>
      <c r="DL10" s="240" t="s">
        <v>107</v>
      </c>
      <c r="DM10" s="241" t="s">
        <v>108</v>
      </c>
      <c r="DN10" s="242" t="s">
        <v>12</v>
      </c>
      <c r="DO10" s="240" t="s">
        <v>107</v>
      </c>
      <c r="DP10" s="241" t="s">
        <v>108</v>
      </c>
      <c r="DQ10" s="242" t="s">
        <v>12</v>
      </c>
      <c r="DR10" s="240" t="s">
        <v>107</v>
      </c>
      <c r="DS10" s="241" t="s">
        <v>108</v>
      </c>
      <c r="DT10" s="242" t="s">
        <v>12</v>
      </c>
      <c r="DU10" s="240" t="s">
        <v>107</v>
      </c>
      <c r="DV10" s="241" t="s">
        <v>108</v>
      </c>
      <c r="DW10" s="242" t="s">
        <v>12</v>
      </c>
      <c r="DX10" s="240" t="s">
        <v>107</v>
      </c>
      <c r="DY10" s="241"/>
      <c r="DZ10" s="242"/>
      <c r="EA10" s="242"/>
      <c r="EB10" s="242" t="s">
        <v>109</v>
      </c>
      <c r="EC10" s="242" t="s">
        <v>109</v>
      </c>
      <c r="ED10" s="242" t="s">
        <v>12</v>
      </c>
      <c r="EE10" s="242" t="s">
        <v>108</v>
      </c>
      <c r="EG10" s="242" t="s">
        <v>109</v>
      </c>
      <c r="EH10" s="242" t="s">
        <v>12</v>
      </c>
      <c r="EI10" s="242" t="s">
        <v>108</v>
      </c>
      <c r="EJ10" s="242"/>
      <c r="EK10" s="242" t="s">
        <v>109</v>
      </c>
      <c r="EL10" s="242" t="s">
        <v>109</v>
      </c>
      <c r="EM10" s="242" t="s">
        <v>12</v>
      </c>
      <c r="EN10" s="242" t="s">
        <v>108</v>
      </c>
    </row>
    <row r="11" spans="1:147" x14ac:dyDescent="0.25">
      <c r="A11" s="222">
        <v>46054</v>
      </c>
      <c r="B11" s="208">
        <v>0</v>
      </c>
      <c r="C11" s="209">
        <v>3.8240129999999997E-2</v>
      </c>
      <c r="D11" s="208">
        <f>(B11*C11)/360</f>
        <v>0</v>
      </c>
      <c r="G11" s="208">
        <f>(E11*F11)/360</f>
        <v>0</v>
      </c>
      <c r="J11" s="208">
        <f>(H11*I11)/360</f>
        <v>0</v>
      </c>
      <c r="M11" s="208">
        <f>(K11*L11)/360</f>
        <v>0</v>
      </c>
      <c r="P11" s="208">
        <f>(N11*O11)/360</f>
        <v>0</v>
      </c>
      <c r="S11" s="208">
        <f>(Q11*R11)/360</f>
        <v>0</v>
      </c>
      <c r="V11" s="208">
        <f>(T11*U11)/360</f>
        <v>0</v>
      </c>
      <c r="Y11" s="208">
        <f>(W11*X11)/360</f>
        <v>0</v>
      </c>
      <c r="AB11" s="208">
        <f>(Z11*AA11)/360</f>
        <v>0</v>
      </c>
      <c r="AE11" s="208">
        <v>0</v>
      </c>
      <c r="AH11" s="208">
        <v>0</v>
      </c>
      <c r="AI11" s="223">
        <v>441075000</v>
      </c>
      <c r="AJ11" s="224">
        <v>3.7999999999999999E-2</v>
      </c>
      <c r="AK11" s="208">
        <f>(AI11*AJ11)/360</f>
        <v>46557.916666666664</v>
      </c>
      <c r="AL11" s="223"/>
      <c r="AM11" s="224"/>
      <c r="AN11" s="208">
        <f>(AL11*AM11)/360</f>
        <v>0</v>
      </c>
      <c r="AO11" s="223">
        <v>50000000</v>
      </c>
      <c r="AP11" s="224">
        <v>3.8800000000000001E-2</v>
      </c>
      <c r="AQ11" s="208">
        <f>(AO11*AP11)/360</f>
        <v>5388.8888888888887</v>
      </c>
      <c r="AR11" s="223">
        <v>200000000</v>
      </c>
      <c r="AS11" s="224">
        <v>3.8699999999999998E-2</v>
      </c>
      <c r="AT11" s="208">
        <f>(AR11*AS11)/360</f>
        <v>21500</v>
      </c>
      <c r="AW11" s="208">
        <f>(AU11*AV11)/360</f>
        <v>0</v>
      </c>
      <c r="AX11" s="208">
        <v>28124000</v>
      </c>
      <c r="AY11" s="209">
        <v>3.8300000000000001E-2</v>
      </c>
      <c r="AZ11" s="208">
        <f>(AX11*AY11)/360</f>
        <v>2992.0811111111111</v>
      </c>
      <c r="BA11" s="208">
        <v>96876000</v>
      </c>
      <c r="BB11" s="209">
        <v>3.85E-2</v>
      </c>
      <c r="BC11" s="208">
        <f>(BA11*BB11)/360</f>
        <v>10360.35</v>
      </c>
      <c r="BF11" s="208">
        <f>(BD11*BE11)/360</f>
        <v>0</v>
      </c>
      <c r="BI11" s="208">
        <f>(BG11*BH11)/360</f>
        <v>0</v>
      </c>
      <c r="BL11" s="208">
        <f>(BJ11*BK11)/360</f>
        <v>0</v>
      </c>
      <c r="BO11" s="208">
        <f>(BM11*BN11)/360</f>
        <v>0</v>
      </c>
      <c r="BR11" s="208">
        <f>(BP11*BQ11)/360</f>
        <v>0</v>
      </c>
      <c r="BU11" s="208">
        <f>(BS11*BT11)/360</f>
        <v>0</v>
      </c>
      <c r="BX11" s="208">
        <f>(BV11*BW11)/360</f>
        <v>0</v>
      </c>
      <c r="CA11" s="208">
        <f>(BY11*BZ11)/360</f>
        <v>0</v>
      </c>
      <c r="CD11" s="208">
        <f>(CB11*CC11)/360</f>
        <v>0</v>
      </c>
      <c r="CG11" s="208">
        <f>(CE11*CF11)/360</f>
        <v>0</v>
      </c>
      <c r="CJ11" s="208">
        <f>(CH11*CI11)/360</f>
        <v>0</v>
      </c>
      <c r="CM11" s="208">
        <f>(CK11*CL11)/360</f>
        <v>0</v>
      </c>
      <c r="CP11" s="208">
        <f>(CN11*CO11)/360</f>
        <v>0</v>
      </c>
      <c r="CS11" s="208">
        <f>(CQ11*CR11)/360</f>
        <v>0</v>
      </c>
      <c r="CV11" s="208">
        <f>(CT11*CU11)/360</f>
        <v>0</v>
      </c>
      <c r="CY11" s="208">
        <f>(CW11*CX11)/360</f>
        <v>0</v>
      </c>
      <c r="DB11" s="208">
        <f>(CZ11*DA11)/360</f>
        <v>0</v>
      </c>
      <c r="DE11" s="208">
        <f>(DC11*DD11)/360</f>
        <v>0</v>
      </c>
      <c r="DH11" s="208">
        <f>(DF11*DG11)/360</f>
        <v>0</v>
      </c>
      <c r="DK11" s="208">
        <f>(DI11*DJ11)/360</f>
        <v>0</v>
      </c>
      <c r="DN11" s="208">
        <f>(DL11*DM11)/360</f>
        <v>0</v>
      </c>
      <c r="DQ11" s="208">
        <f>(DO11*DP11)/360</f>
        <v>0</v>
      </c>
      <c r="DT11" s="208">
        <f>(DR11*DS11)/360</f>
        <v>0</v>
      </c>
      <c r="DW11" s="208">
        <f>(DU11*DV11)/360</f>
        <v>0</v>
      </c>
      <c r="DZ11" s="208"/>
      <c r="EA11" s="208"/>
      <c r="EB11" s="228">
        <f>B11+E11+H11+K11+N11+Q11+T11+W11+Z11+AC11+AF11+AL11+AO11+AR11+AU11+AX11+BA11+BD11+BG11+DU11+AI11+DR11+DO11+DL11+DI11+DF11+DC11+CZ11+CW11+CT11+CQ11+CN11+CK11+CH11+CE11+CB11+BY11+BV11+BS11+BP11+BM11+BJ11</f>
        <v>816075000</v>
      </c>
      <c r="EC11" s="228">
        <f>EB11-EK11+EL11</f>
        <v>0</v>
      </c>
      <c r="ED11" s="208">
        <f>D11+G11+J11+M11+P11+S11+V11+Y11+AB11+AE11+AH11+AK11+AN11+AQ11+AT11+AW11+AZ11+BC11+BF11+BI11+DW11+DT11+DQ11+DN11+DK11+DH11+DE11+DB11+CY11+CV11+CS11+CP11+CM11+CJ11+CG11+CD11+CA11+BX11+BU11+BR11+BO11+BL11</f>
        <v>86799.236666666679</v>
      </c>
      <c r="EE11" s="209">
        <f>IF(EB11&lt;&gt;0,((ED11/EB11)*360),0)</f>
        <v>3.829026155684221E-2</v>
      </c>
      <c r="EG11" s="228">
        <f>Q11+T11+W11+Z11+AC11+AF11</f>
        <v>0</v>
      </c>
      <c r="EH11" s="208">
        <f>S11+V11+Y11+AB11+AE11+AH11</f>
        <v>0</v>
      </c>
      <c r="EI11" s="209">
        <f>IF(EG11&lt;&gt;0,((EH11/EG11)*360),0)</f>
        <v>0</v>
      </c>
      <c r="EJ11" s="209"/>
      <c r="EK11" s="228">
        <f>DR11+DL11+DI11+DF11+DC11+CZ11+CW11+CT11+CQ11+CN11+CK11+CH11+CE11+CB11+BY11+BV11+BS11+BP11+BM11+BJ11+BG11+BD11+BA11+AX11+AU11+AR11+AO11+AL11+AI11+DO11</f>
        <v>816075000</v>
      </c>
      <c r="EL11" s="228">
        <f>DX11</f>
        <v>0</v>
      </c>
      <c r="EM11" s="228">
        <f>DT11+DQ11+DN11+DK11+DH11+DE11+DB11+CY11+CV11+CS11+CP11+CM11+CJ11+CG11+CD11+CA11+BX11+BU11+BR11+BO11+BL11+BI11+BF11+BC11+AZ11+AW11+AT11+AQ11+AN11+AK11</f>
        <v>86799.236666666664</v>
      </c>
      <c r="EN11" s="209">
        <f>IF(EK11&lt;&gt;0,((EM11/EK11)*360),0)</f>
        <v>3.8290261556842203E-2</v>
      </c>
      <c r="EP11" s="208"/>
    </row>
    <row r="12" spans="1:147" x14ac:dyDescent="0.25">
      <c r="A12" s="222">
        <f>1+A11</f>
        <v>46055</v>
      </c>
      <c r="B12" s="208">
        <v>0</v>
      </c>
      <c r="C12" s="209">
        <v>3.8237600000000004E-2</v>
      </c>
      <c r="D12" s="208">
        <f t="shared" ref="D12:D38" si="0">(B12*C12)/360</f>
        <v>0</v>
      </c>
      <c r="G12" s="208">
        <f t="shared" ref="G12:G38" si="1">(E12*F12)/360</f>
        <v>0</v>
      </c>
      <c r="J12" s="208">
        <f t="shared" ref="J12:J38" si="2">(H12*I12)/360</f>
        <v>0</v>
      </c>
      <c r="M12" s="208">
        <f t="shared" ref="M12:M38" si="3">(K12*L12)/360</f>
        <v>0</v>
      </c>
      <c r="P12" s="208">
        <f t="shared" ref="P12:P38" si="4">(N12*O12)/360</f>
        <v>0</v>
      </c>
      <c r="S12" s="208">
        <f t="shared" ref="S12:S38" si="5">(Q12*R12)/360</f>
        <v>0</v>
      </c>
      <c r="V12" s="208">
        <f t="shared" ref="V12:V38" si="6">(T12*U12)/360</f>
        <v>0</v>
      </c>
      <c r="Y12" s="208">
        <f t="shared" ref="Y12:Y38" si="7">(W12*X12)/360</f>
        <v>0</v>
      </c>
      <c r="AB12" s="208">
        <f t="shared" ref="AB12:AB38" si="8">(Z12*AA12)/360</f>
        <v>0</v>
      </c>
      <c r="AE12" s="208">
        <v>0</v>
      </c>
      <c r="AH12" s="208">
        <v>0</v>
      </c>
      <c r="AI12" s="223">
        <f>30000000+94750000+108550000+200000000</f>
        <v>433300000</v>
      </c>
      <c r="AJ12" s="224">
        <v>3.7999999999999999E-2</v>
      </c>
      <c r="AK12" s="208">
        <f t="shared" ref="AK12:AK38" si="9">(AI12*AJ12)/360</f>
        <v>45737.222222222219</v>
      </c>
      <c r="AL12" s="223"/>
      <c r="AM12" s="224"/>
      <c r="AN12" s="208">
        <f t="shared" ref="AN12:AN38" si="10">(AL12*AM12)/360</f>
        <v>0</v>
      </c>
      <c r="AO12" s="223">
        <v>50000000</v>
      </c>
      <c r="AP12" s="224">
        <v>3.8800000000000001E-2</v>
      </c>
      <c r="AQ12" s="208">
        <f t="shared" ref="AQ12:AQ38" si="11">(AO12*AP12)/360</f>
        <v>5388.8888888888887</v>
      </c>
      <c r="AR12" s="223"/>
      <c r="AS12" s="224"/>
      <c r="AT12" s="208">
        <f t="shared" ref="AT12:AT38" si="12">(AR12*AS12)/360</f>
        <v>0</v>
      </c>
      <c r="AU12" s="208">
        <v>130000000</v>
      </c>
      <c r="AV12" s="209">
        <v>3.85E-2</v>
      </c>
      <c r="AW12" s="208">
        <f>(AU12*AV12)/360</f>
        <v>13902.777777777777</v>
      </c>
      <c r="AZ12" s="208">
        <f t="shared" ref="AZ12:AZ38" si="13">(AX12*AY12)/360</f>
        <v>0</v>
      </c>
      <c r="BA12" s="208">
        <f>96876000+100000000</f>
        <v>196876000</v>
      </c>
      <c r="BB12" s="209">
        <v>3.85E-2</v>
      </c>
      <c r="BC12" s="208">
        <f t="shared" ref="BC12:BC38" si="14">(BA12*BB12)/360</f>
        <v>21054.794444444444</v>
      </c>
      <c r="BF12" s="208">
        <f t="shared" ref="BF12:BF38" si="15">(BD12*BE12)/360</f>
        <v>0</v>
      </c>
      <c r="BG12" s="208">
        <f>5250000+40000000</f>
        <v>45250000</v>
      </c>
      <c r="BH12" s="209">
        <v>3.8300000000000001E-2</v>
      </c>
      <c r="BI12" s="208">
        <f t="shared" ref="BI12:BI38" si="16">(BG12*BH12)/360</f>
        <v>4814.0972222222226</v>
      </c>
      <c r="BL12" s="208">
        <f t="shared" ref="BL12:BL38" si="17">(BJ12*BK12)/360</f>
        <v>0</v>
      </c>
      <c r="BO12" s="208">
        <f t="shared" ref="BO12:BO38" si="18">(BM12*BN12)/360</f>
        <v>0</v>
      </c>
      <c r="BR12" s="208">
        <f t="shared" ref="BR12:BR38" si="19">(BP12*BQ12)/360</f>
        <v>0</v>
      </c>
      <c r="BU12" s="208">
        <f t="shared" ref="BU12:BU38" si="20">(BS12*BT12)/360</f>
        <v>0</v>
      </c>
      <c r="BX12" s="208">
        <f t="shared" ref="BX12:BX38" si="21">(BV12*BW12)/360</f>
        <v>0</v>
      </c>
      <c r="CA12" s="208">
        <f t="shared" ref="CA12:CA38" si="22">(BY12*BZ12)/360</f>
        <v>0</v>
      </c>
      <c r="CD12" s="208">
        <f t="shared" ref="CD12:CD38" si="23">(CB12*CC12)/360</f>
        <v>0</v>
      </c>
      <c r="CG12" s="208">
        <f t="shared" ref="CG12:CG38" si="24">(CE12*CF12)/360</f>
        <v>0</v>
      </c>
      <c r="CJ12" s="208">
        <f t="shared" ref="CJ12:CJ38" si="25">(CH12*CI12)/360</f>
        <v>0</v>
      </c>
      <c r="CM12" s="208">
        <f t="shared" ref="CM12:CM38" si="26">(CK12*CL12)/360</f>
        <v>0</v>
      </c>
      <c r="CP12" s="208">
        <f t="shared" ref="CP12:CP38" si="27">(CN12*CO12)/360</f>
        <v>0</v>
      </c>
      <c r="CS12" s="208">
        <f t="shared" ref="CS12:CS38" si="28">(CQ12*CR12)/360</f>
        <v>0</v>
      </c>
      <c r="CV12" s="208">
        <f t="shared" ref="CV12:CV38" si="29">(CT12*CU12)/360</f>
        <v>0</v>
      </c>
      <c r="CY12" s="208">
        <f t="shared" ref="CY12:CY38" si="30">(CW12*CX12)/360</f>
        <v>0</v>
      </c>
      <c r="DB12" s="208">
        <f t="shared" ref="DB12:DB38" si="31">(CZ12*DA12)/360</f>
        <v>0</v>
      </c>
      <c r="DE12" s="208">
        <f t="shared" ref="DE12:DE38" si="32">(DC12*DD12)/360</f>
        <v>0</v>
      </c>
      <c r="DH12" s="208">
        <f t="shared" ref="DH12:DH38" si="33">(DF12*DG12)/360</f>
        <v>0</v>
      </c>
      <c r="DK12" s="208">
        <f t="shared" ref="DK12:DK38" si="34">(DI12*DJ12)/360</f>
        <v>0</v>
      </c>
      <c r="DN12" s="208">
        <f t="shared" ref="DN12:DN38" si="35">(DL12*DM12)/360</f>
        <v>0</v>
      </c>
      <c r="DQ12" s="208">
        <f t="shared" ref="DQ12:DQ38" si="36">(DO12*DP12)/360</f>
        <v>0</v>
      </c>
      <c r="DT12" s="208">
        <f t="shared" ref="DT12:DT38" si="37">(DR12*DS12)/360</f>
        <v>0</v>
      </c>
      <c r="DW12" s="208">
        <f t="shared" ref="DW12:DW38" si="38">(DU12*DV12)/360</f>
        <v>0</v>
      </c>
      <c r="DZ12" s="208"/>
      <c r="EA12" s="208"/>
      <c r="EB12" s="228">
        <f>B12+E12+H12+K12+N12+Q12+T12+W12+Z12+AC12+AF12+AL12+AO12+AR12+AU12+AX12+BA12+BD12+BG12+DU12+AI12+DR12+DO12+DL12+DI12+DF12+DC12+CZ12+CW12+CT12+CQ12+CN12+CK12+CH12+CE12+CB12+BY12+BV12+BS12+BP12+BM12+BJ12</f>
        <v>855426000</v>
      </c>
      <c r="EC12" s="228">
        <f t="shared" ref="EC12:EC38" si="39">EB12-EK12+EL12</f>
        <v>0</v>
      </c>
      <c r="ED12" s="208">
        <f t="shared" ref="ED12:ED38" si="40">D12+G12+J12+M12+P12+S12+V12+Y12+AB12+AE12+AH12+AK12+AN12+AQ12+AT12+AW12+AZ12+BC12+BF12+BI12+DW12+DT12+DQ12+DN12+DK12+DH12+DE12+DB12+CY12+CV12+CS12+CP12+CM12+CJ12+CG12+CD12+CA12+BX12+BU12+BR12+BO12+BL12</f>
        <v>90897.780555555553</v>
      </c>
      <c r="EE12" s="209">
        <f t="shared" ref="EE12:EE38" si="41">IF(EB12&lt;&gt;0,((ED12/EB12)*360),0)</f>
        <v>3.8253689974351961E-2</v>
      </c>
      <c r="EG12" s="228">
        <f t="shared" ref="EG12:EG38" si="42">Q12+T12+W12+Z12+AC12+AF12</f>
        <v>0</v>
      </c>
      <c r="EH12" s="208">
        <f t="shared" ref="EH12:EH38" si="43">S12+V12+Y12+AB12+AE12+AH12</f>
        <v>0</v>
      </c>
      <c r="EI12" s="209">
        <f t="shared" ref="EI12:EI38" si="44">IF(EG12&lt;&gt;0,((EH12/EG12)*360),0)</f>
        <v>0</v>
      </c>
      <c r="EJ12" s="209"/>
      <c r="EK12" s="228">
        <f>DR12+DL12+DI12+DF12+DC12+CZ12+CW12+CT12+CQ12+CN12+CK12+CH12+CE12+CB12+BY12+BV12+BS12+BP12+BM12+BJ12+BG12+BD12+BA12+AX12+AU12+AR12+AO12+AL12+AI12+DO12</f>
        <v>855426000</v>
      </c>
      <c r="EL12" s="228">
        <f t="shared" ref="EL12:EL38" si="45">DX12</f>
        <v>0</v>
      </c>
      <c r="EM12" s="228">
        <f t="shared" ref="EM12:EM38" si="46">DT12+DQ12+DN12+DK12+DH12+DE12+DB12+CY12+CV12+CS12+CP12+CM12+CJ12+CG12+CD12+CA12+BX12+BU12+BR12+BO12+BL12+BI12+BF12+BC12+AZ12+AW12+AT12+AQ12+AN12+AK12</f>
        <v>90897.780555555553</v>
      </c>
      <c r="EN12" s="209">
        <f t="shared" ref="EN12:EN38" si="47">IF(EK12&lt;&gt;0,((EM12/EK12)*360),0)</f>
        <v>3.8253689974351961E-2</v>
      </c>
      <c r="EP12" s="208"/>
    </row>
    <row r="13" spans="1:147" x14ac:dyDescent="0.25">
      <c r="A13" s="222">
        <f t="shared" ref="A13:A38" si="48">1+A12</f>
        <v>46056</v>
      </c>
      <c r="B13" s="208">
        <v>0</v>
      </c>
      <c r="C13" s="209">
        <v>3.8319730000000003E-2</v>
      </c>
      <c r="D13" s="208">
        <f t="shared" si="0"/>
        <v>0</v>
      </c>
      <c r="G13" s="208">
        <f t="shared" si="1"/>
        <v>0</v>
      </c>
      <c r="J13" s="208">
        <f t="shared" si="2"/>
        <v>0</v>
      </c>
      <c r="M13" s="208">
        <f t="shared" si="3"/>
        <v>0</v>
      </c>
      <c r="P13" s="208">
        <f t="shared" si="4"/>
        <v>0</v>
      </c>
      <c r="S13" s="208">
        <f t="shared" si="5"/>
        <v>0</v>
      </c>
      <c r="V13" s="208">
        <f t="shared" si="6"/>
        <v>0</v>
      </c>
      <c r="Y13" s="208">
        <f t="shared" si="7"/>
        <v>0</v>
      </c>
      <c r="AB13" s="208">
        <f t="shared" si="8"/>
        <v>0</v>
      </c>
      <c r="AE13" s="208">
        <v>0</v>
      </c>
      <c r="AH13" s="208">
        <v>0</v>
      </c>
      <c r="AI13" s="223">
        <f>225000000+86150000</f>
        <v>311150000</v>
      </c>
      <c r="AJ13" s="224">
        <v>3.7999999999999999E-2</v>
      </c>
      <c r="AK13" s="208">
        <f t="shared" si="9"/>
        <v>32843.611111111109</v>
      </c>
      <c r="AL13" s="223"/>
      <c r="AM13" s="224"/>
      <c r="AN13" s="208">
        <f t="shared" si="10"/>
        <v>0</v>
      </c>
      <c r="AO13" s="223">
        <v>50000000</v>
      </c>
      <c r="AP13" s="224">
        <v>3.8800000000000001E-2</v>
      </c>
      <c r="AQ13" s="208">
        <f t="shared" si="11"/>
        <v>5388.8888888888887</v>
      </c>
      <c r="AR13" s="223"/>
      <c r="AS13" s="224"/>
      <c r="AT13" s="208">
        <f t="shared" si="12"/>
        <v>0</v>
      </c>
      <c r="AU13" s="208">
        <v>130000000</v>
      </c>
      <c r="AV13" s="209">
        <v>3.85E-2</v>
      </c>
      <c r="AW13" s="208">
        <f t="shared" ref="AW13:AW38" si="49">(AU13*AV13)/360</f>
        <v>13902.777777777777</v>
      </c>
      <c r="AX13" s="208">
        <v>170000000</v>
      </c>
      <c r="AY13" s="209">
        <v>3.8300000000000001E-2</v>
      </c>
      <c r="AZ13" s="208">
        <f t="shared" si="13"/>
        <v>18086.111111111109</v>
      </c>
      <c r="BA13" s="208">
        <v>96876000</v>
      </c>
      <c r="BB13" s="209">
        <v>3.85E-2</v>
      </c>
      <c r="BC13" s="208">
        <f t="shared" si="14"/>
        <v>10360.35</v>
      </c>
      <c r="BF13" s="208">
        <f t="shared" si="15"/>
        <v>0</v>
      </c>
      <c r="BG13" s="208">
        <f t="shared" ref="BG13:BG18" si="50">5250000+80000000</f>
        <v>85250000</v>
      </c>
      <c r="BH13" s="209">
        <v>3.8300000000000001E-2</v>
      </c>
      <c r="BI13" s="208">
        <f t="shared" si="16"/>
        <v>9069.6527777777774</v>
      </c>
      <c r="BL13" s="208">
        <f t="shared" si="17"/>
        <v>0</v>
      </c>
      <c r="BO13" s="208">
        <f t="shared" si="18"/>
        <v>0</v>
      </c>
      <c r="BR13" s="208">
        <f t="shared" si="19"/>
        <v>0</v>
      </c>
      <c r="BU13" s="208">
        <f t="shared" si="20"/>
        <v>0</v>
      </c>
      <c r="BX13" s="208">
        <f t="shared" si="21"/>
        <v>0</v>
      </c>
      <c r="CA13" s="208">
        <f t="shared" si="22"/>
        <v>0</v>
      </c>
      <c r="CD13" s="208">
        <f t="shared" si="23"/>
        <v>0</v>
      </c>
      <c r="CG13" s="208">
        <f t="shared" si="24"/>
        <v>0</v>
      </c>
      <c r="CJ13" s="208">
        <f t="shared" si="25"/>
        <v>0</v>
      </c>
      <c r="CM13" s="208">
        <f t="shared" si="26"/>
        <v>0</v>
      </c>
      <c r="CP13" s="208">
        <f t="shared" si="27"/>
        <v>0</v>
      </c>
      <c r="CS13" s="208">
        <f t="shared" si="28"/>
        <v>0</v>
      </c>
      <c r="CV13" s="208">
        <f t="shared" si="29"/>
        <v>0</v>
      </c>
      <c r="CY13" s="208">
        <f t="shared" si="30"/>
        <v>0</v>
      </c>
      <c r="DB13" s="208">
        <f t="shared" si="31"/>
        <v>0</v>
      </c>
      <c r="DE13" s="208">
        <f t="shared" si="32"/>
        <v>0</v>
      </c>
      <c r="DH13" s="208">
        <f t="shared" si="33"/>
        <v>0</v>
      </c>
      <c r="DK13" s="208">
        <f t="shared" si="34"/>
        <v>0</v>
      </c>
      <c r="DN13" s="208">
        <f t="shared" si="35"/>
        <v>0</v>
      </c>
      <c r="DQ13" s="208">
        <f t="shared" si="36"/>
        <v>0</v>
      </c>
      <c r="DT13" s="208">
        <f t="shared" si="37"/>
        <v>0</v>
      </c>
      <c r="DW13" s="208">
        <f t="shared" si="38"/>
        <v>0</v>
      </c>
      <c r="DZ13" s="208"/>
      <c r="EA13" s="208"/>
      <c r="EB13" s="228">
        <f t="shared" ref="EB13:EB38" si="51">B13+E13+H13+K13+N13+Q13+T13+W13+Z13+AC13+AF13+AL13+AO13+AR13+AU13+AX13+BA13+BD13+BG13+DU13+AI13+DR13+DO13+DL13+DI13+DF13+DC13+CZ13+CW13+CT13+CQ13+CN13+CK13+CH13+CE13+CB13+BY13+BV13+BS13+BP13+BM13+BJ13</f>
        <v>843276000</v>
      </c>
      <c r="EC13" s="228">
        <f t="shared" si="39"/>
        <v>0</v>
      </c>
      <c r="ED13" s="208">
        <f t="shared" si="40"/>
        <v>89651.391666666677</v>
      </c>
      <c r="EE13" s="209">
        <f t="shared" si="41"/>
        <v>3.8272761231198327E-2</v>
      </c>
      <c r="EG13" s="228">
        <f t="shared" si="42"/>
        <v>0</v>
      </c>
      <c r="EH13" s="208">
        <f t="shared" si="43"/>
        <v>0</v>
      </c>
      <c r="EI13" s="209">
        <f t="shared" si="44"/>
        <v>0</v>
      </c>
      <c r="EJ13" s="209"/>
      <c r="EK13" s="228">
        <f t="shared" ref="EK13:EK38" si="52">DR13+DL13+DI13+DF13+DC13+CZ13+CW13+CT13+CQ13+CN13+CK13+CH13+CE13+CB13+BY13+BV13+BS13+BP13+BM13+BJ13+BG13+BD13+BA13+AX13+AU13+AR13+AO13+AL13+AI13+DO13</f>
        <v>843276000</v>
      </c>
      <c r="EL13" s="228">
        <f t="shared" si="45"/>
        <v>0</v>
      </c>
      <c r="EM13" s="228">
        <f t="shared" si="46"/>
        <v>89651.391666666663</v>
      </c>
      <c r="EN13" s="209">
        <f t="shared" si="47"/>
        <v>3.8272761231198327E-2</v>
      </c>
      <c r="EP13" s="208"/>
    </row>
    <row r="14" spans="1:147" x14ac:dyDescent="0.25">
      <c r="A14" s="222">
        <f t="shared" si="48"/>
        <v>46057</v>
      </c>
      <c r="B14" s="208">
        <v>0</v>
      </c>
      <c r="C14" s="209">
        <v>3.8302629999999997E-2</v>
      </c>
      <c r="D14" s="208">
        <f t="shared" si="0"/>
        <v>0</v>
      </c>
      <c r="G14" s="208">
        <f t="shared" si="1"/>
        <v>0</v>
      </c>
      <c r="J14" s="208">
        <f t="shared" si="2"/>
        <v>0</v>
      </c>
      <c r="M14" s="208">
        <f t="shared" si="3"/>
        <v>0</v>
      </c>
      <c r="P14" s="208">
        <f t="shared" si="4"/>
        <v>0</v>
      </c>
      <c r="S14" s="208">
        <f t="shared" si="5"/>
        <v>0</v>
      </c>
      <c r="V14" s="208">
        <f t="shared" si="6"/>
        <v>0</v>
      </c>
      <c r="Y14" s="208">
        <f t="shared" si="7"/>
        <v>0</v>
      </c>
      <c r="AB14" s="208">
        <f t="shared" si="8"/>
        <v>0</v>
      </c>
      <c r="AE14" s="208">
        <v>0</v>
      </c>
      <c r="AH14" s="208">
        <v>0</v>
      </c>
      <c r="AI14" s="223">
        <f>200000000+154000000+97250000</f>
        <v>451250000</v>
      </c>
      <c r="AJ14" s="224">
        <v>3.7999999999999999E-2</v>
      </c>
      <c r="AK14" s="208">
        <f t="shared" si="9"/>
        <v>47631.944444444445</v>
      </c>
      <c r="AL14" s="223"/>
      <c r="AM14" s="224"/>
      <c r="AN14" s="208">
        <f t="shared" si="10"/>
        <v>0</v>
      </c>
      <c r="AO14" s="223">
        <v>50000000</v>
      </c>
      <c r="AP14" s="224">
        <v>3.8800000000000001E-2</v>
      </c>
      <c r="AQ14" s="208">
        <f t="shared" si="11"/>
        <v>5388.8888888888887</v>
      </c>
      <c r="AR14" s="223"/>
      <c r="AS14" s="224"/>
      <c r="AT14" s="208">
        <f t="shared" si="12"/>
        <v>0</v>
      </c>
      <c r="AU14" s="208">
        <v>130000000</v>
      </c>
      <c r="AV14" s="209">
        <v>3.85E-2</v>
      </c>
      <c r="AW14" s="208">
        <f t="shared" si="49"/>
        <v>13902.777777777777</v>
      </c>
      <c r="AX14" s="208">
        <v>21000000</v>
      </c>
      <c r="AY14" s="209">
        <v>3.8300000000000001E-2</v>
      </c>
      <c r="AZ14" s="208">
        <f t="shared" si="13"/>
        <v>2234.1666666666665</v>
      </c>
      <c r="BA14" s="208">
        <v>96876000</v>
      </c>
      <c r="BB14" s="209">
        <v>3.85E-2</v>
      </c>
      <c r="BC14" s="208">
        <f t="shared" si="14"/>
        <v>10360.35</v>
      </c>
      <c r="BF14" s="208">
        <f t="shared" si="15"/>
        <v>0</v>
      </c>
      <c r="BG14" s="208">
        <f t="shared" si="50"/>
        <v>85250000</v>
      </c>
      <c r="BH14" s="209">
        <v>3.8300000000000001E-2</v>
      </c>
      <c r="BI14" s="208">
        <f t="shared" si="16"/>
        <v>9069.6527777777774</v>
      </c>
      <c r="BL14" s="208">
        <f t="shared" si="17"/>
        <v>0</v>
      </c>
      <c r="BO14" s="208">
        <f t="shared" si="18"/>
        <v>0</v>
      </c>
      <c r="BR14" s="208">
        <f t="shared" si="19"/>
        <v>0</v>
      </c>
      <c r="BU14" s="208">
        <f t="shared" si="20"/>
        <v>0</v>
      </c>
      <c r="BX14" s="208">
        <f t="shared" si="21"/>
        <v>0</v>
      </c>
      <c r="CA14" s="208">
        <f t="shared" si="22"/>
        <v>0</v>
      </c>
      <c r="CD14" s="208">
        <f t="shared" si="23"/>
        <v>0</v>
      </c>
      <c r="CG14" s="208">
        <f t="shared" si="24"/>
        <v>0</v>
      </c>
      <c r="CJ14" s="208">
        <f t="shared" si="25"/>
        <v>0</v>
      </c>
      <c r="CM14" s="208">
        <f t="shared" si="26"/>
        <v>0</v>
      </c>
      <c r="CP14" s="208">
        <f t="shared" si="27"/>
        <v>0</v>
      </c>
      <c r="CS14" s="208">
        <f t="shared" si="28"/>
        <v>0</v>
      </c>
      <c r="CV14" s="208">
        <f t="shared" si="29"/>
        <v>0</v>
      </c>
      <c r="CY14" s="208">
        <f t="shared" si="30"/>
        <v>0</v>
      </c>
      <c r="DB14" s="208">
        <f t="shared" si="31"/>
        <v>0</v>
      </c>
      <c r="DE14" s="208">
        <f t="shared" si="32"/>
        <v>0</v>
      </c>
      <c r="DH14" s="208">
        <f t="shared" si="33"/>
        <v>0</v>
      </c>
      <c r="DK14" s="208">
        <f t="shared" si="34"/>
        <v>0</v>
      </c>
      <c r="DN14" s="208">
        <f t="shared" si="35"/>
        <v>0</v>
      </c>
      <c r="DQ14" s="208">
        <f t="shared" si="36"/>
        <v>0</v>
      </c>
      <c r="DT14" s="208">
        <f t="shared" si="37"/>
        <v>0</v>
      </c>
      <c r="DW14" s="208">
        <f t="shared" si="38"/>
        <v>0</v>
      </c>
      <c r="DZ14" s="208"/>
      <c r="EA14" s="208"/>
      <c r="EB14" s="228">
        <f t="shared" si="51"/>
        <v>834376000</v>
      </c>
      <c r="EC14" s="228">
        <f t="shared" si="39"/>
        <v>0</v>
      </c>
      <c r="ED14" s="208">
        <f t="shared" si="40"/>
        <v>88587.780555555568</v>
      </c>
      <c r="EE14" s="209">
        <f t="shared" si="41"/>
        <v>3.8222097711343571E-2</v>
      </c>
      <c r="EG14" s="228">
        <f t="shared" si="42"/>
        <v>0</v>
      </c>
      <c r="EH14" s="208">
        <f t="shared" si="43"/>
        <v>0</v>
      </c>
      <c r="EI14" s="209">
        <f t="shared" si="44"/>
        <v>0</v>
      </c>
      <c r="EJ14" s="209"/>
      <c r="EK14" s="228">
        <f t="shared" si="52"/>
        <v>834376000</v>
      </c>
      <c r="EL14" s="228">
        <f t="shared" si="45"/>
        <v>0</v>
      </c>
      <c r="EM14" s="228">
        <f t="shared" si="46"/>
        <v>88587.780555555568</v>
      </c>
      <c r="EN14" s="209">
        <f t="shared" si="47"/>
        <v>3.8222097711343571E-2</v>
      </c>
      <c r="EP14" s="208"/>
    </row>
    <row r="15" spans="1:147" x14ac:dyDescent="0.25">
      <c r="A15" s="222">
        <f t="shared" si="48"/>
        <v>46058</v>
      </c>
      <c r="B15" s="208">
        <v>0</v>
      </c>
      <c r="C15" s="209">
        <v>3.8295650000000001E-2</v>
      </c>
      <c r="D15" s="208">
        <f t="shared" si="0"/>
        <v>0</v>
      </c>
      <c r="G15" s="208">
        <f t="shared" si="1"/>
        <v>0</v>
      </c>
      <c r="J15" s="208">
        <f t="shared" si="2"/>
        <v>0</v>
      </c>
      <c r="M15" s="208">
        <f t="shared" si="3"/>
        <v>0</v>
      </c>
      <c r="P15" s="208">
        <f t="shared" si="4"/>
        <v>0</v>
      </c>
      <c r="S15" s="208">
        <f t="shared" si="5"/>
        <v>0</v>
      </c>
      <c r="V15" s="208">
        <f t="shared" si="6"/>
        <v>0</v>
      </c>
      <c r="Y15" s="208">
        <f t="shared" si="7"/>
        <v>0</v>
      </c>
      <c r="AB15" s="208">
        <f t="shared" si="8"/>
        <v>0</v>
      </c>
      <c r="AE15" s="208">
        <v>0</v>
      </c>
      <c r="AH15" s="208">
        <v>0</v>
      </c>
      <c r="AI15" s="223">
        <f>200000000+50000000+95500000+140450000</f>
        <v>485950000</v>
      </c>
      <c r="AJ15" s="224">
        <v>3.7999999999999999E-2</v>
      </c>
      <c r="AK15" s="208">
        <f t="shared" si="9"/>
        <v>51294.722222222219</v>
      </c>
      <c r="AL15" s="223"/>
      <c r="AM15" s="224"/>
      <c r="AN15" s="208">
        <f t="shared" si="10"/>
        <v>0</v>
      </c>
      <c r="AO15" s="223">
        <v>50000000</v>
      </c>
      <c r="AP15" s="224">
        <v>3.8800000000000001E-2</v>
      </c>
      <c r="AQ15" s="208">
        <f t="shared" si="11"/>
        <v>5388.8888888888887</v>
      </c>
      <c r="AR15" s="223"/>
      <c r="AS15" s="224"/>
      <c r="AT15" s="208">
        <f t="shared" si="12"/>
        <v>0</v>
      </c>
      <c r="AU15" s="208">
        <v>130000000</v>
      </c>
      <c r="AV15" s="209">
        <v>3.85E-2</v>
      </c>
      <c r="AW15" s="208">
        <f t="shared" si="49"/>
        <v>13902.777777777777</v>
      </c>
      <c r="AZ15" s="208">
        <f t="shared" si="13"/>
        <v>0</v>
      </c>
      <c r="BA15" s="208">
        <f t="shared" ref="BA15:BA20" si="53">96876000+4500000</f>
        <v>101376000</v>
      </c>
      <c r="BB15" s="209">
        <v>3.85E-2</v>
      </c>
      <c r="BC15" s="208">
        <f t="shared" si="14"/>
        <v>10841.6</v>
      </c>
      <c r="BF15" s="208">
        <f t="shared" si="15"/>
        <v>0</v>
      </c>
      <c r="BG15" s="208">
        <f t="shared" si="50"/>
        <v>85250000</v>
      </c>
      <c r="BH15" s="209">
        <v>3.8300000000000001E-2</v>
      </c>
      <c r="BI15" s="208">
        <f t="shared" si="16"/>
        <v>9069.6527777777774</v>
      </c>
      <c r="BL15" s="208">
        <f t="shared" si="17"/>
        <v>0</v>
      </c>
      <c r="BO15" s="208">
        <f t="shared" si="18"/>
        <v>0</v>
      </c>
      <c r="BR15" s="208">
        <f t="shared" si="19"/>
        <v>0</v>
      </c>
      <c r="BU15" s="208">
        <f t="shared" si="20"/>
        <v>0</v>
      </c>
      <c r="BX15" s="208">
        <f t="shared" si="21"/>
        <v>0</v>
      </c>
      <c r="CA15" s="208">
        <f t="shared" si="22"/>
        <v>0</v>
      </c>
      <c r="CD15" s="208">
        <f t="shared" si="23"/>
        <v>0</v>
      </c>
      <c r="CG15" s="208">
        <f t="shared" si="24"/>
        <v>0</v>
      </c>
      <c r="CJ15" s="208">
        <f t="shared" si="25"/>
        <v>0</v>
      </c>
      <c r="CM15" s="208">
        <f t="shared" si="26"/>
        <v>0</v>
      </c>
      <c r="CP15" s="208">
        <f t="shared" si="27"/>
        <v>0</v>
      </c>
      <c r="CS15" s="208">
        <f t="shared" si="28"/>
        <v>0</v>
      </c>
      <c r="CV15" s="208">
        <f t="shared" si="29"/>
        <v>0</v>
      </c>
      <c r="CY15" s="208">
        <f t="shared" si="30"/>
        <v>0</v>
      </c>
      <c r="DB15" s="208">
        <f t="shared" si="31"/>
        <v>0</v>
      </c>
      <c r="DE15" s="208">
        <f t="shared" si="32"/>
        <v>0</v>
      </c>
      <c r="DH15" s="208">
        <f t="shared" si="33"/>
        <v>0</v>
      </c>
      <c r="DK15" s="208">
        <f t="shared" si="34"/>
        <v>0</v>
      </c>
      <c r="DN15" s="208">
        <f t="shared" si="35"/>
        <v>0</v>
      </c>
      <c r="DQ15" s="208">
        <f t="shared" si="36"/>
        <v>0</v>
      </c>
      <c r="DT15" s="208">
        <f t="shared" si="37"/>
        <v>0</v>
      </c>
      <c r="DW15" s="208">
        <f t="shared" si="38"/>
        <v>0</v>
      </c>
      <c r="DZ15" s="208"/>
      <c r="EA15" s="208"/>
      <c r="EB15" s="228">
        <f t="shared" si="51"/>
        <v>852576000</v>
      </c>
      <c r="EC15" s="228">
        <f t="shared" si="39"/>
        <v>0</v>
      </c>
      <c r="ED15" s="208">
        <f t="shared" si="40"/>
        <v>90497.641666666677</v>
      </c>
      <c r="EE15" s="209">
        <f t="shared" si="41"/>
        <v>3.821260626618625E-2</v>
      </c>
      <c r="EG15" s="228">
        <f t="shared" si="42"/>
        <v>0</v>
      </c>
      <c r="EH15" s="208">
        <f t="shared" si="43"/>
        <v>0</v>
      </c>
      <c r="EI15" s="209">
        <f t="shared" si="44"/>
        <v>0</v>
      </c>
      <c r="EJ15" s="209"/>
      <c r="EK15" s="228">
        <f t="shared" si="52"/>
        <v>852576000</v>
      </c>
      <c r="EL15" s="228">
        <f t="shared" si="45"/>
        <v>0</v>
      </c>
      <c r="EM15" s="228">
        <f t="shared" si="46"/>
        <v>90497.641666666663</v>
      </c>
      <c r="EN15" s="209">
        <f t="shared" si="47"/>
        <v>3.8212606266186236E-2</v>
      </c>
      <c r="EP15" s="208"/>
    </row>
    <row r="16" spans="1:147" x14ac:dyDescent="0.25">
      <c r="A16" s="222">
        <f t="shared" si="48"/>
        <v>46059</v>
      </c>
      <c r="B16" s="208">
        <v>0</v>
      </c>
      <c r="C16" s="209">
        <v>3.8295620000000002E-2</v>
      </c>
      <c r="D16" s="208">
        <f t="shared" si="0"/>
        <v>0</v>
      </c>
      <c r="G16" s="208">
        <f t="shared" si="1"/>
        <v>0</v>
      </c>
      <c r="J16" s="208">
        <f t="shared" si="2"/>
        <v>0</v>
      </c>
      <c r="M16" s="208">
        <f t="shared" si="3"/>
        <v>0</v>
      </c>
      <c r="P16" s="208">
        <f t="shared" si="4"/>
        <v>0</v>
      </c>
      <c r="S16" s="208">
        <f t="shared" si="5"/>
        <v>0</v>
      </c>
      <c r="V16" s="208">
        <f t="shared" si="6"/>
        <v>0</v>
      </c>
      <c r="Y16" s="208">
        <f t="shared" si="7"/>
        <v>0</v>
      </c>
      <c r="AB16" s="208">
        <f t="shared" si="8"/>
        <v>0</v>
      </c>
      <c r="AE16" s="208">
        <v>0</v>
      </c>
      <c r="AH16" s="208">
        <v>0</v>
      </c>
      <c r="AI16" s="223">
        <f>200000000+56275000+225000000</f>
        <v>481275000</v>
      </c>
      <c r="AJ16" s="224">
        <v>3.7999999999999999E-2</v>
      </c>
      <c r="AK16" s="208">
        <f t="shared" si="9"/>
        <v>50801.25</v>
      </c>
      <c r="AL16" s="223"/>
      <c r="AM16" s="224"/>
      <c r="AN16" s="208">
        <f t="shared" si="10"/>
        <v>0</v>
      </c>
      <c r="AO16" s="223">
        <v>50000000</v>
      </c>
      <c r="AP16" s="224">
        <v>3.8800000000000001E-2</v>
      </c>
      <c r="AQ16" s="208">
        <f t="shared" si="11"/>
        <v>5388.8888888888887</v>
      </c>
      <c r="AR16" s="223"/>
      <c r="AS16" s="224"/>
      <c r="AT16" s="208">
        <f t="shared" si="12"/>
        <v>0</v>
      </c>
      <c r="AU16" s="208">
        <v>130000000</v>
      </c>
      <c r="AV16" s="209">
        <v>3.85E-2</v>
      </c>
      <c r="AW16" s="208">
        <f t="shared" si="49"/>
        <v>13902.777777777777</v>
      </c>
      <c r="AZ16" s="208">
        <f t="shared" si="13"/>
        <v>0</v>
      </c>
      <c r="BA16" s="208">
        <f t="shared" si="53"/>
        <v>101376000</v>
      </c>
      <c r="BB16" s="209">
        <v>3.85E-2</v>
      </c>
      <c r="BC16" s="208">
        <f t="shared" si="14"/>
        <v>10841.6</v>
      </c>
      <c r="BF16" s="208">
        <f t="shared" si="15"/>
        <v>0</v>
      </c>
      <c r="BG16" s="208">
        <f t="shared" si="50"/>
        <v>85250000</v>
      </c>
      <c r="BH16" s="209">
        <v>3.8300000000000001E-2</v>
      </c>
      <c r="BI16" s="208">
        <f t="shared" si="16"/>
        <v>9069.6527777777774</v>
      </c>
      <c r="BL16" s="208">
        <f t="shared" si="17"/>
        <v>0</v>
      </c>
      <c r="BO16" s="208">
        <f t="shared" si="18"/>
        <v>0</v>
      </c>
      <c r="BR16" s="208">
        <f t="shared" si="19"/>
        <v>0</v>
      </c>
      <c r="BU16" s="208">
        <f t="shared" si="20"/>
        <v>0</v>
      </c>
      <c r="BX16" s="208">
        <f t="shared" si="21"/>
        <v>0</v>
      </c>
      <c r="CA16" s="208">
        <f t="shared" si="22"/>
        <v>0</v>
      </c>
      <c r="CD16" s="208">
        <f t="shared" si="23"/>
        <v>0</v>
      </c>
      <c r="CG16" s="208">
        <f t="shared" si="24"/>
        <v>0</v>
      </c>
      <c r="CJ16" s="208">
        <f t="shared" si="25"/>
        <v>0</v>
      </c>
      <c r="CM16" s="208">
        <f t="shared" si="26"/>
        <v>0</v>
      </c>
      <c r="CP16" s="208">
        <f t="shared" si="27"/>
        <v>0</v>
      </c>
      <c r="CS16" s="208">
        <f t="shared" si="28"/>
        <v>0</v>
      </c>
      <c r="CV16" s="208">
        <f t="shared" si="29"/>
        <v>0</v>
      </c>
      <c r="CY16" s="208">
        <f t="shared" si="30"/>
        <v>0</v>
      </c>
      <c r="DB16" s="208">
        <f t="shared" si="31"/>
        <v>0</v>
      </c>
      <c r="DE16" s="208">
        <f t="shared" si="32"/>
        <v>0</v>
      </c>
      <c r="DH16" s="208">
        <f t="shared" si="33"/>
        <v>0</v>
      </c>
      <c r="DK16" s="208">
        <f t="shared" si="34"/>
        <v>0</v>
      </c>
      <c r="DN16" s="208">
        <f t="shared" si="35"/>
        <v>0</v>
      </c>
      <c r="DQ16" s="208">
        <f t="shared" si="36"/>
        <v>0</v>
      </c>
      <c r="DT16" s="208">
        <f t="shared" si="37"/>
        <v>0</v>
      </c>
      <c r="DW16" s="208">
        <f t="shared" si="38"/>
        <v>0</v>
      </c>
      <c r="DZ16" s="208"/>
      <c r="EA16" s="208"/>
      <c r="EB16" s="228">
        <f t="shared" si="51"/>
        <v>847901000</v>
      </c>
      <c r="EC16" s="228">
        <f t="shared" si="39"/>
        <v>0</v>
      </c>
      <c r="ED16" s="208">
        <f t="shared" si="40"/>
        <v>90004.169444444458</v>
      </c>
      <c r="EE16" s="209">
        <f t="shared" si="41"/>
        <v>3.82137784953668E-2</v>
      </c>
      <c r="EG16" s="228">
        <f t="shared" si="42"/>
        <v>0</v>
      </c>
      <c r="EH16" s="208">
        <f t="shared" si="43"/>
        <v>0</v>
      </c>
      <c r="EI16" s="209">
        <f t="shared" si="44"/>
        <v>0</v>
      </c>
      <c r="EJ16" s="209"/>
      <c r="EK16" s="228">
        <f t="shared" si="52"/>
        <v>847901000</v>
      </c>
      <c r="EL16" s="228">
        <f t="shared" si="45"/>
        <v>0</v>
      </c>
      <c r="EM16" s="228">
        <f t="shared" si="46"/>
        <v>90004.169444444444</v>
      </c>
      <c r="EN16" s="209">
        <f t="shared" si="47"/>
        <v>3.8213778495366793E-2</v>
      </c>
      <c r="EP16" s="208"/>
    </row>
    <row r="17" spans="1:146" x14ac:dyDescent="0.25">
      <c r="A17" s="222">
        <f t="shared" si="48"/>
        <v>46060</v>
      </c>
      <c r="B17" s="208">
        <v>0</v>
      </c>
      <c r="C17" s="209">
        <v>3.8295620000000002E-2</v>
      </c>
      <c r="D17" s="208">
        <f t="shared" si="0"/>
        <v>0</v>
      </c>
      <c r="G17" s="208">
        <f t="shared" si="1"/>
        <v>0</v>
      </c>
      <c r="J17" s="208">
        <f t="shared" si="2"/>
        <v>0</v>
      </c>
      <c r="M17" s="208">
        <f t="shared" si="3"/>
        <v>0</v>
      </c>
      <c r="P17" s="208">
        <f t="shared" si="4"/>
        <v>0</v>
      </c>
      <c r="S17" s="208">
        <f t="shared" si="5"/>
        <v>0</v>
      </c>
      <c r="V17" s="208">
        <f t="shared" si="6"/>
        <v>0</v>
      </c>
      <c r="Y17" s="208">
        <f t="shared" si="7"/>
        <v>0</v>
      </c>
      <c r="AB17" s="208">
        <f t="shared" si="8"/>
        <v>0</v>
      </c>
      <c r="AE17" s="208">
        <v>0</v>
      </c>
      <c r="AH17" s="208">
        <v>0</v>
      </c>
      <c r="AI17" s="223">
        <f>200000000+56275000+225000000</f>
        <v>481275000</v>
      </c>
      <c r="AJ17" s="224">
        <v>3.7999999999999999E-2</v>
      </c>
      <c r="AK17" s="208">
        <f t="shared" si="9"/>
        <v>50801.25</v>
      </c>
      <c r="AL17" s="223"/>
      <c r="AM17" s="224"/>
      <c r="AN17" s="208">
        <f t="shared" si="10"/>
        <v>0</v>
      </c>
      <c r="AO17" s="223">
        <v>50000000</v>
      </c>
      <c r="AP17" s="224">
        <v>3.8800000000000001E-2</v>
      </c>
      <c r="AQ17" s="208">
        <f t="shared" si="11"/>
        <v>5388.8888888888887</v>
      </c>
      <c r="AR17" s="223"/>
      <c r="AS17" s="224"/>
      <c r="AT17" s="208">
        <f t="shared" si="12"/>
        <v>0</v>
      </c>
      <c r="AU17" s="208">
        <v>130000000</v>
      </c>
      <c r="AV17" s="209">
        <v>3.85E-2</v>
      </c>
      <c r="AW17" s="208">
        <f t="shared" si="49"/>
        <v>13902.777777777777</v>
      </c>
      <c r="AZ17" s="208">
        <f t="shared" si="13"/>
        <v>0</v>
      </c>
      <c r="BA17" s="208">
        <f t="shared" si="53"/>
        <v>101376000</v>
      </c>
      <c r="BB17" s="209">
        <v>3.85E-2</v>
      </c>
      <c r="BC17" s="208">
        <f t="shared" si="14"/>
        <v>10841.6</v>
      </c>
      <c r="BF17" s="208">
        <f t="shared" si="15"/>
        <v>0</v>
      </c>
      <c r="BG17" s="208">
        <f t="shared" si="50"/>
        <v>85250000</v>
      </c>
      <c r="BH17" s="209">
        <v>3.8300000000000001E-2</v>
      </c>
      <c r="BI17" s="208">
        <f t="shared" si="16"/>
        <v>9069.6527777777774</v>
      </c>
      <c r="BL17" s="208">
        <f t="shared" si="17"/>
        <v>0</v>
      </c>
      <c r="BO17" s="208">
        <f t="shared" si="18"/>
        <v>0</v>
      </c>
      <c r="BR17" s="208">
        <f t="shared" si="19"/>
        <v>0</v>
      </c>
      <c r="BU17" s="208">
        <f t="shared" si="20"/>
        <v>0</v>
      </c>
      <c r="BX17" s="208">
        <f t="shared" si="21"/>
        <v>0</v>
      </c>
      <c r="CA17" s="208">
        <f t="shared" si="22"/>
        <v>0</v>
      </c>
      <c r="CD17" s="208">
        <f t="shared" si="23"/>
        <v>0</v>
      </c>
      <c r="CG17" s="208">
        <f t="shared" si="24"/>
        <v>0</v>
      </c>
      <c r="CJ17" s="208">
        <f t="shared" si="25"/>
        <v>0</v>
      </c>
      <c r="CM17" s="208">
        <f t="shared" si="26"/>
        <v>0</v>
      </c>
      <c r="CP17" s="208">
        <f t="shared" si="27"/>
        <v>0</v>
      </c>
      <c r="CS17" s="208">
        <f t="shared" si="28"/>
        <v>0</v>
      </c>
      <c r="CV17" s="208">
        <f t="shared" si="29"/>
        <v>0</v>
      </c>
      <c r="CY17" s="208">
        <f t="shared" si="30"/>
        <v>0</v>
      </c>
      <c r="DB17" s="208">
        <f t="shared" si="31"/>
        <v>0</v>
      </c>
      <c r="DE17" s="208">
        <f t="shared" si="32"/>
        <v>0</v>
      </c>
      <c r="DH17" s="208">
        <f t="shared" si="33"/>
        <v>0</v>
      </c>
      <c r="DK17" s="208">
        <f t="shared" si="34"/>
        <v>0</v>
      </c>
      <c r="DN17" s="208">
        <f t="shared" si="35"/>
        <v>0</v>
      </c>
      <c r="DQ17" s="208">
        <f t="shared" si="36"/>
        <v>0</v>
      </c>
      <c r="DT17" s="208">
        <f t="shared" si="37"/>
        <v>0</v>
      </c>
      <c r="DW17" s="208">
        <f t="shared" si="38"/>
        <v>0</v>
      </c>
      <c r="DZ17" s="208"/>
      <c r="EA17" s="208"/>
      <c r="EB17" s="228">
        <f t="shared" si="51"/>
        <v>847901000</v>
      </c>
      <c r="EC17" s="228">
        <f t="shared" si="39"/>
        <v>0</v>
      </c>
      <c r="ED17" s="208">
        <f t="shared" si="40"/>
        <v>90004.169444444458</v>
      </c>
      <c r="EE17" s="209">
        <f t="shared" si="41"/>
        <v>3.82137784953668E-2</v>
      </c>
      <c r="EG17" s="228">
        <f t="shared" si="42"/>
        <v>0</v>
      </c>
      <c r="EH17" s="208">
        <f t="shared" si="43"/>
        <v>0</v>
      </c>
      <c r="EI17" s="209">
        <f t="shared" si="44"/>
        <v>0</v>
      </c>
      <c r="EJ17" s="209"/>
      <c r="EK17" s="228">
        <f t="shared" si="52"/>
        <v>847901000</v>
      </c>
      <c r="EL17" s="228">
        <f t="shared" si="45"/>
        <v>0</v>
      </c>
      <c r="EM17" s="228">
        <f t="shared" si="46"/>
        <v>90004.169444444444</v>
      </c>
      <c r="EN17" s="209">
        <f t="shared" si="47"/>
        <v>3.8213778495366793E-2</v>
      </c>
      <c r="EP17" s="208"/>
    </row>
    <row r="18" spans="1:146" x14ac:dyDescent="0.25">
      <c r="A18" s="222">
        <f t="shared" si="48"/>
        <v>46061</v>
      </c>
      <c r="B18" s="208">
        <v>0</v>
      </c>
      <c r="C18" s="209">
        <v>3.8295620000000002E-2</v>
      </c>
      <c r="D18" s="208">
        <f t="shared" si="0"/>
        <v>0</v>
      </c>
      <c r="G18" s="208">
        <f t="shared" si="1"/>
        <v>0</v>
      </c>
      <c r="J18" s="208">
        <f t="shared" si="2"/>
        <v>0</v>
      </c>
      <c r="M18" s="208">
        <f t="shared" si="3"/>
        <v>0</v>
      </c>
      <c r="P18" s="208">
        <f t="shared" si="4"/>
        <v>0</v>
      </c>
      <c r="S18" s="208">
        <f t="shared" si="5"/>
        <v>0</v>
      </c>
      <c r="V18" s="208">
        <f t="shared" si="6"/>
        <v>0</v>
      </c>
      <c r="Y18" s="208">
        <f t="shared" si="7"/>
        <v>0</v>
      </c>
      <c r="AB18" s="208">
        <f t="shared" si="8"/>
        <v>0</v>
      </c>
      <c r="AE18" s="208">
        <v>0</v>
      </c>
      <c r="AH18" s="208">
        <v>0</v>
      </c>
      <c r="AI18" s="223">
        <f>200000000+56275000+225000000</f>
        <v>481275000</v>
      </c>
      <c r="AJ18" s="224">
        <v>3.7999999999999999E-2</v>
      </c>
      <c r="AK18" s="208">
        <f t="shared" si="9"/>
        <v>50801.25</v>
      </c>
      <c r="AL18" s="223"/>
      <c r="AM18" s="224"/>
      <c r="AN18" s="208">
        <f t="shared" si="10"/>
        <v>0</v>
      </c>
      <c r="AO18" s="223">
        <v>50000000</v>
      </c>
      <c r="AP18" s="224">
        <v>3.8800000000000001E-2</v>
      </c>
      <c r="AQ18" s="208">
        <f t="shared" si="11"/>
        <v>5388.8888888888887</v>
      </c>
      <c r="AR18" s="223"/>
      <c r="AS18" s="224"/>
      <c r="AT18" s="208">
        <f t="shared" si="12"/>
        <v>0</v>
      </c>
      <c r="AU18" s="208">
        <v>130000000</v>
      </c>
      <c r="AV18" s="209">
        <v>3.85E-2</v>
      </c>
      <c r="AW18" s="208">
        <f t="shared" si="49"/>
        <v>13902.777777777777</v>
      </c>
      <c r="AZ18" s="208">
        <f t="shared" si="13"/>
        <v>0</v>
      </c>
      <c r="BA18" s="208">
        <f t="shared" si="53"/>
        <v>101376000</v>
      </c>
      <c r="BB18" s="209">
        <v>3.85E-2</v>
      </c>
      <c r="BC18" s="208">
        <f t="shared" si="14"/>
        <v>10841.6</v>
      </c>
      <c r="BF18" s="208">
        <f t="shared" si="15"/>
        <v>0</v>
      </c>
      <c r="BG18" s="208">
        <f t="shared" si="50"/>
        <v>85250000</v>
      </c>
      <c r="BH18" s="209">
        <v>3.8300000000000001E-2</v>
      </c>
      <c r="BI18" s="208">
        <f t="shared" si="16"/>
        <v>9069.6527777777774</v>
      </c>
      <c r="BL18" s="208">
        <f t="shared" si="17"/>
        <v>0</v>
      </c>
      <c r="BO18" s="208">
        <f t="shared" si="18"/>
        <v>0</v>
      </c>
      <c r="BR18" s="208">
        <f t="shared" si="19"/>
        <v>0</v>
      </c>
      <c r="BU18" s="208">
        <f t="shared" si="20"/>
        <v>0</v>
      </c>
      <c r="BX18" s="208">
        <f t="shared" si="21"/>
        <v>0</v>
      </c>
      <c r="CA18" s="208">
        <f t="shared" si="22"/>
        <v>0</v>
      </c>
      <c r="CD18" s="208">
        <f t="shared" si="23"/>
        <v>0</v>
      </c>
      <c r="CG18" s="208">
        <f t="shared" si="24"/>
        <v>0</v>
      </c>
      <c r="CJ18" s="208">
        <f t="shared" si="25"/>
        <v>0</v>
      </c>
      <c r="CM18" s="208">
        <f t="shared" si="26"/>
        <v>0</v>
      </c>
      <c r="CP18" s="208">
        <f t="shared" si="27"/>
        <v>0</v>
      </c>
      <c r="CS18" s="208">
        <f t="shared" si="28"/>
        <v>0</v>
      </c>
      <c r="CV18" s="208">
        <f t="shared" si="29"/>
        <v>0</v>
      </c>
      <c r="CY18" s="208">
        <f t="shared" si="30"/>
        <v>0</v>
      </c>
      <c r="DB18" s="208">
        <f t="shared" si="31"/>
        <v>0</v>
      </c>
      <c r="DE18" s="208">
        <f t="shared" si="32"/>
        <v>0</v>
      </c>
      <c r="DH18" s="208">
        <f t="shared" si="33"/>
        <v>0</v>
      </c>
      <c r="DK18" s="208">
        <f t="shared" si="34"/>
        <v>0</v>
      </c>
      <c r="DN18" s="208">
        <f t="shared" si="35"/>
        <v>0</v>
      </c>
      <c r="DQ18" s="208">
        <f t="shared" si="36"/>
        <v>0</v>
      </c>
      <c r="DT18" s="208">
        <f t="shared" si="37"/>
        <v>0</v>
      </c>
      <c r="DW18" s="208">
        <f t="shared" si="38"/>
        <v>0</v>
      </c>
      <c r="DZ18" s="208"/>
      <c r="EA18" s="208"/>
      <c r="EB18" s="228">
        <f t="shared" si="51"/>
        <v>847901000</v>
      </c>
      <c r="EC18" s="228">
        <f t="shared" si="39"/>
        <v>0</v>
      </c>
      <c r="ED18" s="208">
        <f t="shared" si="40"/>
        <v>90004.169444444458</v>
      </c>
      <c r="EE18" s="209">
        <f t="shared" si="41"/>
        <v>3.82137784953668E-2</v>
      </c>
      <c r="EG18" s="228">
        <f t="shared" si="42"/>
        <v>0</v>
      </c>
      <c r="EH18" s="208">
        <f t="shared" si="43"/>
        <v>0</v>
      </c>
      <c r="EI18" s="209">
        <f t="shared" si="44"/>
        <v>0</v>
      </c>
      <c r="EJ18" s="209"/>
      <c r="EK18" s="228">
        <f t="shared" si="52"/>
        <v>847901000</v>
      </c>
      <c r="EL18" s="228">
        <f t="shared" si="45"/>
        <v>0</v>
      </c>
      <c r="EM18" s="228">
        <f t="shared" si="46"/>
        <v>90004.169444444444</v>
      </c>
      <c r="EN18" s="209">
        <f t="shared" si="47"/>
        <v>3.8213778495366793E-2</v>
      </c>
      <c r="EP18" s="208"/>
    </row>
    <row r="19" spans="1:146" x14ac:dyDescent="0.25">
      <c r="A19" s="222">
        <f t="shared" si="48"/>
        <v>46062</v>
      </c>
      <c r="B19" s="208">
        <v>0</v>
      </c>
      <c r="C19" s="209">
        <v>3.8291659999999998E-2</v>
      </c>
      <c r="D19" s="208">
        <f t="shared" si="0"/>
        <v>0</v>
      </c>
      <c r="G19" s="208">
        <f t="shared" si="1"/>
        <v>0</v>
      </c>
      <c r="J19" s="208">
        <f t="shared" si="2"/>
        <v>0</v>
      </c>
      <c r="M19" s="208">
        <f t="shared" si="3"/>
        <v>0</v>
      </c>
      <c r="P19" s="208">
        <f t="shared" si="4"/>
        <v>0</v>
      </c>
      <c r="S19" s="208">
        <f t="shared" si="5"/>
        <v>0</v>
      </c>
      <c r="V19" s="208">
        <f t="shared" si="6"/>
        <v>0</v>
      </c>
      <c r="Y19" s="208">
        <f t="shared" si="7"/>
        <v>0</v>
      </c>
      <c r="AB19" s="208">
        <f t="shared" si="8"/>
        <v>0</v>
      </c>
      <c r="AE19" s="208">
        <v>0</v>
      </c>
      <c r="AH19" s="208">
        <v>0</v>
      </c>
      <c r="AI19" s="223">
        <f>200000000</f>
        <v>200000000</v>
      </c>
      <c r="AJ19" s="224">
        <v>3.7999999999999999E-2</v>
      </c>
      <c r="AK19" s="208">
        <f t="shared" si="9"/>
        <v>21111.111111111109</v>
      </c>
      <c r="AL19" s="223"/>
      <c r="AM19" s="224"/>
      <c r="AN19" s="208">
        <f t="shared" si="10"/>
        <v>0</v>
      </c>
      <c r="AO19" s="223">
        <v>50000000</v>
      </c>
      <c r="AP19" s="224">
        <v>3.8800000000000001E-2</v>
      </c>
      <c r="AQ19" s="208">
        <f t="shared" si="11"/>
        <v>5388.8888888888887</v>
      </c>
      <c r="AR19" s="223">
        <f>105000000</f>
        <v>105000000</v>
      </c>
      <c r="AS19" s="224">
        <v>3.8100000000000002E-2</v>
      </c>
      <c r="AT19" s="208">
        <f t="shared" si="12"/>
        <v>11112.5</v>
      </c>
      <c r="AU19" s="208">
        <v>130000000</v>
      </c>
      <c r="AV19" s="209">
        <v>3.85E-2</v>
      </c>
      <c r="AW19" s="208">
        <f t="shared" si="49"/>
        <v>13902.777777777777</v>
      </c>
      <c r="AX19" s="208">
        <f>10000000+195000000</f>
        <v>205000000</v>
      </c>
      <c r="AY19" s="209">
        <v>3.8300000000000001E-2</v>
      </c>
      <c r="AZ19" s="208">
        <f t="shared" si="13"/>
        <v>21809.722222222223</v>
      </c>
      <c r="BA19" s="208">
        <f t="shared" si="53"/>
        <v>101376000</v>
      </c>
      <c r="BB19" s="209">
        <v>3.85E-2</v>
      </c>
      <c r="BC19" s="208">
        <f t="shared" si="14"/>
        <v>10841.6</v>
      </c>
      <c r="BF19" s="208">
        <f t="shared" si="15"/>
        <v>0</v>
      </c>
      <c r="BG19" s="208">
        <v>80000000</v>
      </c>
      <c r="BH19" s="209">
        <v>3.8300000000000001E-2</v>
      </c>
      <c r="BI19" s="208">
        <f t="shared" si="16"/>
        <v>8511.1111111111113</v>
      </c>
      <c r="BL19" s="208">
        <f t="shared" si="17"/>
        <v>0</v>
      </c>
      <c r="BO19" s="208">
        <f t="shared" si="18"/>
        <v>0</v>
      </c>
      <c r="BR19" s="208">
        <f t="shared" si="19"/>
        <v>0</v>
      </c>
      <c r="BU19" s="208">
        <f t="shared" si="20"/>
        <v>0</v>
      </c>
      <c r="BX19" s="208">
        <f t="shared" si="21"/>
        <v>0</v>
      </c>
      <c r="CA19" s="208">
        <f t="shared" si="22"/>
        <v>0</v>
      </c>
      <c r="CD19" s="208">
        <f t="shared" si="23"/>
        <v>0</v>
      </c>
      <c r="CG19" s="208">
        <f t="shared" si="24"/>
        <v>0</v>
      </c>
      <c r="CJ19" s="208">
        <f t="shared" si="25"/>
        <v>0</v>
      </c>
      <c r="CM19" s="208">
        <f t="shared" si="26"/>
        <v>0</v>
      </c>
      <c r="CP19" s="208">
        <f t="shared" si="27"/>
        <v>0</v>
      </c>
      <c r="CS19" s="208">
        <f t="shared" si="28"/>
        <v>0</v>
      </c>
      <c r="CV19" s="208">
        <f t="shared" si="29"/>
        <v>0</v>
      </c>
      <c r="CY19" s="208">
        <f t="shared" si="30"/>
        <v>0</v>
      </c>
      <c r="DB19" s="208">
        <f t="shared" si="31"/>
        <v>0</v>
      </c>
      <c r="DE19" s="208">
        <f t="shared" si="32"/>
        <v>0</v>
      </c>
      <c r="DH19" s="208">
        <f t="shared" si="33"/>
        <v>0</v>
      </c>
      <c r="DK19" s="208">
        <f t="shared" si="34"/>
        <v>0</v>
      </c>
      <c r="DN19" s="208">
        <f t="shared" si="35"/>
        <v>0</v>
      </c>
      <c r="DQ19" s="208">
        <f t="shared" si="36"/>
        <v>0</v>
      </c>
      <c r="DT19" s="208">
        <f t="shared" si="37"/>
        <v>0</v>
      </c>
      <c r="DW19" s="208">
        <f t="shared" si="38"/>
        <v>0</v>
      </c>
      <c r="DZ19" s="208"/>
      <c r="EA19" s="208"/>
      <c r="EB19" s="228">
        <f t="shared" si="51"/>
        <v>871376000</v>
      </c>
      <c r="EC19" s="228">
        <f t="shared" si="39"/>
        <v>0</v>
      </c>
      <c r="ED19" s="208">
        <f t="shared" si="40"/>
        <v>92677.711111111115</v>
      </c>
      <c r="EE19" s="209">
        <f t="shared" si="41"/>
        <v>3.828883972016673E-2</v>
      </c>
      <c r="EG19" s="228">
        <f t="shared" si="42"/>
        <v>0</v>
      </c>
      <c r="EH19" s="208">
        <f t="shared" si="43"/>
        <v>0</v>
      </c>
      <c r="EI19" s="209">
        <f t="shared" si="44"/>
        <v>0</v>
      </c>
      <c r="EJ19" s="209"/>
      <c r="EK19" s="228">
        <f t="shared" si="52"/>
        <v>871376000</v>
      </c>
      <c r="EL19" s="228">
        <f t="shared" si="45"/>
        <v>0</v>
      </c>
      <c r="EM19" s="228">
        <f t="shared" si="46"/>
        <v>92677.711111111115</v>
      </c>
      <c r="EN19" s="209">
        <f t="shared" si="47"/>
        <v>3.828883972016673E-2</v>
      </c>
      <c r="EP19" s="208"/>
    </row>
    <row r="20" spans="1:146" x14ac:dyDescent="0.25">
      <c r="A20" s="222">
        <f t="shared" si="48"/>
        <v>46063</v>
      </c>
      <c r="B20" s="208">
        <v>0</v>
      </c>
      <c r="C20" s="209">
        <v>3.833864E-2</v>
      </c>
      <c r="D20" s="208">
        <f t="shared" si="0"/>
        <v>0</v>
      </c>
      <c r="G20" s="208">
        <f t="shared" si="1"/>
        <v>0</v>
      </c>
      <c r="J20" s="208">
        <f t="shared" si="2"/>
        <v>0</v>
      </c>
      <c r="M20" s="208">
        <f t="shared" si="3"/>
        <v>0</v>
      </c>
      <c r="P20" s="208">
        <f t="shared" si="4"/>
        <v>0</v>
      </c>
      <c r="S20" s="208">
        <f t="shared" si="5"/>
        <v>0</v>
      </c>
      <c r="V20" s="208">
        <f t="shared" si="6"/>
        <v>0</v>
      </c>
      <c r="Y20" s="208">
        <f t="shared" si="7"/>
        <v>0</v>
      </c>
      <c r="AB20" s="208">
        <f t="shared" si="8"/>
        <v>0</v>
      </c>
      <c r="AE20" s="208">
        <v>0</v>
      </c>
      <c r="AH20" s="208">
        <v>0</v>
      </c>
      <c r="AI20" s="223">
        <f>300000000+11825000</f>
        <v>311825000</v>
      </c>
      <c r="AJ20" s="224">
        <v>3.8100000000000002E-2</v>
      </c>
      <c r="AK20" s="208">
        <f t="shared" si="9"/>
        <v>33001.479166666664</v>
      </c>
      <c r="AL20" s="223"/>
      <c r="AM20" s="224"/>
      <c r="AN20" s="208">
        <f t="shared" si="10"/>
        <v>0</v>
      </c>
      <c r="AO20" s="223">
        <v>50000000</v>
      </c>
      <c r="AP20" s="224">
        <v>3.8800000000000001E-2</v>
      </c>
      <c r="AQ20" s="208">
        <f t="shared" si="11"/>
        <v>5388.8888888888887</v>
      </c>
      <c r="AR20" s="223"/>
      <c r="AS20" s="224"/>
      <c r="AT20" s="208">
        <f t="shared" si="12"/>
        <v>0</v>
      </c>
      <c r="AU20" s="208">
        <f t="shared" ref="AU20:AU26" si="54">130000000+100000000</f>
        <v>230000000</v>
      </c>
      <c r="AV20" s="209">
        <v>3.85E-2</v>
      </c>
      <c r="AW20" s="208">
        <f t="shared" si="49"/>
        <v>24597.222222222223</v>
      </c>
      <c r="AX20" s="208">
        <f t="shared" ref="AX20:AX26" si="55">10000000</f>
        <v>10000000</v>
      </c>
      <c r="AY20" s="209">
        <v>3.8300000000000001E-2</v>
      </c>
      <c r="AZ20" s="208">
        <f t="shared" si="13"/>
        <v>1063.8888888888889</v>
      </c>
      <c r="BA20" s="208">
        <f t="shared" si="53"/>
        <v>101376000</v>
      </c>
      <c r="BB20" s="209">
        <v>3.85E-2</v>
      </c>
      <c r="BC20" s="208">
        <f t="shared" si="14"/>
        <v>10841.6</v>
      </c>
      <c r="BD20" s="208">
        <f t="shared" ref="BD20:BD33" si="56">150000000</f>
        <v>150000000</v>
      </c>
      <c r="BE20" s="209">
        <v>3.8699999999999998E-2</v>
      </c>
      <c r="BF20" s="208">
        <f t="shared" si="15"/>
        <v>16125</v>
      </c>
      <c r="BI20" s="208">
        <f t="shared" si="16"/>
        <v>0</v>
      </c>
      <c r="BL20" s="208">
        <f t="shared" si="17"/>
        <v>0</v>
      </c>
      <c r="BO20" s="208">
        <f t="shared" si="18"/>
        <v>0</v>
      </c>
      <c r="BR20" s="208">
        <f t="shared" si="19"/>
        <v>0</v>
      </c>
      <c r="BU20" s="208">
        <f t="shared" si="20"/>
        <v>0</v>
      </c>
      <c r="BX20" s="208">
        <f t="shared" si="21"/>
        <v>0</v>
      </c>
      <c r="CA20" s="208">
        <f t="shared" si="22"/>
        <v>0</v>
      </c>
      <c r="CD20" s="208">
        <f t="shared" si="23"/>
        <v>0</v>
      </c>
      <c r="CG20" s="208">
        <f t="shared" si="24"/>
        <v>0</v>
      </c>
      <c r="CJ20" s="208">
        <f t="shared" si="25"/>
        <v>0</v>
      </c>
      <c r="CM20" s="208">
        <f t="shared" si="26"/>
        <v>0</v>
      </c>
      <c r="CP20" s="208">
        <f t="shared" si="27"/>
        <v>0</v>
      </c>
      <c r="CS20" s="208">
        <f t="shared" si="28"/>
        <v>0</v>
      </c>
      <c r="CV20" s="208">
        <f t="shared" si="29"/>
        <v>0</v>
      </c>
      <c r="CY20" s="208">
        <f t="shared" si="30"/>
        <v>0</v>
      </c>
      <c r="DB20" s="208">
        <f t="shared" si="31"/>
        <v>0</v>
      </c>
      <c r="DE20" s="208">
        <f t="shared" si="32"/>
        <v>0</v>
      </c>
      <c r="DH20" s="208">
        <f t="shared" si="33"/>
        <v>0</v>
      </c>
      <c r="DK20" s="208">
        <f t="shared" si="34"/>
        <v>0</v>
      </c>
      <c r="DN20" s="208">
        <f t="shared" si="35"/>
        <v>0</v>
      </c>
      <c r="DQ20" s="208">
        <f t="shared" si="36"/>
        <v>0</v>
      </c>
      <c r="DT20" s="208">
        <f t="shared" si="37"/>
        <v>0</v>
      </c>
      <c r="DW20" s="208">
        <f t="shared" si="38"/>
        <v>0</v>
      </c>
      <c r="DZ20" s="208"/>
      <c r="EA20" s="208"/>
      <c r="EB20" s="228">
        <f t="shared" si="51"/>
        <v>853201000</v>
      </c>
      <c r="EC20" s="228">
        <f t="shared" si="39"/>
        <v>0</v>
      </c>
      <c r="ED20" s="208">
        <f t="shared" si="40"/>
        <v>91018.079166666677</v>
      </c>
      <c r="EE20" s="209">
        <f t="shared" si="41"/>
        <v>3.8404207800975393E-2</v>
      </c>
      <c r="EG20" s="228">
        <f t="shared" si="42"/>
        <v>0</v>
      </c>
      <c r="EH20" s="208">
        <f t="shared" si="43"/>
        <v>0</v>
      </c>
      <c r="EI20" s="209">
        <f t="shared" si="44"/>
        <v>0</v>
      </c>
      <c r="EJ20" s="209"/>
      <c r="EK20" s="228">
        <f t="shared" si="52"/>
        <v>853201000</v>
      </c>
      <c r="EL20" s="228">
        <f t="shared" si="45"/>
        <v>0</v>
      </c>
      <c r="EM20" s="228">
        <f t="shared" si="46"/>
        <v>91018.079166666663</v>
      </c>
      <c r="EN20" s="209">
        <f t="shared" si="47"/>
        <v>3.8404207800975386E-2</v>
      </c>
      <c r="EP20" s="208"/>
    </row>
    <row r="21" spans="1:146" x14ac:dyDescent="0.25">
      <c r="A21" s="222">
        <f t="shared" si="48"/>
        <v>46064</v>
      </c>
      <c r="B21" s="208">
        <v>0</v>
      </c>
      <c r="C21" s="209">
        <v>3.8328139999999997E-2</v>
      </c>
      <c r="D21" s="208">
        <f t="shared" si="0"/>
        <v>0</v>
      </c>
      <c r="G21" s="208">
        <f t="shared" si="1"/>
        <v>0</v>
      </c>
      <c r="J21" s="208">
        <f t="shared" si="2"/>
        <v>0</v>
      </c>
      <c r="M21" s="208">
        <f t="shared" si="3"/>
        <v>0</v>
      </c>
      <c r="P21" s="208">
        <f t="shared" si="4"/>
        <v>0</v>
      </c>
      <c r="S21" s="208">
        <f t="shared" si="5"/>
        <v>0</v>
      </c>
      <c r="V21" s="208">
        <f t="shared" si="6"/>
        <v>0</v>
      </c>
      <c r="Y21" s="208">
        <f t="shared" si="7"/>
        <v>0</v>
      </c>
      <c r="AB21" s="208">
        <f t="shared" si="8"/>
        <v>0</v>
      </c>
      <c r="AE21" s="208">
        <v>0</v>
      </c>
      <c r="AH21" s="208">
        <v>0</v>
      </c>
      <c r="AI21" s="223">
        <f>240000000+150000000+6350000</f>
        <v>396350000</v>
      </c>
      <c r="AJ21" s="224">
        <v>3.8100000000000002E-2</v>
      </c>
      <c r="AK21" s="208">
        <f t="shared" si="9"/>
        <v>41947.041666666664</v>
      </c>
      <c r="AL21" s="223"/>
      <c r="AM21" s="224"/>
      <c r="AN21" s="208">
        <f t="shared" si="10"/>
        <v>0</v>
      </c>
      <c r="AO21" s="223">
        <v>50000000</v>
      </c>
      <c r="AP21" s="224">
        <v>3.8800000000000001E-2</v>
      </c>
      <c r="AQ21" s="208">
        <f t="shared" si="11"/>
        <v>5388.8888888888887</v>
      </c>
      <c r="AR21" s="223"/>
      <c r="AS21" s="224"/>
      <c r="AT21" s="208">
        <f t="shared" si="12"/>
        <v>0</v>
      </c>
      <c r="AU21" s="208">
        <f t="shared" si="54"/>
        <v>230000000</v>
      </c>
      <c r="AV21" s="209">
        <v>3.85E-2</v>
      </c>
      <c r="AW21" s="208">
        <f t="shared" si="49"/>
        <v>24597.222222222223</v>
      </c>
      <c r="AX21" s="208">
        <f t="shared" si="55"/>
        <v>10000000</v>
      </c>
      <c r="AY21" s="209">
        <v>3.8300000000000001E-2</v>
      </c>
      <c r="AZ21" s="208">
        <f t="shared" si="13"/>
        <v>1063.8888888888889</v>
      </c>
      <c r="BA21" s="208">
        <v>4500000</v>
      </c>
      <c r="BB21" s="209">
        <v>3.85E-2</v>
      </c>
      <c r="BC21" s="208">
        <f t="shared" si="14"/>
        <v>481.25</v>
      </c>
      <c r="BD21" s="208">
        <f t="shared" si="56"/>
        <v>150000000</v>
      </c>
      <c r="BE21" s="209">
        <v>3.8699999999999998E-2</v>
      </c>
      <c r="BF21" s="208">
        <f t="shared" si="15"/>
        <v>16125</v>
      </c>
      <c r="BI21" s="208">
        <f t="shared" si="16"/>
        <v>0</v>
      </c>
      <c r="BL21" s="208">
        <f t="shared" si="17"/>
        <v>0</v>
      </c>
      <c r="BO21" s="208">
        <f t="shared" si="18"/>
        <v>0</v>
      </c>
      <c r="BR21" s="208">
        <f t="shared" si="19"/>
        <v>0</v>
      </c>
      <c r="BU21" s="208">
        <f t="shared" si="20"/>
        <v>0</v>
      </c>
      <c r="BX21" s="208">
        <f t="shared" si="21"/>
        <v>0</v>
      </c>
      <c r="CA21" s="208">
        <f t="shared" si="22"/>
        <v>0</v>
      </c>
      <c r="CD21" s="208">
        <f t="shared" si="23"/>
        <v>0</v>
      </c>
      <c r="CG21" s="208">
        <f t="shared" si="24"/>
        <v>0</v>
      </c>
      <c r="CJ21" s="208">
        <f t="shared" si="25"/>
        <v>0</v>
      </c>
      <c r="CM21" s="208">
        <f t="shared" si="26"/>
        <v>0</v>
      </c>
      <c r="CP21" s="208">
        <f t="shared" si="27"/>
        <v>0</v>
      </c>
      <c r="CS21" s="208">
        <f t="shared" si="28"/>
        <v>0</v>
      </c>
      <c r="CV21" s="208">
        <f t="shared" si="29"/>
        <v>0</v>
      </c>
      <c r="CY21" s="208">
        <f t="shared" si="30"/>
        <v>0</v>
      </c>
      <c r="DB21" s="208">
        <f t="shared" si="31"/>
        <v>0</v>
      </c>
      <c r="DE21" s="208">
        <f t="shared" si="32"/>
        <v>0</v>
      </c>
      <c r="DH21" s="208">
        <f t="shared" si="33"/>
        <v>0</v>
      </c>
      <c r="DK21" s="208">
        <f t="shared" si="34"/>
        <v>0</v>
      </c>
      <c r="DN21" s="208">
        <f t="shared" si="35"/>
        <v>0</v>
      </c>
      <c r="DQ21" s="208">
        <f t="shared" si="36"/>
        <v>0</v>
      </c>
      <c r="DT21" s="208">
        <f t="shared" si="37"/>
        <v>0</v>
      </c>
      <c r="DW21" s="208">
        <f t="shared" si="38"/>
        <v>0</v>
      </c>
      <c r="DZ21" s="208"/>
      <c r="EA21" s="208"/>
      <c r="EB21" s="228">
        <f t="shared" si="51"/>
        <v>840850000</v>
      </c>
      <c r="EC21" s="228">
        <f t="shared" si="39"/>
        <v>0</v>
      </c>
      <c r="ED21" s="208">
        <f t="shared" si="40"/>
        <v>89603.291666666672</v>
      </c>
      <c r="EE21" s="209">
        <f t="shared" si="41"/>
        <v>3.8362591425343401E-2</v>
      </c>
      <c r="EG21" s="228">
        <f t="shared" si="42"/>
        <v>0</v>
      </c>
      <c r="EH21" s="208">
        <f t="shared" si="43"/>
        <v>0</v>
      </c>
      <c r="EI21" s="209">
        <f t="shared" si="44"/>
        <v>0</v>
      </c>
      <c r="EJ21" s="209"/>
      <c r="EK21" s="228">
        <f t="shared" si="52"/>
        <v>840850000</v>
      </c>
      <c r="EL21" s="228">
        <f t="shared" si="45"/>
        <v>0</v>
      </c>
      <c r="EM21" s="228">
        <f t="shared" si="46"/>
        <v>89603.291666666657</v>
      </c>
      <c r="EN21" s="209">
        <f t="shared" si="47"/>
        <v>3.8362591425343401E-2</v>
      </c>
      <c r="EP21" s="208"/>
    </row>
    <row r="22" spans="1:146" x14ac:dyDescent="0.25">
      <c r="A22" s="222">
        <f t="shared" si="48"/>
        <v>46065</v>
      </c>
      <c r="B22" s="208">
        <v>0</v>
      </c>
      <c r="C22" s="209">
        <v>3.8327270000000004E-2</v>
      </c>
      <c r="D22" s="208">
        <f t="shared" si="0"/>
        <v>0</v>
      </c>
      <c r="G22" s="208">
        <f t="shared" si="1"/>
        <v>0</v>
      </c>
      <c r="J22" s="208">
        <f t="shared" si="2"/>
        <v>0</v>
      </c>
      <c r="M22" s="208">
        <f t="shared" si="3"/>
        <v>0</v>
      </c>
      <c r="P22" s="208">
        <f t="shared" si="4"/>
        <v>0</v>
      </c>
      <c r="S22" s="208">
        <f t="shared" si="5"/>
        <v>0</v>
      </c>
      <c r="V22" s="208">
        <f t="shared" si="6"/>
        <v>0</v>
      </c>
      <c r="Y22" s="208">
        <f t="shared" si="7"/>
        <v>0</v>
      </c>
      <c r="AB22" s="208">
        <f t="shared" si="8"/>
        <v>0</v>
      </c>
      <c r="AE22" s="208">
        <v>0</v>
      </c>
      <c r="AH22" s="208">
        <v>0</v>
      </c>
      <c r="AI22" s="223">
        <f>95000000+25000000+240000000+20125000</f>
        <v>380125000</v>
      </c>
      <c r="AJ22" s="224">
        <v>3.8100000000000002E-2</v>
      </c>
      <c r="AK22" s="208">
        <f t="shared" si="9"/>
        <v>40229.895833333336</v>
      </c>
      <c r="AL22" s="223"/>
      <c r="AM22" s="224"/>
      <c r="AN22" s="208">
        <f t="shared" si="10"/>
        <v>0</v>
      </c>
      <c r="AO22" s="223">
        <v>50000000</v>
      </c>
      <c r="AP22" s="224">
        <v>3.8800000000000001E-2</v>
      </c>
      <c r="AQ22" s="208">
        <f t="shared" si="11"/>
        <v>5388.8888888888887</v>
      </c>
      <c r="AR22" s="223"/>
      <c r="AS22" s="224"/>
      <c r="AT22" s="208">
        <f t="shared" si="12"/>
        <v>0</v>
      </c>
      <c r="AU22" s="208">
        <f t="shared" si="54"/>
        <v>230000000</v>
      </c>
      <c r="AV22" s="209">
        <v>3.85E-2</v>
      </c>
      <c r="AW22" s="208">
        <f t="shared" si="49"/>
        <v>24597.222222222223</v>
      </c>
      <c r="AX22" s="208">
        <f t="shared" si="55"/>
        <v>10000000</v>
      </c>
      <c r="AY22" s="209">
        <v>3.8300000000000001E-2</v>
      </c>
      <c r="AZ22" s="208">
        <f t="shared" si="13"/>
        <v>1063.8888888888889</v>
      </c>
      <c r="BA22" s="208">
        <v>4500000</v>
      </c>
      <c r="BB22" s="209">
        <v>3.85E-2</v>
      </c>
      <c r="BC22" s="208">
        <f t="shared" si="14"/>
        <v>481.25</v>
      </c>
      <c r="BD22" s="208">
        <f t="shared" si="56"/>
        <v>150000000</v>
      </c>
      <c r="BE22" s="209">
        <v>3.8699999999999998E-2</v>
      </c>
      <c r="BF22" s="208">
        <f t="shared" si="15"/>
        <v>16125</v>
      </c>
      <c r="BI22" s="208">
        <f t="shared" si="16"/>
        <v>0</v>
      </c>
      <c r="BL22" s="208">
        <f t="shared" si="17"/>
        <v>0</v>
      </c>
      <c r="BO22" s="208">
        <f t="shared" si="18"/>
        <v>0</v>
      </c>
      <c r="BR22" s="208">
        <f t="shared" si="19"/>
        <v>0</v>
      </c>
      <c r="BU22" s="208">
        <f t="shared" si="20"/>
        <v>0</v>
      </c>
      <c r="BX22" s="208">
        <f t="shared" si="21"/>
        <v>0</v>
      </c>
      <c r="CA22" s="208">
        <f t="shared" si="22"/>
        <v>0</v>
      </c>
      <c r="CD22" s="208">
        <f t="shared" si="23"/>
        <v>0</v>
      </c>
      <c r="CG22" s="208">
        <f t="shared" si="24"/>
        <v>0</v>
      </c>
      <c r="CJ22" s="208">
        <f t="shared" si="25"/>
        <v>0</v>
      </c>
      <c r="CM22" s="208">
        <f t="shared" si="26"/>
        <v>0</v>
      </c>
      <c r="CP22" s="208">
        <f t="shared" si="27"/>
        <v>0</v>
      </c>
      <c r="CS22" s="208">
        <f t="shared" si="28"/>
        <v>0</v>
      </c>
      <c r="CV22" s="208">
        <f t="shared" si="29"/>
        <v>0</v>
      </c>
      <c r="CY22" s="208">
        <f t="shared" si="30"/>
        <v>0</v>
      </c>
      <c r="DB22" s="208">
        <f t="shared" si="31"/>
        <v>0</v>
      </c>
      <c r="DE22" s="208">
        <f t="shared" si="32"/>
        <v>0</v>
      </c>
      <c r="DH22" s="208">
        <f t="shared" si="33"/>
        <v>0</v>
      </c>
      <c r="DK22" s="208">
        <f t="shared" si="34"/>
        <v>0</v>
      </c>
      <c r="DN22" s="208">
        <f t="shared" si="35"/>
        <v>0</v>
      </c>
      <c r="DQ22" s="208">
        <f t="shared" si="36"/>
        <v>0</v>
      </c>
      <c r="DT22" s="208">
        <f t="shared" si="37"/>
        <v>0</v>
      </c>
      <c r="DW22" s="208">
        <f t="shared" si="38"/>
        <v>0</v>
      </c>
      <c r="DZ22" s="208"/>
      <c r="EA22" s="208"/>
      <c r="EB22" s="228">
        <f t="shared" si="51"/>
        <v>824625000</v>
      </c>
      <c r="EC22" s="228">
        <f t="shared" si="39"/>
        <v>0</v>
      </c>
      <c r="ED22" s="208">
        <f t="shared" si="40"/>
        <v>87886.145833333343</v>
      </c>
      <c r="EE22" s="209">
        <f t="shared" si="41"/>
        <v>3.8367758071850847E-2</v>
      </c>
      <c r="EG22" s="228">
        <f t="shared" si="42"/>
        <v>0</v>
      </c>
      <c r="EH22" s="208">
        <f t="shared" si="43"/>
        <v>0</v>
      </c>
      <c r="EI22" s="209">
        <f t="shared" si="44"/>
        <v>0</v>
      </c>
      <c r="EJ22" s="209"/>
      <c r="EK22" s="228">
        <f t="shared" si="52"/>
        <v>824625000</v>
      </c>
      <c r="EL22" s="228">
        <f t="shared" si="45"/>
        <v>0</v>
      </c>
      <c r="EM22" s="228">
        <f t="shared" si="46"/>
        <v>87886.145833333343</v>
      </c>
      <c r="EN22" s="209">
        <f t="shared" si="47"/>
        <v>3.8367758071850847E-2</v>
      </c>
      <c r="EP22" s="208"/>
    </row>
    <row r="23" spans="1:146" x14ac:dyDescent="0.25">
      <c r="A23" s="222">
        <f t="shared" si="48"/>
        <v>46066</v>
      </c>
      <c r="B23" s="208">
        <v>0</v>
      </c>
      <c r="C23" s="209">
        <v>3.8318579999999998E-2</v>
      </c>
      <c r="D23" s="208">
        <f t="shared" si="0"/>
        <v>0</v>
      </c>
      <c r="G23" s="208">
        <f t="shared" si="1"/>
        <v>0</v>
      </c>
      <c r="J23" s="208">
        <f t="shared" si="2"/>
        <v>0</v>
      </c>
      <c r="M23" s="208">
        <f t="shared" si="3"/>
        <v>0</v>
      </c>
      <c r="P23" s="208">
        <f t="shared" si="4"/>
        <v>0</v>
      </c>
      <c r="S23" s="208">
        <f t="shared" si="5"/>
        <v>0</v>
      </c>
      <c r="V23" s="208">
        <f t="shared" si="6"/>
        <v>0</v>
      </c>
      <c r="Y23" s="208">
        <f t="shared" si="7"/>
        <v>0</v>
      </c>
      <c r="AB23" s="208">
        <f t="shared" si="8"/>
        <v>0</v>
      </c>
      <c r="AE23" s="208">
        <v>0</v>
      </c>
      <c r="AH23" s="208">
        <v>0</v>
      </c>
      <c r="AI23" s="223">
        <f>100000000+240000000+47400000</f>
        <v>387400000</v>
      </c>
      <c r="AJ23" s="224">
        <v>3.8100000000000002E-2</v>
      </c>
      <c r="AK23" s="208">
        <f t="shared" si="9"/>
        <v>40999.833333333336</v>
      </c>
      <c r="AL23" s="223"/>
      <c r="AM23" s="224"/>
      <c r="AN23" s="208">
        <f t="shared" si="10"/>
        <v>0</v>
      </c>
      <c r="AO23" s="223">
        <v>50000000</v>
      </c>
      <c r="AP23" s="224">
        <v>3.8800000000000001E-2</v>
      </c>
      <c r="AQ23" s="208">
        <f t="shared" si="11"/>
        <v>5388.8888888888887</v>
      </c>
      <c r="AR23" s="223"/>
      <c r="AS23" s="224"/>
      <c r="AT23" s="208">
        <f t="shared" si="12"/>
        <v>0</v>
      </c>
      <c r="AU23" s="208">
        <f t="shared" si="54"/>
        <v>230000000</v>
      </c>
      <c r="AV23" s="209">
        <v>3.85E-2</v>
      </c>
      <c r="AW23" s="208">
        <f t="shared" si="49"/>
        <v>24597.222222222223</v>
      </c>
      <c r="AX23" s="208">
        <f t="shared" si="55"/>
        <v>10000000</v>
      </c>
      <c r="AY23" s="209">
        <v>3.8300000000000001E-2</v>
      </c>
      <c r="AZ23" s="208">
        <f t="shared" si="13"/>
        <v>1063.8888888888889</v>
      </c>
      <c r="BA23" s="208">
        <v>4500000</v>
      </c>
      <c r="BB23" s="209">
        <v>3.85E-2</v>
      </c>
      <c r="BC23" s="208">
        <f t="shared" si="14"/>
        <v>481.25</v>
      </c>
      <c r="BD23" s="208">
        <f t="shared" si="56"/>
        <v>150000000</v>
      </c>
      <c r="BE23" s="209">
        <v>3.8699999999999998E-2</v>
      </c>
      <c r="BF23" s="208">
        <f t="shared" si="15"/>
        <v>16125</v>
      </c>
      <c r="BI23" s="208">
        <f t="shared" si="16"/>
        <v>0</v>
      </c>
      <c r="BL23" s="208">
        <f t="shared" si="17"/>
        <v>0</v>
      </c>
      <c r="BO23" s="208">
        <f t="shared" si="18"/>
        <v>0</v>
      </c>
      <c r="BR23" s="208">
        <f t="shared" si="19"/>
        <v>0</v>
      </c>
      <c r="BU23" s="208">
        <f t="shared" si="20"/>
        <v>0</v>
      </c>
      <c r="BX23" s="208">
        <f t="shared" si="21"/>
        <v>0</v>
      </c>
      <c r="CA23" s="208">
        <f t="shared" si="22"/>
        <v>0</v>
      </c>
      <c r="CD23" s="208">
        <f t="shared" si="23"/>
        <v>0</v>
      </c>
      <c r="CG23" s="208">
        <f t="shared" si="24"/>
        <v>0</v>
      </c>
      <c r="CJ23" s="208">
        <f t="shared" si="25"/>
        <v>0</v>
      </c>
      <c r="CM23" s="208">
        <f t="shared" si="26"/>
        <v>0</v>
      </c>
      <c r="CP23" s="208">
        <f t="shared" si="27"/>
        <v>0</v>
      </c>
      <c r="CS23" s="208">
        <f t="shared" si="28"/>
        <v>0</v>
      </c>
      <c r="CV23" s="208">
        <f t="shared" si="29"/>
        <v>0</v>
      </c>
      <c r="CY23" s="208">
        <f t="shared" si="30"/>
        <v>0</v>
      </c>
      <c r="DB23" s="208">
        <f t="shared" si="31"/>
        <v>0</v>
      </c>
      <c r="DE23" s="208">
        <f t="shared" si="32"/>
        <v>0</v>
      </c>
      <c r="DH23" s="208">
        <f t="shared" si="33"/>
        <v>0</v>
      </c>
      <c r="DK23" s="208">
        <f t="shared" si="34"/>
        <v>0</v>
      </c>
      <c r="DN23" s="208">
        <f t="shared" si="35"/>
        <v>0</v>
      </c>
      <c r="DQ23" s="208">
        <f t="shared" si="36"/>
        <v>0</v>
      </c>
      <c r="DT23" s="208">
        <f t="shared" si="37"/>
        <v>0</v>
      </c>
      <c r="DW23" s="208">
        <f t="shared" si="38"/>
        <v>0</v>
      </c>
      <c r="DZ23" s="208"/>
      <c r="EA23" s="208"/>
      <c r="EB23" s="228">
        <f t="shared" si="51"/>
        <v>831900000</v>
      </c>
      <c r="EC23" s="228">
        <f t="shared" si="39"/>
        <v>0</v>
      </c>
      <c r="ED23" s="208">
        <f t="shared" si="40"/>
        <v>88656.083333333343</v>
      </c>
      <c r="EE23" s="209">
        <f t="shared" si="41"/>
        <v>3.8365416516408228E-2</v>
      </c>
      <c r="EG23" s="228">
        <f t="shared" si="42"/>
        <v>0</v>
      </c>
      <c r="EH23" s="208">
        <f t="shared" si="43"/>
        <v>0</v>
      </c>
      <c r="EI23" s="209">
        <f t="shared" si="44"/>
        <v>0</v>
      </c>
      <c r="EJ23" s="209"/>
      <c r="EK23" s="228">
        <f t="shared" si="52"/>
        <v>831900000</v>
      </c>
      <c r="EL23" s="228">
        <f t="shared" si="45"/>
        <v>0</v>
      </c>
      <c r="EM23" s="228">
        <f t="shared" si="46"/>
        <v>88656.083333333343</v>
      </c>
      <c r="EN23" s="209">
        <f t="shared" si="47"/>
        <v>3.8365416516408228E-2</v>
      </c>
      <c r="EP23" s="208"/>
    </row>
    <row r="24" spans="1:146" x14ac:dyDescent="0.25">
      <c r="A24" s="222">
        <f t="shared" si="48"/>
        <v>46067</v>
      </c>
      <c r="B24" s="208">
        <v>0</v>
      </c>
      <c r="C24" s="209">
        <v>3.8318579999999998E-2</v>
      </c>
      <c r="D24" s="208">
        <f t="shared" si="0"/>
        <v>0</v>
      </c>
      <c r="G24" s="208">
        <f t="shared" si="1"/>
        <v>0</v>
      </c>
      <c r="J24" s="208">
        <f t="shared" si="2"/>
        <v>0</v>
      </c>
      <c r="M24" s="208">
        <f t="shared" si="3"/>
        <v>0</v>
      </c>
      <c r="P24" s="208">
        <f t="shared" si="4"/>
        <v>0</v>
      </c>
      <c r="S24" s="208">
        <f t="shared" si="5"/>
        <v>0</v>
      </c>
      <c r="V24" s="208">
        <f t="shared" si="6"/>
        <v>0</v>
      </c>
      <c r="Y24" s="208">
        <f t="shared" si="7"/>
        <v>0</v>
      </c>
      <c r="AB24" s="208">
        <f t="shared" si="8"/>
        <v>0</v>
      </c>
      <c r="AE24" s="208">
        <v>0</v>
      </c>
      <c r="AH24" s="208">
        <v>0</v>
      </c>
      <c r="AI24" s="223">
        <f>100000000+240000000+47400000</f>
        <v>387400000</v>
      </c>
      <c r="AJ24" s="224">
        <v>3.8100000000000002E-2</v>
      </c>
      <c r="AK24" s="208">
        <f t="shared" si="9"/>
        <v>40999.833333333336</v>
      </c>
      <c r="AL24" s="223"/>
      <c r="AM24" s="224"/>
      <c r="AN24" s="208">
        <f t="shared" si="10"/>
        <v>0</v>
      </c>
      <c r="AO24" s="223">
        <v>50000000</v>
      </c>
      <c r="AP24" s="224">
        <v>3.8800000000000001E-2</v>
      </c>
      <c r="AQ24" s="208">
        <f t="shared" si="11"/>
        <v>5388.8888888888887</v>
      </c>
      <c r="AR24" s="223"/>
      <c r="AS24" s="224"/>
      <c r="AT24" s="208">
        <f t="shared" si="12"/>
        <v>0</v>
      </c>
      <c r="AU24" s="208">
        <f t="shared" si="54"/>
        <v>230000000</v>
      </c>
      <c r="AV24" s="209">
        <v>3.85E-2</v>
      </c>
      <c r="AW24" s="208">
        <f t="shared" si="49"/>
        <v>24597.222222222223</v>
      </c>
      <c r="AX24" s="208">
        <f t="shared" si="55"/>
        <v>10000000</v>
      </c>
      <c r="AY24" s="209">
        <v>3.8300000000000001E-2</v>
      </c>
      <c r="AZ24" s="208">
        <f t="shared" si="13"/>
        <v>1063.8888888888889</v>
      </c>
      <c r="BA24" s="208">
        <v>4500000</v>
      </c>
      <c r="BB24" s="209">
        <v>3.85E-2</v>
      </c>
      <c r="BC24" s="208">
        <f t="shared" si="14"/>
        <v>481.25</v>
      </c>
      <c r="BD24" s="208">
        <f t="shared" si="56"/>
        <v>150000000</v>
      </c>
      <c r="BE24" s="209">
        <v>3.8699999999999998E-2</v>
      </c>
      <c r="BF24" s="208">
        <f t="shared" si="15"/>
        <v>16125</v>
      </c>
      <c r="BI24" s="208">
        <f t="shared" si="16"/>
        <v>0</v>
      </c>
      <c r="BL24" s="208">
        <f t="shared" si="17"/>
        <v>0</v>
      </c>
      <c r="BO24" s="208">
        <f t="shared" si="18"/>
        <v>0</v>
      </c>
      <c r="BR24" s="208">
        <f t="shared" si="19"/>
        <v>0</v>
      </c>
      <c r="BU24" s="208">
        <f t="shared" si="20"/>
        <v>0</v>
      </c>
      <c r="BX24" s="208">
        <f t="shared" si="21"/>
        <v>0</v>
      </c>
      <c r="CA24" s="208">
        <f t="shared" si="22"/>
        <v>0</v>
      </c>
      <c r="CD24" s="208">
        <f t="shared" si="23"/>
        <v>0</v>
      </c>
      <c r="CG24" s="208">
        <f t="shared" si="24"/>
        <v>0</v>
      </c>
      <c r="CJ24" s="208">
        <f t="shared" si="25"/>
        <v>0</v>
      </c>
      <c r="CM24" s="208">
        <f t="shared" si="26"/>
        <v>0</v>
      </c>
      <c r="CP24" s="208">
        <f t="shared" si="27"/>
        <v>0</v>
      </c>
      <c r="CS24" s="208">
        <f t="shared" si="28"/>
        <v>0</v>
      </c>
      <c r="CV24" s="208">
        <f t="shared" si="29"/>
        <v>0</v>
      </c>
      <c r="CY24" s="208">
        <f t="shared" si="30"/>
        <v>0</v>
      </c>
      <c r="DB24" s="208">
        <f t="shared" si="31"/>
        <v>0</v>
      </c>
      <c r="DE24" s="208">
        <f t="shared" si="32"/>
        <v>0</v>
      </c>
      <c r="DH24" s="208">
        <f t="shared" si="33"/>
        <v>0</v>
      </c>
      <c r="DK24" s="208">
        <f t="shared" si="34"/>
        <v>0</v>
      </c>
      <c r="DN24" s="208">
        <f t="shared" si="35"/>
        <v>0</v>
      </c>
      <c r="DQ24" s="208">
        <f t="shared" si="36"/>
        <v>0</v>
      </c>
      <c r="DT24" s="208">
        <f t="shared" si="37"/>
        <v>0</v>
      </c>
      <c r="DW24" s="208">
        <f t="shared" si="38"/>
        <v>0</v>
      </c>
      <c r="DZ24" s="208"/>
      <c r="EA24" s="208"/>
      <c r="EB24" s="228">
        <f t="shared" si="51"/>
        <v>831900000</v>
      </c>
      <c r="EC24" s="228">
        <f t="shared" si="39"/>
        <v>0</v>
      </c>
      <c r="ED24" s="208">
        <f t="shared" si="40"/>
        <v>88656.083333333343</v>
      </c>
      <c r="EE24" s="209">
        <f t="shared" si="41"/>
        <v>3.8365416516408228E-2</v>
      </c>
      <c r="EG24" s="228">
        <f t="shared" si="42"/>
        <v>0</v>
      </c>
      <c r="EH24" s="208">
        <f t="shared" si="43"/>
        <v>0</v>
      </c>
      <c r="EI24" s="209">
        <f t="shared" si="44"/>
        <v>0</v>
      </c>
      <c r="EJ24" s="209"/>
      <c r="EK24" s="228">
        <f t="shared" si="52"/>
        <v>831900000</v>
      </c>
      <c r="EL24" s="228">
        <f t="shared" si="45"/>
        <v>0</v>
      </c>
      <c r="EM24" s="228">
        <f t="shared" si="46"/>
        <v>88656.083333333343</v>
      </c>
      <c r="EN24" s="209">
        <f t="shared" si="47"/>
        <v>3.8365416516408228E-2</v>
      </c>
      <c r="EP24" s="208"/>
    </row>
    <row r="25" spans="1:146" x14ac:dyDescent="0.25">
      <c r="A25" s="222">
        <f t="shared" si="48"/>
        <v>46068</v>
      </c>
      <c r="B25" s="208">
        <v>0</v>
      </c>
      <c r="C25" s="209">
        <v>3.8318579999999998E-2</v>
      </c>
      <c r="D25" s="208">
        <f t="shared" si="0"/>
        <v>0</v>
      </c>
      <c r="G25" s="208">
        <f t="shared" si="1"/>
        <v>0</v>
      </c>
      <c r="J25" s="208">
        <f t="shared" si="2"/>
        <v>0</v>
      </c>
      <c r="M25" s="208">
        <f t="shared" si="3"/>
        <v>0</v>
      </c>
      <c r="P25" s="208">
        <f t="shared" si="4"/>
        <v>0</v>
      </c>
      <c r="S25" s="208">
        <f t="shared" si="5"/>
        <v>0</v>
      </c>
      <c r="V25" s="208">
        <f t="shared" si="6"/>
        <v>0</v>
      </c>
      <c r="Y25" s="208">
        <f t="shared" si="7"/>
        <v>0</v>
      </c>
      <c r="AB25" s="208">
        <f t="shared" si="8"/>
        <v>0</v>
      </c>
      <c r="AE25" s="208">
        <v>0</v>
      </c>
      <c r="AH25" s="208">
        <v>0</v>
      </c>
      <c r="AI25" s="223">
        <f>100000000+240000000+47400000</f>
        <v>387400000</v>
      </c>
      <c r="AJ25" s="224">
        <v>3.8100000000000002E-2</v>
      </c>
      <c r="AK25" s="208">
        <f t="shared" si="9"/>
        <v>40999.833333333336</v>
      </c>
      <c r="AL25" s="223"/>
      <c r="AM25" s="224"/>
      <c r="AN25" s="208">
        <f t="shared" si="10"/>
        <v>0</v>
      </c>
      <c r="AO25" s="223">
        <v>50000000</v>
      </c>
      <c r="AP25" s="224">
        <v>3.8800000000000001E-2</v>
      </c>
      <c r="AQ25" s="208">
        <f t="shared" si="11"/>
        <v>5388.8888888888887</v>
      </c>
      <c r="AR25" s="223"/>
      <c r="AS25" s="224"/>
      <c r="AT25" s="208">
        <f t="shared" si="12"/>
        <v>0</v>
      </c>
      <c r="AU25" s="208">
        <f t="shared" si="54"/>
        <v>230000000</v>
      </c>
      <c r="AV25" s="209">
        <v>3.85E-2</v>
      </c>
      <c r="AW25" s="208">
        <f t="shared" si="49"/>
        <v>24597.222222222223</v>
      </c>
      <c r="AX25" s="208">
        <f t="shared" si="55"/>
        <v>10000000</v>
      </c>
      <c r="AY25" s="209">
        <v>3.8300000000000001E-2</v>
      </c>
      <c r="AZ25" s="208">
        <f t="shared" si="13"/>
        <v>1063.8888888888889</v>
      </c>
      <c r="BA25" s="208">
        <v>4500000</v>
      </c>
      <c r="BB25" s="209">
        <v>3.85E-2</v>
      </c>
      <c r="BC25" s="208">
        <f t="shared" si="14"/>
        <v>481.25</v>
      </c>
      <c r="BD25" s="208">
        <f t="shared" si="56"/>
        <v>150000000</v>
      </c>
      <c r="BE25" s="209">
        <v>3.8699999999999998E-2</v>
      </c>
      <c r="BF25" s="208">
        <f t="shared" si="15"/>
        <v>16125</v>
      </c>
      <c r="BI25" s="208">
        <f t="shared" si="16"/>
        <v>0</v>
      </c>
      <c r="BL25" s="208">
        <f t="shared" si="17"/>
        <v>0</v>
      </c>
      <c r="BO25" s="208">
        <f t="shared" si="18"/>
        <v>0</v>
      </c>
      <c r="BR25" s="208">
        <f t="shared" si="19"/>
        <v>0</v>
      </c>
      <c r="BU25" s="208">
        <f t="shared" si="20"/>
        <v>0</v>
      </c>
      <c r="BX25" s="208">
        <f t="shared" si="21"/>
        <v>0</v>
      </c>
      <c r="CA25" s="208">
        <f t="shared" si="22"/>
        <v>0</v>
      </c>
      <c r="CD25" s="208">
        <f t="shared" si="23"/>
        <v>0</v>
      </c>
      <c r="CG25" s="208">
        <f t="shared" si="24"/>
        <v>0</v>
      </c>
      <c r="CJ25" s="208">
        <f t="shared" si="25"/>
        <v>0</v>
      </c>
      <c r="CM25" s="208">
        <f t="shared" si="26"/>
        <v>0</v>
      </c>
      <c r="CP25" s="208">
        <f t="shared" si="27"/>
        <v>0</v>
      </c>
      <c r="CS25" s="208">
        <f t="shared" si="28"/>
        <v>0</v>
      </c>
      <c r="CV25" s="208">
        <f t="shared" si="29"/>
        <v>0</v>
      </c>
      <c r="CY25" s="208">
        <f t="shared" si="30"/>
        <v>0</v>
      </c>
      <c r="DB25" s="208">
        <f t="shared" si="31"/>
        <v>0</v>
      </c>
      <c r="DE25" s="208">
        <f t="shared" si="32"/>
        <v>0</v>
      </c>
      <c r="DH25" s="208">
        <f t="shared" si="33"/>
        <v>0</v>
      </c>
      <c r="DK25" s="208">
        <f t="shared" si="34"/>
        <v>0</v>
      </c>
      <c r="DN25" s="208">
        <f t="shared" si="35"/>
        <v>0</v>
      </c>
      <c r="DQ25" s="208">
        <f t="shared" si="36"/>
        <v>0</v>
      </c>
      <c r="DT25" s="208">
        <f t="shared" si="37"/>
        <v>0</v>
      </c>
      <c r="DW25" s="208">
        <f t="shared" si="38"/>
        <v>0</v>
      </c>
      <c r="DZ25" s="208"/>
      <c r="EA25" s="208"/>
      <c r="EB25" s="228">
        <f t="shared" si="51"/>
        <v>831900000</v>
      </c>
      <c r="EC25" s="228">
        <f t="shared" si="39"/>
        <v>0</v>
      </c>
      <c r="ED25" s="208">
        <f t="shared" si="40"/>
        <v>88656.083333333343</v>
      </c>
      <c r="EE25" s="209">
        <f t="shared" si="41"/>
        <v>3.8365416516408228E-2</v>
      </c>
      <c r="EG25" s="228">
        <f t="shared" si="42"/>
        <v>0</v>
      </c>
      <c r="EH25" s="208">
        <f t="shared" si="43"/>
        <v>0</v>
      </c>
      <c r="EI25" s="209">
        <f t="shared" si="44"/>
        <v>0</v>
      </c>
      <c r="EJ25" s="209"/>
      <c r="EK25" s="228">
        <f t="shared" si="52"/>
        <v>831900000</v>
      </c>
      <c r="EL25" s="228">
        <f t="shared" si="45"/>
        <v>0</v>
      </c>
      <c r="EM25" s="228">
        <f t="shared" si="46"/>
        <v>88656.083333333343</v>
      </c>
      <c r="EN25" s="209">
        <f t="shared" si="47"/>
        <v>3.8365416516408228E-2</v>
      </c>
      <c r="EP25" s="208"/>
    </row>
    <row r="26" spans="1:146" x14ac:dyDescent="0.25">
      <c r="A26" s="222">
        <f t="shared" si="48"/>
        <v>46069</v>
      </c>
      <c r="B26" s="208">
        <v>0</v>
      </c>
      <c r="C26" s="209">
        <v>3.8318579999999998E-2</v>
      </c>
      <c r="D26" s="208">
        <f t="shared" si="0"/>
        <v>0</v>
      </c>
      <c r="G26" s="208">
        <f t="shared" si="1"/>
        <v>0</v>
      </c>
      <c r="J26" s="208">
        <f t="shared" si="2"/>
        <v>0</v>
      </c>
      <c r="M26" s="208">
        <f t="shared" si="3"/>
        <v>0</v>
      </c>
      <c r="P26" s="208">
        <f t="shared" si="4"/>
        <v>0</v>
      </c>
      <c r="S26" s="208">
        <f t="shared" si="5"/>
        <v>0</v>
      </c>
      <c r="V26" s="208">
        <f t="shared" si="6"/>
        <v>0</v>
      </c>
      <c r="Y26" s="208">
        <f t="shared" si="7"/>
        <v>0</v>
      </c>
      <c r="AB26" s="208">
        <f t="shared" si="8"/>
        <v>0</v>
      </c>
      <c r="AE26" s="208">
        <v>0</v>
      </c>
      <c r="AH26" s="208">
        <v>0</v>
      </c>
      <c r="AI26" s="223">
        <f>100000000+240000000+47400000</f>
        <v>387400000</v>
      </c>
      <c r="AJ26" s="224">
        <v>3.8100000000000002E-2</v>
      </c>
      <c r="AK26" s="208">
        <f t="shared" si="9"/>
        <v>40999.833333333336</v>
      </c>
      <c r="AL26" s="223"/>
      <c r="AM26" s="224"/>
      <c r="AN26" s="208">
        <f t="shared" si="10"/>
        <v>0</v>
      </c>
      <c r="AO26" s="223">
        <v>50000000</v>
      </c>
      <c r="AP26" s="224">
        <v>3.8800000000000001E-2</v>
      </c>
      <c r="AQ26" s="208">
        <f t="shared" si="11"/>
        <v>5388.8888888888887</v>
      </c>
      <c r="AR26" s="223"/>
      <c r="AS26" s="224"/>
      <c r="AT26" s="208">
        <f t="shared" si="12"/>
        <v>0</v>
      </c>
      <c r="AU26" s="208">
        <f t="shared" si="54"/>
        <v>230000000</v>
      </c>
      <c r="AV26" s="209">
        <v>3.85E-2</v>
      </c>
      <c r="AW26" s="208">
        <f t="shared" si="49"/>
        <v>24597.222222222223</v>
      </c>
      <c r="AX26" s="208">
        <f t="shared" si="55"/>
        <v>10000000</v>
      </c>
      <c r="AY26" s="209">
        <v>3.8300000000000001E-2</v>
      </c>
      <c r="AZ26" s="208">
        <f t="shared" si="13"/>
        <v>1063.8888888888889</v>
      </c>
      <c r="BA26" s="208">
        <v>4500000</v>
      </c>
      <c r="BB26" s="209">
        <v>3.85E-2</v>
      </c>
      <c r="BC26" s="208">
        <f t="shared" si="14"/>
        <v>481.25</v>
      </c>
      <c r="BD26" s="208">
        <f t="shared" si="56"/>
        <v>150000000</v>
      </c>
      <c r="BE26" s="209">
        <v>3.8699999999999998E-2</v>
      </c>
      <c r="BF26" s="208">
        <f t="shared" si="15"/>
        <v>16125</v>
      </c>
      <c r="BI26" s="208">
        <f t="shared" si="16"/>
        <v>0</v>
      </c>
      <c r="BL26" s="208">
        <f t="shared" si="17"/>
        <v>0</v>
      </c>
      <c r="BO26" s="208">
        <f t="shared" si="18"/>
        <v>0</v>
      </c>
      <c r="BR26" s="208">
        <f t="shared" si="19"/>
        <v>0</v>
      </c>
      <c r="BU26" s="208">
        <f t="shared" si="20"/>
        <v>0</v>
      </c>
      <c r="BX26" s="208">
        <f t="shared" si="21"/>
        <v>0</v>
      </c>
      <c r="CA26" s="208">
        <f t="shared" si="22"/>
        <v>0</v>
      </c>
      <c r="CD26" s="208">
        <f t="shared" si="23"/>
        <v>0</v>
      </c>
      <c r="CG26" s="208">
        <f t="shared" si="24"/>
        <v>0</v>
      </c>
      <c r="CJ26" s="208">
        <f t="shared" si="25"/>
        <v>0</v>
      </c>
      <c r="CM26" s="208">
        <f t="shared" si="26"/>
        <v>0</v>
      </c>
      <c r="CP26" s="208">
        <f t="shared" si="27"/>
        <v>0</v>
      </c>
      <c r="CS26" s="208">
        <f t="shared" si="28"/>
        <v>0</v>
      </c>
      <c r="CV26" s="208">
        <f t="shared" si="29"/>
        <v>0</v>
      </c>
      <c r="CY26" s="208">
        <f t="shared" si="30"/>
        <v>0</v>
      </c>
      <c r="DB26" s="208">
        <f t="shared" si="31"/>
        <v>0</v>
      </c>
      <c r="DE26" s="208">
        <f t="shared" si="32"/>
        <v>0</v>
      </c>
      <c r="DH26" s="208">
        <f t="shared" si="33"/>
        <v>0</v>
      </c>
      <c r="DK26" s="208">
        <f t="shared" si="34"/>
        <v>0</v>
      </c>
      <c r="DN26" s="208">
        <f t="shared" si="35"/>
        <v>0</v>
      </c>
      <c r="DQ26" s="208">
        <f t="shared" si="36"/>
        <v>0</v>
      </c>
      <c r="DT26" s="208">
        <f t="shared" si="37"/>
        <v>0</v>
      </c>
      <c r="DW26" s="208">
        <f t="shared" si="38"/>
        <v>0</v>
      </c>
      <c r="DZ26" s="208"/>
      <c r="EA26" s="208"/>
      <c r="EB26" s="228">
        <f t="shared" si="51"/>
        <v>831900000</v>
      </c>
      <c r="EC26" s="228">
        <f t="shared" si="39"/>
        <v>0</v>
      </c>
      <c r="ED26" s="208">
        <f t="shared" si="40"/>
        <v>88656.083333333343</v>
      </c>
      <c r="EE26" s="209">
        <f t="shared" si="41"/>
        <v>3.8365416516408228E-2</v>
      </c>
      <c r="EG26" s="228">
        <f t="shared" si="42"/>
        <v>0</v>
      </c>
      <c r="EH26" s="208">
        <f t="shared" si="43"/>
        <v>0</v>
      </c>
      <c r="EI26" s="209">
        <f t="shared" si="44"/>
        <v>0</v>
      </c>
      <c r="EJ26" s="209"/>
      <c r="EK26" s="228">
        <f t="shared" si="52"/>
        <v>831900000</v>
      </c>
      <c r="EL26" s="228">
        <f t="shared" si="45"/>
        <v>0</v>
      </c>
      <c r="EM26" s="228">
        <f t="shared" si="46"/>
        <v>88656.083333333343</v>
      </c>
      <c r="EN26" s="209">
        <f t="shared" si="47"/>
        <v>3.8365416516408228E-2</v>
      </c>
      <c r="EP26" s="208"/>
    </row>
    <row r="27" spans="1:146" x14ac:dyDescent="0.25">
      <c r="A27" s="222">
        <f t="shared" si="48"/>
        <v>46070</v>
      </c>
      <c r="B27" s="208">
        <v>0</v>
      </c>
      <c r="C27" s="209">
        <v>3.8146719999999995E-2</v>
      </c>
      <c r="D27" s="208">
        <f t="shared" si="0"/>
        <v>0</v>
      </c>
      <c r="G27" s="208">
        <f t="shared" si="1"/>
        <v>0</v>
      </c>
      <c r="J27" s="208">
        <f t="shared" si="2"/>
        <v>0</v>
      </c>
      <c r="M27" s="208">
        <f t="shared" si="3"/>
        <v>0</v>
      </c>
      <c r="P27" s="208">
        <f t="shared" si="4"/>
        <v>0</v>
      </c>
      <c r="S27" s="208">
        <f t="shared" si="5"/>
        <v>0</v>
      </c>
      <c r="V27" s="208">
        <f t="shared" si="6"/>
        <v>0</v>
      </c>
      <c r="Y27" s="208">
        <f t="shared" si="7"/>
        <v>0</v>
      </c>
      <c r="AB27" s="208">
        <f t="shared" si="8"/>
        <v>0</v>
      </c>
      <c r="AE27" s="208">
        <v>0</v>
      </c>
      <c r="AH27" s="208">
        <v>0</v>
      </c>
      <c r="AI27" s="223">
        <f>107900000+73550000+215000000+175000</f>
        <v>396625000</v>
      </c>
      <c r="AJ27" s="224">
        <v>3.8100000000000002E-2</v>
      </c>
      <c r="AK27" s="208">
        <f t="shared" si="9"/>
        <v>41976.145833333336</v>
      </c>
      <c r="AL27" s="223"/>
      <c r="AM27" s="224"/>
      <c r="AN27" s="208">
        <f t="shared" si="10"/>
        <v>0</v>
      </c>
      <c r="AO27" s="223">
        <v>50000000</v>
      </c>
      <c r="AP27" s="224">
        <v>3.8800000000000001E-2</v>
      </c>
      <c r="AQ27" s="208">
        <f t="shared" si="11"/>
        <v>5388.8888888888887</v>
      </c>
      <c r="AR27" s="223">
        <f t="shared" ref="AR27:AR33" si="57">192100000+85000000</f>
        <v>277100000</v>
      </c>
      <c r="AS27" s="224">
        <v>3.8399999999999997E-2</v>
      </c>
      <c r="AT27" s="208">
        <f t="shared" si="12"/>
        <v>29557.333333333328</v>
      </c>
      <c r="AW27" s="208">
        <f t="shared" si="49"/>
        <v>0</v>
      </c>
      <c r="AZ27" s="208">
        <f t="shared" si="13"/>
        <v>0</v>
      </c>
      <c r="BA27" s="208">
        <v>4500000</v>
      </c>
      <c r="BB27" s="209">
        <v>3.85E-2</v>
      </c>
      <c r="BC27" s="208">
        <f t="shared" si="14"/>
        <v>481.25</v>
      </c>
      <c r="BD27" s="208">
        <f t="shared" si="56"/>
        <v>150000000</v>
      </c>
      <c r="BE27" s="209">
        <v>3.8699999999999998E-2</v>
      </c>
      <c r="BF27" s="208">
        <f t="shared" si="15"/>
        <v>16125</v>
      </c>
      <c r="BI27" s="208">
        <f t="shared" si="16"/>
        <v>0</v>
      </c>
      <c r="BL27" s="208">
        <f t="shared" si="17"/>
        <v>0</v>
      </c>
      <c r="BO27" s="208">
        <f t="shared" si="18"/>
        <v>0</v>
      </c>
      <c r="BR27" s="208">
        <f t="shared" si="19"/>
        <v>0</v>
      </c>
      <c r="BU27" s="208">
        <f t="shared" si="20"/>
        <v>0</v>
      </c>
      <c r="BX27" s="208">
        <f t="shared" si="21"/>
        <v>0</v>
      </c>
      <c r="CA27" s="208">
        <f t="shared" si="22"/>
        <v>0</v>
      </c>
      <c r="CD27" s="208">
        <f t="shared" si="23"/>
        <v>0</v>
      </c>
      <c r="CG27" s="208">
        <f t="shared" si="24"/>
        <v>0</v>
      </c>
      <c r="CJ27" s="208">
        <f t="shared" si="25"/>
        <v>0</v>
      </c>
      <c r="CM27" s="208">
        <f t="shared" si="26"/>
        <v>0</v>
      </c>
      <c r="CP27" s="208">
        <f t="shared" si="27"/>
        <v>0</v>
      </c>
      <c r="CS27" s="208">
        <f t="shared" si="28"/>
        <v>0</v>
      </c>
      <c r="CV27" s="208">
        <f t="shared" si="29"/>
        <v>0</v>
      </c>
      <c r="CY27" s="208">
        <f t="shared" si="30"/>
        <v>0</v>
      </c>
      <c r="DB27" s="208">
        <f t="shared" si="31"/>
        <v>0</v>
      </c>
      <c r="DE27" s="208">
        <f t="shared" si="32"/>
        <v>0</v>
      </c>
      <c r="DH27" s="208">
        <f t="shared" si="33"/>
        <v>0</v>
      </c>
      <c r="DK27" s="208">
        <f t="shared" si="34"/>
        <v>0</v>
      </c>
      <c r="DN27" s="208">
        <f t="shared" si="35"/>
        <v>0</v>
      </c>
      <c r="DQ27" s="208">
        <f t="shared" si="36"/>
        <v>0</v>
      </c>
      <c r="DT27" s="208">
        <f t="shared" si="37"/>
        <v>0</v>
      </c>
      <c r="DW27" s="208">
        <f t="shared" si="38"/>
        <v>0</v>
      </c>
      <c r="DZ27" s="208"/>
      <c r="EA27" s="208"/>
      <c r="EB27" s="228">
        <f t="shared" si="51"/>
        <v>878225000</v>
      </c>
      <c r="EC27" s="228">
        <f t="shared" si="39"/>
        <v>0</v>
      </c>
      <c r="ED27" s="208">
        <f t="shared" si="40"/>
        <v>93528.618055555562</v>
      </c>
      <c r="EE27" s="209">
        <f t="shared" si="41"/>
        <v>3.8339038970651031E-2</v>
      </c>
      <c r="EG27" s="228">
        <f t="shared" si="42"/>
        <v>0</v>
      </c>
      <c r="EH27" s="208">
        <f t="shared" si="43"/>
        <v>0</v>
      </c>
      <c r="EI27" s="209">
        <f t="shared" si="44"/>
        <v>0</v>
      </c>
      <c r="EJ27" s="209"/>
      <c r="EK27" s="228">
        <f t="shared" si="52"/>
        <v>878225000</v>
      </c>
      <c r="EL27" s="228">
        <f t="shared" si="45"/>
        <v>0</v>
      </c>
      <c r="EM27" s="228">
        <f t="shared" si="46"/>
        <v>93528.618055555562</v>
      </c>
      <c r="EN27" s="209">
        <f t="shared" si="47"/>
        <v>3.8339038970651031E-2</v>
      </c>
      <c r="EP27" s="208"/>
    </row>
    <row r="28" spans="1:146" x14ac:dyDescent="0.25">
      <c r="A28" s="222">
        <f t="shared" si="48"/>
        <v>46071</v>
      </c>
      <c r="B28" s="208">
        <v>0</v>
      </c>
      <c r="C28" s="209">
        <v>3.8198139999999998E-2</v>
      </c>
      <c r="D28" s="208">
        <f t="shared" si="0"/>
        <v>0</v>
      </c>
      <c r="G28" s="208">
        <f t="shared" si="1"/>
        <v>0</v>
      </c>
      <c r="J28" s="208">
        <f t="shared" si="2"/>
        <v>0</v>
      </c>
      <c r="M28" s="208">
        <f t="shared" si="3"/>
        <v>0</v>
      </c>
      <c r="P28" s="208">
        <f t="shared" si="4"/>
        <v>0</v>
      </c>
      <c r="S28" s="208">
        <f t="shared" si="5"/>
        <v>0</v>
      </c>
      <c r="V28" s="208">
        <f t="shared" si="6"/>
        <v>0</v>
      </c>
      <c r="Y28" s="208">
        <f t="shared" si="7"/>
        <v>0</v>
      </c>
      <c r="AB28" s="208">
        <f t="shared" si="8"/>
        <v>0</v>
      </c>
      <c r="AE28" s="208">
        <v>0</v>
      </c>
      <c r="AH28" s="208">
        <v>0</v>
      </c>
      <c r="AI28" s="223">
        <f>50000000+128450000+19000000+25000000</f>
        <v>222450000</v>
      </c>
      <c r="AJ28" s="224">
        <v>3.8100000000000002E-2</v>
      </c>
      <c r="AK28" s="208">
        <f t="shared" si="9"/>
        <v>23542.625</v>
      </c>
      <c r="AL28" s="223">
        <f>160000000</f>
        <v>160000000</v>
      </c>
      <c r="AM28" s="224">
        <v>3.9E-2</v>
      </c>
      <c r="AN28" s="208">
        <f t="shared" si="10"/>
        <v>17333.333333333332</v>
      </c>
      <c r="AO28" s="223">
        <v>50000000</v>
      </c>
      <c r="AP28" s="224">
        <v>3.8800000000000001E-2</v>
      </c>
      <c r="AQ28" s="208">
        <f t="shared" si="11"/>
        <v>5388.8888888888887</v>
      </c>
      <c r="AR28" s="223">
        <f t="shared" si="57"/>
        <v>277100000</v>
      </c>
      <c r="AS28" s="224">
        <v>3.8399999999999997E-2</v>
      </c>
      <c r="AT28" s="208">
        <f t="shared" si="12"/>
        <v>29557.333333333328</v>
      </c>
      <c r="AU28" s="208">
        <f>100000000+35000000</f>
        <v>135000000</v>
      </c>
      <c r="AV28" s="209">
        <v>3.8300000000000001E-2</v>
      </c>
      <c r="AW28" s="208">
        <f t="shared" si="49"/>
        <v>14362.5</v>
      </c>
      <c r="AX28" s="208">
        <f>30000000</f>
        <v>30000000</v>
      </c>
      <c r="AY28" s="209">
        <v>3.8600000000000002E-2</v>
      </c>
      <c r="AZ28" s="208">
        <f t="shared" si="13"/>
        <v>3216.6666666666665</v>
      </c>
      <c r="BA28" s="208">
        <v>4500000</v>
      </c>
      <c r="BB28" s="209">
        <v>3.85E-2</v>
      </c>
      <c r="BC28" s="208">
        <f t="shared" si="14"/>
        <v>481.25</v>
      </c>
      <c r="BD28" s="208">
        <f t="shared" si="56"/>
        <v>150000000</v>
      </c>
      <c r="BE28" s="209">
        <v>3.8699999999999998E-2</v>
      </c>
      <c r="BF28" s="208">
        <f t="shared" si="15"/>
        <v>16125</v>
      </c>
      <c r="BG28" s="208">
        <f>281000000</f>
        <v>281000000</v>
      </c>
      <c r="BH28" s="209">
        <v>3.8199999999999998E-2</v>
      </c>
      <c r="BI28" s="208">
        <f t="shared" si="16"/>
        <v>29817.222222222223</v>
      </c>
      <c r="BJ28" s="208">
        <f t="shared" ref="BJ28:BJ34" si="58">50000000</f>
        <v>50000000</v>
      </c>
      <c r="BK28" s="209">
        <v>3.8600000000000002E-2</v>
      </c>
      <c r="BL28" s="208">
        <f t="shared" si="17"/>
        <v>5361.1111111111113</v>
      </c>
      <c r="BO28" s="208">
        <f t="shared" si="18"/>
        <v>0</v>
      </c>
      <c r="BR28" s="208">
        <f t="shared" si="19"/>
        <v>0</v>
      </c>
      <c r="BU28" s="208">
        <f t="shared" si="20"/>
        <v>0</v>
      </c>
      <c r="BX28" s="208">
        <f t="shared" si="21"/>
        <v>0</v>
      </c>
      <c r="CA28" s="208">
        <f t="shared" si="22"/>
        <v>0</v>
      </c>
      <c r="CD28" s="208">
        <f t="shared" si="23"/>
        <v>0</v>
      </c>
      <c r="CG28" s="208">
        <f t="shared" si="24"/>
        <v>0</v>
      </c>
      <c r="CJ28" s="208">
        <f t="shared" si="25"/>
        <v>0</v>
      </c>
      <c r="CM28" s="208">
        <f t="shared" si="26"/>
        <v>0</v>
      </c>
      <c r="CP28" s="208">
        <f t="shared" si="27"/>
        <v>0</v>
      </c>
      <c r="CS28" s="208">
        <f t="shared" si="28"/>
        <v>0</v>
      </c>
      <c r="CV28" s="208">
        <f t="shared" si="29"/>
        <v>0</v>
      </c>
      <c r="CY28" s="208">
        <f t="shared" si="30"/>
        <v>0</v>
      </c>
      <c r="DB28" s="208">
        <f t="shared" si="31"/>
        <v>0</v>
      </c>
      <c r="DE28" s="208">
        <f t="shared" si="32"/>
        <v>0</v>
      </c>
      <c r="DH28" s="208">
        <f t="shared" si="33"/>
        <v>0</v>
      </c>
      <c r="DK28" s="208">
        <f t="shared" si="34"/>
        <v>0</v>
      </c>
      <c r="DN28" s="208">
        <f t="shared" si="35"/>
        <v>0</v>
      </c>
      <c r="DQ28" s="208">
        <f t="shared" si="36"/>
        <v>0</v>
      </c>
      <c r="DT28" s="208">
        <f t="shared" si="37"/>
        <v>0</v>
      </c>
      <c r="DW28" s="208">
        <f t="shared" si="38"/>
        <v>0</v>
      </c>
      <c r="DZ28" s="208"/>
      <c r="EA28" s="208"/>
      <c r="EB28" s="228">
        <f t="shared" si="51"/>
        <v>1360050000</v>
      </c>
      <c r="EC28" s="228">
        <f t="shared" si="39"/>
        <v>0</v>
      </c>
      <c r="ED28" s="208">
        <f t="shared" si="40"/>
        <v>145185.93055555556</v>
      </c>
      <c r="EE28" s="209">
        <f t="shared" si="41"/>
        <v>3.8430156979522817E-2</v>
      </c>
      <c r="EG28" s="228">
        <f t="shared" si="42"/>
        <v>0</v>
      </c>
      <c r="EH28" s="208">
        <f t="shared" si="43"/>
        <v>0</v>
      </c>
      <c r="EI28" s="209">
        <f t="shared" si="44"/>
        <v>0</v>
      </c>
      <c r="EJ28" s="209"/>
      <c r="EK28" s="228">
        <f t="shared" si="52"/>
        <v>1360050000</v>
      </c>
      <c r="EL28" s="228">
        <f t="shared" si="45"/>
        <v>0</v>
      </c>
      <c r="EM28" s="228">
        <f t="shared" si="46"/>
        <v>145185.93055555556</v>
      </c>
      <c r="EN28" s="209">
        <f t="shared" si="47"/>
        <v>3.8430156979522817E-2</v>
      </c>
      <c r="EP28" s="208"/>
    </row>
    <row r="29" spans="1:146" x14ac:dyDescent="0.25">
      <c r="A29" s="222">
        <f t="shared" si="48"/>
        <v>46072</v>
      </c>
      <c r="B29" s="208">
        <v>45925000</v>
      </c>
      <c r="C29" s="209">
        <v>3.7434519999999999E-2</v>
      </c>
      <c r="D29" s="208">
        <f t="shared" si="0"/>
        <v>4775.5009194444447</v>
      </c>
      <c r="G29" s="208">
        <f t="shared" si="1"/>
        <v>0</v>
      </c>
      <c r="J29" s="208">
        <f t="shared" si="2"/>
        <v>0</v>
      </c>
      <c r="M29" s="208">
        <f t="shared" si="3"/>
        <v>0</v>
      </c>
      <c r="P29" s="208">
        <f t="shared" si="4"/>
        <v>0</v>
      </c>
      <c r="S29" s="208">
        <f t="shared" si="5"/>
        <v>0</v>
      </c>
      <c r="V29" s="208">
        <f t="shared" si="6"/>
        <v>0</v>
      </c>
      <c r="Y29" s="208">
        <f t="shared" si="7"/>
        <v>0</v>
      </c>
      <c r="AB29" s="208">
        <f t="shared" si="8"/>
        <v>0</v>
      </c>
      <c r="AE29" s="208">
        <v>0</v>
      </c>
      <c r="AH29" s="208">
        <v>0</v>
      </c>
      <c r="AI29" s="223">
        <f>40000000+100000000+69275000+160000000</f>
        <v>369275000</v>
      </c>
      <c r="AJ29" s="224">
        <v>3.8100000000000002E-2</v>
      </c>
      <c r="AK29" s="208">
        <f t="shared" si="9"/>
        <v>39081.604166666664</v>
      </c>
      <c r="AL29" s="223"/>
      <c r="AM29" s="224"/>
      <c r="AN29" s="208">
        <f t="shared" si="10"/>
        <v>0</v>
      </c>
      <c r="AO29" s="223">
        <v>50000000</v>
      </c>
      <c r="AP29" s="224">
        <v>3.8800000000000001E-2</v>
      </c>
      <c r="AQ29" s="208">
        <f t="shared" si="11"/>
        <v>5388.8888888888887</v>
      </c>
      <c r="AR29" s="223">
        <f t="shared" si="57"/>
        <v>277100000</v>
      </c>
      <c r="AS29" s="224">
        <v>3.8399999999999997E-2</v>
      </c>
      <c r="AT29" s="208">
        <f t="shared" si="12"/>
        <v>29557.333333333328</v>
      </c>
      <c r="AW29" s="208">
        <f t="shared" si="49"/>
        <v>0</v>
      </c>
      <c r="AZ29" s="208">
        <f t="shared" si="13"/>
        <v>0</v>
      </c>
      <c r="BC29" s="208">
        <f t="shared" si="14"/>
        <v>0</v>
      </c>
      <c r="BD29" s="208">
        <f t="shared" si="56"/>
        <v>150000000</v>
      </c>
      <c r="BE29" s="209">
        <v>3.8699999999999998E-2</v>
      </c>
      <c r="BF29" s="208">
        <f t="shared" si="15"/>
        <v>16125</v>
      </c>
      <c r="BI29" s="208">
        <f t="shared" si="16"/>
        <v>0</v>
      </c>
      <c r="BJ29" s="208">
        <f t="shared" si="58"/>
        <v>50000000</v>
      </c>
      <c r="BK29" s="209">
        <v>3.8600000000000002E-2</v>
      </c>
      <c r="BL29" s="208">
        <f t="shared" si="17"/>
        <v>5361.1111111111113</v>
      </c>
      <c r="BO29" s="208">
        <f t="shared" si="18"/>
        <v>0</v>
      </c>
      <c r="BR29" s="208">
        <f t="shared" si="19"/>
        <v>0</v>
      </c>
      <c r="BU29" s="208">
        <f t="shared" si="20"/>
        <v>0</v>
      </c>
      <c r="BX29" s="208">
        <f t="shared" si="21"/>
        <v>0</v>
      </c>
      <c r="CA29" s="208">
        <f t="shared" si="22"/>
        <v>0</v>
      </c>
      <c r="CD29" s="208">
        <f t="shared" si="23"/>
        <v>0</v>
      </c>
      <c r="CG29" s="208">
        <f t="shared" si="24"/>
        <v>0</v>
      </c>
      <c r="CJ29" s="208">
        <f t="shared" si="25"/>
        <v>0</v>
      </c>
      <c r="CM29" s="208">
        <f t="shared" si="26"/>
        <v>0</v>
      </c>
      <c r="CP29" s="208">
        <f t="shared" si="27"/>
        <v>0</v>
      </c>
      <c r="CS29" s="208">
        <f t="shared" si="28"/>
        <v>0</v>
      </c>
      <c r="CV29" s="208">
        <f t="shared" si="29"/>
        <v>0</v>
      </c>
      <c r="CY29" s="208">
        <f t="shared" si="30"/>
        <v>0</v>
      </c>
      <c r="DB29" s="208">
        <f t="shared" si="31"/>
        <v>0</v>
      </c>
      <c r="DE29" s="208">
        <f t="shared" si="32"/>
        <v>0</v>
      </c>
      <c r="DH29" s="208">
        <f t="shared" si="33"/>
        <v>0</v>
      </c>
      <c r="DK29" s="208">
        <f t="shared" si="34"/>
        <v>0</v>
      </c>
      <c r="DN29" s="208">
        <f t="shared" si="35"/>
        <v>0</v>
      </c>
      <c r="DQ29" s="208">
        <f t="shared" si="36"/>
        <v>0</v>
      </c>
      <c r="DT29" s="208">
        <f t="shared" si="37"/>
        <v>0</v>
      </c>
      <c r="DW29" s="208">
        <f t="shared" si="38"/>
        <v>0</v>
      </c>
      <c r="DZ29" s="208"/>
      <c r="EA29" s="208"/>
      <c r="EB29" s="228">
        <f t="shared" si="51"/>
        <v>942300000</v>
      </c>
      <c r="EC29" s="228">
        <f t="shared" si="39"/>
        <v>45925000</v>
      </c>
      <c r="ED29" s="208">
        <f t="shared" si="40"/>
        <v>100289.43841944444</v>
      </c>
      <c r="EE29" s="209">
        <f t="shared" si="41"/>
        <v>3.8314971697973044E-2</v>
      </c>
      <c r="EG29" s="228">
        <f t="shared" si="42"/>
        <v>0</v>
      </c>
      <c r="EH29" s="208">
        <f t="shared" si="43"/>
        <v>0</v>
      </c>
      <c r="EI29" s="209">
        <f t="shared" si="44"/>
        <v>0</v>
      </c>
      <c r="EJ29" s="209"/>
      <c r="EK29" s="228">
        <f t="shared" si="52"/>
        <v>896375000</v>
      </c>
      <c r="EL29" s="228">
        <f t="shared" si="45"/>
        <v>0</v>
      </c>
      <c r="EM29" s="228">
        <f t="shared" si="46"/>
        <v>95513.9375</v>
      </c>
      <c r="EN29" s="209">
        <f t="shared" si="47"/>
        <v>3.8360080881327571E-2</v>
      </c>
      <c r="EP29" s="208"/>
    </row>
    <row r="30" spans="1:146" x14ac:dyDescent="0.25">
      <c r="A30" s="222">
        <f t="shared" si="48"/>
        <v>46073</v>
      </c>
      <c r="B30" s="208">
        <v>8325000</v>
      </c>
      <c r="C30" s="209">
        <v>3.8069700000000005E-2</v>
      </c>
      <c r="D30" s="208">
        <f t="shared" si="0"/>
        <v>880.36181250000016</v>
      </c>
      <c r="G30" s="208">
        <f t="shared" si="1"/>
        <v>0</v>
      </c>
      <c r="J30" s="208">
        <f t="shared" si="2"/>
        <v>0</v>
      </c>
      <c r="M30" s="208">
        <f t="shared" si="3"/>
        <v>0</v>
      </c>
      <c r="P30" s="208">
        <f t="shared" si="4"/>
        <v>0</v>
      </c>
      <c r="S30" s="208">
        <f t="shared" si="5"/>
        <v>0</v>
      </c>
      <c r="V30" s="208">
        <f t="shared" si="6"/>
        <v>0</v>
      </c>
      <c r="Y30" s="208">
        <f t="shared" si="7"/>
        <v>0</v>
      </c>
      <c r="AB30" s="208">
        <f t="shared" si="8"/>
        <v>0</v>
      </c>
      <c r="AE30" s="208">
        <v>0</v>
      </c>
      <c r="AH30" s="208">
        <v>0</v>
      </c>
      <c r="AI30" s="223">
        <f>60000000+125000000+211625000+65000000</f>
        <v>461625000</v>
      </c>
      <c r="AJ30" s="224">
        <v>3.8100000000000002E-2</v>
      </c>
      <c r="AK30" s="208">
        <f t="shared" si="9"/>
        <v>48855.3125</v>
      </c>
      <c r="AL30" s="223"/>
      <c r="AM30" s="224"/>
      <c r="AN30" s="208">
        <f t="shared" si="10"/>
        <v>0</v>
      </c>
      <c r="AO30" s="223"/>
      <c r="AP30" s="224"/>
      <c r="AQ30" s="208">
        <f t="shared" si="11"/>
        <v>0</v>
      </c>
      <c r="AR30" s="223">
        <f t="shared" si="57"/>
        <v>277100000</v>
      </c>
      <c r="AS30" s="224">
        <v>3.8399999999999997E-2</v>
      </c>
      <c r="AT30" s="208">
        <f t="shared" si="12"/>
        <v>29557.333333333328</v>
      </c>
      <c r="AW30" s="208">
        <f t="shared" si="49"/>
        <v>0</v>
      </c>
      <c r="AZ30" s="208">
        <f t="shared" si="13"/>
        <v>0</v>
      </c>
      <c r="BC30" s="208">
        <f t="shared" si="14"/>
        <v>0</v>
      </c>
      <c r="BD30" s="208">
        <f t="shared" si="56"/>
        <v>150000000</v>
      </c>
      <c r="BE30" s="209">
        <v>3.8699999999999998E-2</v>
      </c>
      <c r="BF30" s="208">
        <f t="shared" si="15"/>
        <v>16125</v>
      </c>
      <c r="BI30" s="208">
        <f t="shared" si="16"/>
        <v>0</v>
      </c>
      <c r="BJ30" s="208">
        <f t="shared" si="58"/>
        <v>50000000</v>
      </c>
      <c r="BK30" s="209">
        <v>3.8600000000000002E-2</v>
      </c>
      <c r="BL30" s="208">
        <f t="shared" si="17"/>
        <v>5361.1111111111113</v>
      </c>
      <c r="BO30" s="208">
        <f t="shared" si="18"/>
        <v>0</v>
      </c>
      <c r="BR30" s="208">
        <f t="shared" si="19"/>
        <v>0</v>
      </c>
      <c r="BU30" s="208">
        <f t="shared" si="20"/>
        <v>0</v>
      </c>
      <c r="BX30" s="208">
        <f t="shared" si="21"/>
        <v>0</v>
      </c>
      <c r="CA30" s="208">
        <f t="shared" si="22"/>
        <v>0</v>
      </c>
      <c r="CD30" s="208">
        <f t="shared" si="23"/>
        <v>0</v>
      </c>
      <c r="CG30" s="208">
        <f t="shared" si="24"/>
        <v>0</v>
      </c>
      <c r="CJ30" s="208">
        <f t="shared" si="25"/>
        <v>0</v>
      </c>
      <c r="CM30" s="208">
        <f t="shared" si="26"/>
        <v>0</v>
      </c>
      <c r="CP30" s="208">
        <f t="shared" si="27"/>
        <v>0</v>
      </c>
      <c r="CS30" s="208">
        <f t="shared" si="28"/>
        <v>0</v>
      </c>
      <c r="CV30" s="208">
        <f t="shared" si="29"/>
        <v>0</v>
      </c>
      <c r="CY30" s="208">
        <f t="shared" si="30"/>
        <v>0</v>
      </c>
      <c r="DB30" s="208">
        <f t="shared" si="31"/>
        <v>0</v>
      </c>
      <c r="DE30" s="208">
        <f t="shared" si="32"/>
        <v>0</v>
      </c>
      <c r="DH30" s="208">
        <f t="shared" si="33"/>
        <v>0</v>
      </c>
      <c r="DK30" s="208">
        <f t="shared" si="34"/>
        <v>0</v>
      </c>
      <c r="DN30" s="208">
        <f t="shared" si="35"/>
        <v>0</v>
      </c>
      <c r="DQ30" s="208">
        <f t="shared" si="36"/>
        <v>0</v>
      </c>
      <c r="DT30" s="208">
        <f t="shared" si="37"/>
        <v>0</v>
      </c>
      <c r="DW30" s="208">
        <f t="shared" si="38"/>
        <v>0</v>
      </c>
      <c r="DZ30" s="208"/>
      <c r="EA30" s="208"/>
      <c r="EB30" s="228">
        <f t="shared" si="51"/>
        <v>947050000</v>
      </c>
      <c r="EC30" s="228">
        <f t="shared" si="39"/>
        <v>8325000</v>
      </c>
      <c r="ED30" s="208">
        <f t="shared" si="40"/>
        <v>100779.11875694444</v>
      </c>
      <c r="EE30" s="209">
        <f t="shared" si="41"/>
        <v>3.8308941188427217E-2</v>
      </c>
      <c r="EG30" s="228">
        <f t="shared" si="42"/>
        <v>0</v>
      </c>
      <c r="EH30" s="208">
        <f t="shared" si="43"/>
        <v>0</v>
      </c>
      <c r="EI30" s="209">
        <f t="shared" si="44"/>
        <v>0</v>
      </c>
      <c r="EJ30" s="209"/>
      <c r="EK30" s="228">
        <f t="shared" si="52"/>
        <v>938725000</v>
      </c>
      <c r="EL30" s="228">
        <f t="shared" si="45"/>
        <v>0</v>
      </c>
      <c r="EM30" s="228">
        <f t="shared" si="46"/>
        <v>99898.756944444438</v>
      </c>
      <c r="EN30" s="209">
        <f t="shared" si="47"/>
        <v>3.831106287783962E-2</v>
      </c>
      <c r="EP30" s="208"/>
    </row>
    <row r="31" spans="1:146" x14ac:dyDescent="0.25">
      <c r="A31" s="222">
        <f t="shared" si="48"/>
        <v>46074</v>
      </c>
      <c r="B31" s="208">
        <v>8325000</v>
      </c>
      <c r="C31" s="209">
        <v>3.8069700000000005E-2</v>
      </c>
      <c r="D31" s="208">
        <f t="shared" si="0"/>
        <v>880.36181250000016</v>
      </c>
      <c r="G31" s="208">
        <f t="shared" si="1"/>
        <v>0</v>
      </c>
      <c r="J31" s="208">
        <f t="shared" si="2"/>
        <v>0</v>
      </c>
      <c r="M31" s="208">
        <f t="shared" si="3"/>
        <v>0</v>
      </c>
      <c r="P31" s="208">
        <f t="shared" si="4"/>
        <v>0</v>
      </c>
      <c r="S31" s="208">
        <f t="shared" si="5"/>
        <v>0</v>
      </c>
      <c r="V31" s="208">
        <f t="shared" si="6"/>
        <v>0</v>
      </c>
      <c r="Y31" s="208">
        <f t="shared" si="7"/>
        <v>0</v>
      </c>
      <c r="AB31" s="208">
        <f t="shared" si="8"/>
        <v>0</v>
      </c>
      <c r="AE31" s="208">
        <v>0</v>
      </c>
      <c r="AH31" s="208">
        <v>0</v>
      </c>
      <c r="AI31" s="223">
        <f>60000000+125000000+211625000+65000000</f>
        <v>461625000</v>
      </c>
      <c r="AJ31" s="224">
        <v>3.8100000000000002E-2</v>
      </c>
      <c r="AK31" s="208">
        <f t="shared" si="9"/>
        <v>48855.3125</v>
      </c>
      <c r="AL31" s="223"/>
      <c r="AM31" s="224"/>
      <c r="AN31" s="208">
        <f t="shared" si="10"/>
        <v>0</v>
      </c>
      <c r="AO31" s="223"/>
      <c r="AP31" s="224"/>
      <c r="AQ31" s="208">
        <f t="shared" si="11"/>
        <v>0</v>
      </c>
      <c r="AR31" s="223">
        <f t="shared" si="57"/>
        <v>277100000</v>
      </c>
      <c r="AS31" s="224">
        <v>3.8399999999999997E-2</v>
      </c>
      <c r="AT31" s="208">
        <f t="shared" si="12"/>
        <v>29557.333333333328</v>
      </c>
      <c r="AW31" s="208">
        <f t="shared" si="49"/>
        <v>0</v>
      </c>
      <c r="AZ31" s="208">
        <f t="shared" si="13"/>
        <v>0</v>
      </c>
      <c r="BC31" s="208">
        <f t="shared" si="14"/>
        <v>0</v>
      </c>
      <c r="BD31" s="208">
        <f t="shared" si="56"/>
        <v>150000000</v>
      </c>
      <c r="BE31" s="209">
        <v>3.8699999999999998E-2</v>
      </c>
      <c r="BF31" s="208">
        <f t="shared" si="15"/>
        <v>16125</v>
      </c>
      <c r="BI31" s="208">
        <f t="shared" si="16"/>
        <v>0</v>
      </c>
      <c r="BJ31" s="208">
        <f t="shared" si="58"/>
        <v>50000000</v>
      </c>
      <c r="BK31" s="209">
        <v>3.8600000000000002E-2</v>
      </c>
      <c r="BL31" s="208">
        <f t="shared" si="17"/>
        <v>5361.1111111111113</v>
      </c>
      <c r="BO31" s="208">
        <f t="shared" si="18"/>
        <v>0</v>
      </c>
      <c r="BR31" s="208">
        <f t="shared" si="19"/>
        <v>0</v>
      </c>
      <c r="BU31" s="208">
        <f t="shared" si="20"/>
        <v>0</v>
      </c>
      <c r="BX31" s="208">
        <f t="shared" si="21"/>
        <v>0</v>
      </c>
      <c r="CA31" s="208">
        <f t="shared" si="22"/>
        <v>0</v>
      </c>
      <c r="CD31" s="208">
        <f t="shared" si="23"/>
        <v>0</v>
      </c>
      <c r="CG31" s="208">
        <f t="shared" si="24"/>
        <v>0</v>
      </c>
      <c r="CJ31" s="208">
        <f t="shared" si="25"/>
        <v>0</v>
      </c>
      <c r="CM31" s="208">
        <f t="shared" si="26"/>
        <v>0</v>
      </c>
      <c r="CP31" s="208">
        <f t="shared" si="27"/>
        <v>0</v>
      </c>
      <c r="CS31" s="208">
        <f t="shared" si="28"/>
        <v>0</v>
      </c>
      <c r="CV31" s="208">
        <f t="shared" si="29"/>
        <v>0</v>
      </c>
      <c r="CY31" s="208">
        <f t="shared" si="30"/>
        <v>0</v>
      </c>
      <c r="DB31" s="208">
        <f t="shared" si="31"/>
        <v>0</v>
      </c>
      <c r="DE31" s="208">
        <f t="shared" si="32"/>
        <v>0</v>
      </c>
      <c r="DH31" s="208">
        <f t="shared" si="33"/>
        <v>0</v>
      </c>
      <c r="DK31" s="208">
        <f t="shared" si="34"/>
        <v>0</v>
      </c>
      <c r="DN31" s="208">
        <f t="shared" si="35"/>
        <v>0</v>
      </c>
      <c r="DQ31" s="208">
        <f t="shared" si="36"/>
        <v>0</v>
      </c>
      <c r="DT31" s="208">
        <f t="shared" si="37"/>
        <v>0</v>
      </c>
      <c r="DW31" s="208">
        <f t="shared" si="38"/>
        <v>0</v>
      </c>
      <c r="DZ31" s="208"/>
      <c r="EA31" s="208"/>
      <c r="EB31" s="228">
        <f t="shared" si="51"/>
        <v>947050000</v>
      </c>
      <c r="EC31" s="228">
        <f t="shared" si="39"/>
        <v>8325000</v>
      </c>
      <c r="ED31" s="208">
        <f t="shared" si="40"/>
        <v>100779.11875694444</v>
      </c>
      <c r="EE31" s="209">
        <f t="shared" si="41"/>
        <v>3.8308941188427217E-2</v>
      </c>
      <c r="EG31" s="228">
        <f t="shared" si="42"/>
        <v>0</v>
      </c>
      <c r="EH31" s="208">
        <f t="shared" si="43"/>
        <v>0</v>
      </c>
      <c r="EI31" s="209">
        <f t="shared" si="44"/>
        <v>0</v>
      </c>
      <c r="EJ31" s="209"/>
      <c r="EK31" s="228">
        <f t="shared" si="52"/>
        <v>938725000</v>
      </c>
      <c r="EL31" s="228">
        <f t="shared" si="45"/>
        <v>0</v>
      </c>
      <c r="EM31" s="228">
        <f t="shared" si="46"/>
        <v>99898.756944444438</v>
      </c>
      <c r="EN31" s="209">
        <f t="shared" si="47"/>
        <v>3.831106287783962E-2</v>
      </c>
      <c r="EP31" s="208"/>
    </row>
    <row r="32" spans="1:146" x14ac:dyDescent="0.25">
      <c r="A32" s="222">
        <f t="shared" si="48"/>
        <v>46075</v>
      </c>
      <c r="B32" s="208">
        <v>8325000</v>
      </c>
      <c r="C32" s="209">
        <v>3.8069700000000005E-2</v>
      </c>
      <c r="D32" s="208">
        <f t="shared" si="0"/>
        <v>880.36181250000016</v>
      </c>
      <c r="G32" s="208">
        <f t="shared" si="1"/>
        <v>0</v>
      </c>
      <c r="J32" s="208">
        <f t="shared" si="2"/>
        <v>0</v>
      </c>
      <c r="M32" s="208">
        <f t="shared" si="3"/>
        <v>0</v>
      </c>
      <c r="P32" s="208">
        <f t="shared" si="4"/>
        <v>0</v>
      </c>
      <c r="S32" s="208">
        <f t="shared" si="5"/>
        <v>0</v>
      </c>
      <c r="V32" s="208">
        <f t="shared" si="6"/>
        <v>0</v>
      </c>
      <c r="Y32" s="208">
        <f t="shared" si="7"/>
        <v>0</v>
      </c>
      <c r="AB32" s="208">
        <f t="shared" si="8"/>
        <v>0</v>
      </c>
      <c r="AE32" s="208">
        <v>0</v>
      </c>
      <c r="AH32" s="208">
        <v>0</v>
      </c>
      <c r="AI32" s="223">
        <f>60000000+125000000+211625000+65000000</f>
        <v>461625000</v>
      </c>
      <c r="AJ32" s="224">
        <v>3.8100000000000002E-2</v>
      </c>
      <c r="AK32" s="208">
        <f t="shared" si="9"/>
        <v>48855.3125</v>
      </c>
      <c r="AL32" s="223"/>
      <c r="AM32" s="224"/>
      <c r="AN32" s="208">
        <f t="shared" si="10"/>
        <v>0</v>
      </c>
      <c r="AO32" s="223"/>
      <c r="AP32" s="224"/>
      <c r="AQ32" s="208">
        <f t="shared" si="11"/>
        <v>0</v>
      </c>
      <c r="AR32" s="223">
        <f t="shared" si="57"/>
        <v>277100000</v>
      </c>
      <c r="AS32" s="224">
        <v>3.8399999999999997E-2</v>
      </c>
      <c r="AT32" s="208">
        <f t="shared" si="12"/>
        <v>29557.333333333328</v>
      </c>
      <c r="AW32" s="208">
        <f t="shared" si="49"/>
        <v>0</v>
      </c>
      <c r="AZ32" s="208">
        <f t="shared" si="13"/>
        <v>0</v>
      </c>
      <c r="BC32" s="208">
        <f t="shared" si="14"/>
        <v>0</v>
      </c>
      <c r="BD32" s="208">
        <f t="shared" si="56"/>
        <v>150000000</v>
      </c>
      <c r="BE32" s="209">
        <v>3.8699999999999998E-2</v>
      </c>
      <c r="BF32" s="208">
        <f t="shared" si="15"/>
        <v>16125</v>
      </c>
      <c r="BI32" s="208">
        <f t="shared" si="16"/>
        <v>0</v>
      </c>
      <c r="BJ32" s="208">
        <f t="shared" si="58"/>
        <v>50000000</v>
      </c>
      <c r="BK32" s="209">
        <v>3.8600000000000002E-2</v>
      </c>
      <c r="BL32" s="208">
        <f t="shared" si="17"/>
        <v>5361.1111111111113</v>
      </c>
      <c r="BO32" s="208">
        <f t="shared" si="18"/>
        <v>0</v>
      </c>
      <c r="BR32" s="208">
        <f t="shared" si="19"/>
        <v>0</v>
      </c>
      <c r="BU32" s="208">
        <f t="shared" si="20"/>
        <v>0</v>
      </c>
      <c r="BX32" s="208">
        <f t="shared" si="21"/>
        <v>0</v>
      </c>
      <c r="CA32" s="208">
        <f t="shared" si="22"/>
        <v>0</v>
      </c>
      <c r="CD32" s="208">
        <f t="shared" si="23"/>
        <v>0</v>
      </c>
      <c r="CG32" s="208">
        <f t="shared" si="24"/>
        <v>0</v>
      </c>
      <c r="CJ32" s="208">
        <f t="shared" si="25"/>
        <v>0</v>
      </c>
      <c r="CM32" s="208">
        <f t="shared" si="26"/>
        <v>0</v>
      </c>
      <c r="CP32" s="208">
        <f t="shared" si="27"/>
        <v>0</v>
      </c>
      <c r="CS32" s="208">
        <f t="shared" si="28"/>
        <v>0</v>
      </c>
      <c r="CV32" s="208">
        <f t="shared" si="29"/>
        <v>0</v>
      </c>
      <c r="CY32" s="208">
        <f t="shared" si="30"/>
        <v>0</v>
      </c>
      <c r="DB32" s="208">
        <f t="shared" si="31"/>
        <v>0</v>
      </c>
      <c r="DE32" s="208">
        <f t="shared" si="32"/>
        <v>0</v>
      </c>
      <c r="DH32" s="208">
        <f t="shared" si="33"/>
        <v>0</v>
      </c>
      <c r="DK32" s="208">
        <f t="shared" si="34"/>
        <v>0</v>
      </c>
      <c r="DN32" s="208">
        <f t="shared" si="35"/>
        <v>0</v>
      </c>
      <c r="DQ32" s="208">
        <f t="shared" si="36"/>
        <v>0</v>
      </c>
      <c r="DT32" s="208">
        <f t="shared" si="37"/>
        <v>0</v>
      </c>
      <c r="DW32" s="208">
        <f t="shared" si="38"/>
        <v>0</v>
      </c>
      <c r="DZ32" s="208"/>
      <c r="EA32" s="208"/>
      <c r="EB32" s="228">
        <f t="shared" si="51"/>
        <v>947050000</v>
      </c>
      <c r="EC32" s="228">
        <f t="shared" si="39"/>
        <v>8325000</v>
      </c>
      <c r="ED32" s="208">
        <f t="shared" si="40"/>
        <v>100779.11875694444</v>
      </c>
      <c r="EE32" s="209">
        <f t="shared" si="41"/>
        <v>3.8308941188427217E-2</v>
      </c>
      <c r="EG32" s="228">
        <f t="shared" si="42"/>
        <v>0</v>
      </c>
      <c r="EH32" s="208">
        <f t="shared" si="43"/>
        <v>0</v>
      </c>
      <c r="EI32" s="209">
        <f t="shared" si="44"/>
        <v>0</v>
      </c>
      <c r="EJ32" s="209"/>
      <c r="EK32" s="228">
        <f t="shared" si="52"/>
        <v>938725000</v>
      </c>
      <c r="EL32" s="228">
        <f t="shared" si="45"/>
        <v>0</v>
      </c>
      <c r="EM32" s="228">
        <f t="shared" si="46"/>
        <v>99898.756944444438</v>
      </c>
      <c r="EN32" s="209">
        <f t="shared" si="47"/>
        <v>3.831106287783962E-2</v>
      </c>
      <c r="EP32" s="208"/>
    </row>
    <row r="33" spans="1:146" x14ac:dyDescent="0.25">
      <c r="A33" s="222">
        <f t="shared" si="48"/>
        <v>46076</v>
      </c>
      <c r="B33" s="208">
        <v>0</v>
      </c>
      <c r="C33" s="209">
        <v>3.8573959999999997E-2</v>
      </c>
      <c r="D33" s="208">
        <f t="shared" si="0"/>
        <v>0</v>
      </c>
      <c r="G33" s="208">
        <f t="shared" si="1"/>
        <v>0</v>
      </c>
      <c r="J33" s="208">
        <f t="shared" si="2"/>
        <v>0</v>
      </c>
      <c r="M33" s="208">
        <f t="shared" si="3"/>
        <v>0</v>
      </c>
      <c r="P33" s="208">
        <f t="shared" si="4"/>
        <v>0</v>
      </c>
      <c r="S33" s="208">
        <f t="shared" si="5"/>
        <v>0</v>
      </c>
      <c r="V33" s="208">
        <f t="shared" si="6"/>
        <v>0</v>
      </c>
      <c r="Y33" s="208">
        <f t="shared" si="7"/>
        <v>0</v>
      </c>
      <c r="AB33" s="208">
        <f t="shared" si="8"/>
        <v>0</v>
      </c>
      <c r="AE33" s="208">
        <v>0</v>
      </c>
      <c r="AH33" s="208">
        <v>0</v>
      </c>
      <c r="AI33" s="223">
        <f>60000000+100000000+222475000+115000000</f>
        <v>497475000</v>
      </c>
      <c r="AJ33" s="224">
        <v>3.8100000000000002E-2</v>
      </c>
      <c r="AK33" s="208">
        <f t="shared" si="9"/>
        <v>52649.4375</v>
      </c>
      <c r="AL33" s="223"/>
      <c r="AM33" s="224"/>
      <c r="AN33" s="208">
        <f t="shared" si="10"/>
        <v>0</v>
      </c>
      <c r="AO33" s="223"/>
      <c r="AP33" s="224"/>
      <c r="AQ33" s="208">
        <f t="shared" si="11"/>
        <v>0</v>
      </c>
      <c r="AR33" s="223">
        <f t="shared" si="57"/>
        <v>277100000</v>
      </c>
      <c r="AS33" s="224">
        <v>3.8399999999999997E-2</v>
      </c>
      <c r="AT33" s="208">
        <f t="shared" si="12"/>
        <v>29557.333333333328</v>
      </c>
      <c r="AW33" s="208">
        <f t="shared" si="49"/>
        <v>0</v>
      </c>
      <c r="AZ33" s="208">
        <f t="shared" si="13"/>
        <v>0</v>
      </c>
      <c r="BC33" s="208">
        <f t="shared" si="14"/>
        <v>0</v>
      </c>
      <c r="BD33" s="208">
        <f t="shared" si="56"/>
        <v>150000000</v>
      </c>
      <c r="BE33" s="209">
        <v>3.8699999999999998E-2</v>
      </c>
      <c r="BF33" s="208">
        <f t="shared" si="15"/>
        <v>16125</v>
      </c>
      <c r="BI33" s="208">
        <f t="shared" si="16"/>
        <v>0</v>
      </c>
      <c r="BJ33" s="208">
        <f t="shared" si="58"/>
        <v>50000000</v>
      </c>
      <c r="BK33" s="209">
        <v>3.8600000000000002E-2</v>
      </c>
      <c r="BL33" s="208">
        <f t="shared" si="17"/>
        <v>5361.1111111111113</v>
      </c>
      <c r="BO33" s="208">
        <f t="shared" si="18"/>
        <v>0</v>
      </c>
      <c r="BR33" s="208">
        <f t="shared" si="19"/>
        <v>0</v>
      </c>
      <c r="BU33" s="208">
        <f t="shared" si="20"/>
        <v>0</v>
      </c>
      <c r="BX33" s="208">
        <f t="shared" si="21"/>
        <v>0</v>
      </c>
      <c r="CA33" s="208">
        <f t="shared" si="22"/>
        <v>0</v>
      </c>
      <c r="CD33" s="208">
        <f t="shared" si="23"/>
        <v>0</v>
      </c>
      <c r="CG33" s="208">
        <f t="shared" si="24"/>
        <v>0</v>
      </c>
      <c r="CJ33" s="208">
        <f t="shared" si="25"/>
        <v>0</v>
      </c>
      <c r="CM33" s="208">
        <f t="shared" si="26"/>
        <v>0</v>
      </c>
      <c r="CP33" s="208">
        <f t="shared" si="27"/>
        <v>0</v>
      </c>
      <c r="CS33" s="208">
        <f t="shared" si="28"/>
        <v>0</v>
      </c>
      <c r="CV33" s="208">
        <f t="shared" si="29"/>
        <v>0</v>
      </c>
      <c r="CY33" s="208">
        <f t="shared" si="30"/>
        <v>0</v>
      </c>
      <c r="DB33" s="208">
        <f t="shared" si="31"/>
        <v>0</v>
      </c>
      <c r="DE33" s="208">
        <f t="shared" si="32"/>
        <v>0</v>
      </c>
      <c r="DH33" s="208">
        <f t="shared" si="33"/>
        <v>0</v>
      </c>
      <c r="DK33" s="208">
        <f t="shared" si="34"/>
        <v>0</v>
      </c>
      <c r="DN33" s="208">
        <f t="shared" si="35"/>
        <v>0</v>
      </c>
      <c r="DQ33" s="208">
        <f t="shared" si="36"/>
        <v>0</v>
      </c>
      <c r="DT33" s="208">
        <f t="shared" si="37"/>
        <v>0</v>
      </c>
      <c r="DW33" s="208">
        <f t="shared" si="38"/>
        <v>0</v>
      </c>
      <c r="DZ33" s="208"/>
      <c r="EA33" s="208"/>
      <c r="EB33" s="228">
        <f t="shared" si="51"/>
        <v>974575000</v>
      </c>
      <c r="EC33" s="228">
        <f t="shared" si="39"/>
        <v>0</v>
      </c>
      <c r="ED33" s="208">
        <f t="shared" si="40"/>
        <v>103692.88194444444</v>
      </c>
      <c r="EE33" s="209">
        <f t="shared" si="41"/>
        <v>3.8303298873868095E-2</v>
      </c>
      <c r="EG33" s="228">
        <f t="shared" si="42"/>
        <v>0</v>
      </c>
      <c r="EH33" s="208">
        <f t="shared" si="43"/>
        <v>0</v>
      </c>
      <c r="EI33" s="209">
        <f t="shared" si="44"/>
        <v>0</v>
      </c>
      <c r="EJ33" s="209"/>
      <c r="EK33" s="228">
        <f t="shared" si="52"/>
        <v>974575000</v>
      </c>
      <c r="EL33" s="228">
        <f t="shared" si="45"/>
        <v>0</v>
      </c>
      <c r="EM33" s="228">
        <f t="shared" si="46"/>
        <v>103692.88194444444</v>
      </c>
      <c r="EN33" s="209">
        <f t="shared" si="47"/>
        <v>3.8303298873868095E-2</v>
      </c>
      <c r="EP33" s="208"/>
    </row>
    <row r="34" spans="1:146" x14ac:dyDescent="0.25">
      <c r="A34" s="222">
        <f t="shared" si="48"/>
        <v>46077</v>
      </c>
      <c r="B34" s="208">
        <v>20100000</v>
      </c>
      <c r="C34" s="209">
        <v>3.805882E-2</v>
      </c>
      <c r="D34" s="208">
        <f t="shared" si="0"/>
        <v>2124.9507833333332</v>
      </c>
      <c r="G34" s="208">
        <f t="shared" si="1"/>
        <v>0</v>
      </c>
      <c r="J34" s="208">
        <f t="shared" si="2"/>
        <v>0</v>
      </c>
      <c r="M34" s="208">
        <f t="shared" si="3"/>
        <v>0</v>
      </c>
      <c r="P34" s="208">
        <f t="shared" si="4"/>
        <v>0</v>
      </c>
      <c r="S34" s="208">
        <f t="shared" si="5"/>
        <v>0</v>
      </c>
      <c r="V34" s="208">
        <f t="shared" si="6"/>
        <v>0</v>
      </c>
      <c r="Y34" s="208">
        <f t="shared" si="7"/>
        <v>0</v>
      </c>
      <c r="AB34" s="208">
        <f t="shared" si="8"/>
        <v>0</v>
      </c>
      <c r="AE34" s="208">
        <v>0</v>
      </c>
      <c r="AH34" s="208">
        <v>0</v>
      </c>
      <c r="AI34" s="223">
        <f>150000000+135900000</f>
        <v>285900000</v>
      </c>
      <c r="AJ34" s="224">
        <v>3.8100000000000002E-2</v>
      </c>
      <c r="AK34" s="208">
        <f t="shared" si="9"/>
        <v>30257.75</v>
      </c>
      <c r="AL34" s="223">
        <f>60000000+10000000+40000000+240000000</f>
        <v>350000000</v>
      </c>
      <c r="AM34" s="224">
        <v>3.8300000000000001E-2</v>
      </c>
      <c r="AN34" s="208">
        <f t="shared" si="10"/>
        <v>37236.111111111109</v>
      </c>
      <c r="AO34" s="223"/>
      <c r="AP34" s="224"/>
      <c r="AQ34" s="208">
        <f t="shared" si="11"/>
        <v>0</v>
      </c>
      <c r="AR34" s="223"/>
      <c r="AS34" s="224"/>
      <c r="AT34" s="208">
        <f t="shared" si="12"/>
        <v>0</v>
      </c>
      <c r="AW34" s="208">
        <f t="shared" si="49"/>
        <v>0</v>
      </c>
      <c r="AZ34" s="208">
        <f t="shared" si="13"/>
        <v>0</v>
      </c>
      <c r="BA34" s="208">
        <f>50000000+154110000</f>
        <v>204110000</v>
      </c>
      <c r="BB34" s="209">
        <v>3.85E-2</v>
      </c>
      <c r="BC34" s="208">
        <f t="shared" si="14"/>
        <v>21828.430555555555</v>
      </c>
      <c r="BD34" s="208">
        <v>45890000</v>
      </c>
      <c r="BE34" s="209">
        <v>3.8699999999999998E-2</v>
      </c>
      <c r="BF34" s="208">
        <f t="shared" si="15"/>
        <v>4933.1750000000002</v>
      </c>
      <c r="BI34" s="208">
        <f t="shared" si="16"/>
        <v>0</v>
      </c>
      <c r="BJ34" s="208">
        <f t="shared" si="58"/>
        <v>50000000</v>
      </c>
      <c r="BK34" s="209">
        <v>3.8600000000000002E-2</v>
      </c>
      <c r="BL34" s="208">
        <f t="shared" si="17"/>
        <v>5361.1111111111113</v>
      </c>
      <c r="BO34" s="208">
        <f t="shared" si="18"/>
        <v>0</v>
      </c>
      <c r="BR34" s="208">
        <f t="shared" si="19"/>
        <v>0</v>
      </c>
      <c r="BU34" s="208">
        <f t="shared" si="20"/>
        <v>0</v>
      </c>
      <c r="BX34" s="208">
        <f t="shared" si="21"/>
        <v>0</v>
      </c>
      <c r="CA34" s="208">
        <f t="shared" si="22"/>
        <v>0</v>
      </c>
      <c r="CD34" s="208">
        <f t="shared" si="23"/>
        <v>0</v>
      </c>
      <c r="CG34" s="208">
        <f t="shared" si="24"/>
        <v>0</v>
      </c>
      <c r="CJ34" s="208">
        <f t="shared" si="25"/>
        <v>0</v>
      </c>
      <c r="CM34" s="208">
        <f t="shared" si="26"/>
        <v>0</v>
      </c>
      <c r="CP34" s="208">
        <f t="shared" si="27"/>
        <v>0</v>
      </c>
      <c r="CS34" s="208">
        <f t="shared" si="28"/>
        <v>0</v>
      </c>
      <c r="CV34" s="208">
        <f t="shared" si="29"/>
        <v>0</v>
      </c>
      <c r="CY34" s="208">
        <f t="shared" si="30"/>
        <v>0</v>
      </c>
      <c r="DB34" s="208">
        <f t="shared" si="31"/>
        <v>0</v>
      </c>
      <c r="DE34" s="208">
        <f t="shared" si="32"/>
        <v>0</v>
      </c>
      <c r="DH34" s="208">
        <f t="shared" si="33"/>
        <v>0</v>
      </c>
      <c r="DK34" s="208">
        <f t="shared" si="34"/>
        <v>0</v>
      </c>
      <c r="DN34" s="208">
        <f t="shared" si="35"/>
        <v>0</v>
      </c>
      <c r="DQ34" s="208">
        <f t="shared" si="36"/>
        <v>0</v>
      </c>
      <c r="DT34" s="208">
        <f t="shared" si="37"/>
        <v>0</v>
      </c>
      <c r="DW34" s="208">
        <f t="shared" si="38"/>
        <v>0</v>
      </c>
      <c r="DZ34" s="208"/>
      <c r="EA34" s="208"/>
      <c r="EB34" s="228">
        <f t="shared" si="51"/>
        <v>956000000</v>
      </c>
      <c r="EC34" s="228">
        <f t="shared" si="39"/>
        <v>20100000</v>
      </c>
      <c r="ED34" s="208">
        <f t="shared" si="40"/>
        <v>101741.5285611111</v>
      </c>
      <c r="EE34" s="209">
        <f t="shared" si="41"/>
        <v>3.83127095E-2</v>
      </c>
      <c r="EG34" s="228">
        <f t="shared" si="42"/>
        <v>0</v>
      </c>
      <c r="EH34" s="208">
        <f t="shared" si="43"/>
        <v>0</v>
      </c>
      <c r="EI34" s="209">
        <f t="shared" si="44"/>
        <v>0</v>
      </c>
      <c r="EJ34" s="209"/>
      <c r="EK34" s="228">
        <f t="shared" si="52"/>
        <v>935900000</v>
      </c>
      <c r="EL34" s="228">
        <f t="shared" si="45"/>
        <v>0</v>
      </c>
      <c r="EM34" s="228">
        <f t="shared" si="46"/>
        <v>99616.577777777769</v>
      </c>
      <c r="EN34" s="209">
        <f t="shared" si="47"/>
        <v>3.8318162196815893E-2</v>
      </c>
      <c r="EP34" s="208"/>
    </row>
    <row r="35" spans="1:146" x14ac:dyDescent="0.25">
      <c r="A35" s="222">
        <f t="shared" si="48"/>
        <v>46078</v>
      </c>
      <c r="B35" s="208">
        <v>29200000</v>
      </c>
      <c r="C35" s="209">
        <v>3.7885019999999998E-2</v>
      </c>
      <c r="D35" s="208">
        <f t="shared" si="0"/>
        <v>3072.8960666666667</v>
      </c>
      <c r="G35" s="208">
        <f t="shared" si="1"/>
        <v>0</v>
      </c>
      <c r="J35" s="208">
        <f t="shared" si="2"/>
        <v>0</v>
      </c>
      <c r="M35" s="208">
        <f t="shared" si="3"/>
        <v>0</v>
      </c>
      <c r="P35" s="208">
        <f t="shared" si="4"/>
        <v>0</v>
      </c>
      <c r="S35" s="208">
        <f t="shared" si="5"/>
        <v>0</v>
      </c>
      <c r="V35" s="208">
        <f t="shared" si="6"/>
        <v>0</v>
      </c>
      <c r="Y35" s="208">
        <f t="shared" si="7"/>
        <v>0</v>
      </c>
      <c r="AB35" s="208">
        <f t="shared" si="8"/>
        <v>0</v>
      </c>
      <c r="AE35" s="208">
        <v>0</v>
      </c>
      <c r="AH35" s="208">
        <v>0</v>
      </c>
      <c r="AI35" s="223">
        <f>141160000+155225000+55000000</f>
        <v>351385000</v>
      </c>
      <c r="AJ35" s="224">
        <v>3.8100000000000002E-2</v>
      </c>
      <c r="AK35" s="208">
        <f t="shared" si="9"/>
        <v>37188.245833333334</v>
      </c>
      <c r="AL35" s="223">
        <f>60000000+40000000+18840000+10000000+100000000+145000000</f>
        <v>373840000</v>
      </c>
      <c r="AM35" s="224">
        <v>3.8300000000000001E-2</v>
      </c>
      <c r="AN35" s="208">
        <f t="shared" si="10"/>
        <v>39772.422222222223</v>
      </c>
      <c r="AO35" s="223"/>
      <c r="AP35" s="224"/>
      <c r="AQ35" s="208">
        <f t="shared" si="11"/>
        <v>0</v>
      </c>
      <c r="AR35" s="223"/>
      <c r="AS35" s="224"/>
      <c r="AT35" s="208">
        <f t="shared" si="12"/>
        <v>0</v>
      </c>
      <c r="AW35" s="208">
        <f t="shared" si="49"/>
        <v>0</v>
      </c>
      <c r="AZ35" s="208">
        <f t="shared" si="13"/>
        <v>0</v>
      </c>
      <c r="BA35" s="208">
        <v>154110000</v>
      </c>
      <c r="BB35" s="209">
        <v>3.85E-2</v>
      </c>
      <c r="BC35" s="208">
        <f t="shared" si="14"/>
        <v>16481.208333333332</v>
      </c>
      <c r="BD35" s="208">
        <v>45890000</v>
      </c>
      <c r="BE35" s="209">
        <v>3.8699999999999998E-2</v>
      </c>
      <c r="BF35" s="208">
        <f t="shared" si="15"/>
        <v>4933.1750000000002</v>
      </c>
      <c r="BI35" s="208">
        <f t="shared" si="16"/>
        <v>0</v>
      </c>
      <c r="BL35" s="208">
        <f t="shared" si="17"/>
        <v>0</v>
      </c>
      <c r="BO35" s="208">
        <f t="shared" si="18"/>
        <v>0</v>
      </c>
      <c r="BR35" s="208">
        <f t="shared" si="19"/>
        <v>0</v>
      </c>
      <c r="BU35" s="208">
        <f t="shared" si="20"/>
        <v>0</v>
      </c>
      <c r="BX35" s="208">
        <f t="shared" si="21"/>
        <v>0</v>
      </c>
      <c r="CA35" s="208">
        <f t="shared" si="22"/>
        <v>0</v>
      </c>
      <c r="CD35" s="208">
        <f t="shared" si="23"/>
        <v>0</v>
      </c>
      <c r="CG35" s="208">
        <f t="shared" si="24"/>
        <v>0</v>
      </c>
      <c r="CJ35" s="208">
        <f t="shared" si="25"/>
        <v>0</v>
      </c>
      <c r="CM35" s="208">
        <f t="shared" si="26"/>
        <v>0</v>
      </c>
      <c r="CP35" s="208">
        <f t="shared" si="27"/>
        <v>0</v>
      </c>
      <c r="CS35" s="208">
        <f t="shared" si="28"/>
        <v>0</v>
      </c>
      <c r="CV35" s="208">
        <f t="shared" si="29"/>
        <v>0</v>
      </c>
      <c r="CY35" s="208">
        <f t="shared" si="30"/>
        <v>0</v>
      </c>
      <c r="DB35" s="208">
        <f t="shared" si="31"/>
        <v>0</v>
      </c>
      <c r="DE35" s="208">
        <f t="shared" si="32"/>
        <v>0</v>
      </c>
      <c r="DH35" s="208">
        <f t="shared" si="33"/>
        <v>0</v>
      </c>
      <c r="DK35" s="208">
        <f t="shared" si="34"/>
        <v>0</v>
      </c>
      <c r="DN35" s="208">
        <f t="shared" si="35"/>
        <v>0</v>
      </c>
      <c r="DQ35" s="208">
        <f t="shared" si="36"/>
        <v>0</v>
      </c>
      <c r="DT35" s="208">
        <f t="shared" si="37"/>
        <v>0</v>
      </c>
      <c r="DW35" s="208">
        <f t="shared" si="38"/>
        <v>0</v>
      </c>
      <c r="DZ35" s="208"/>
      <c r="EA35" s="208"/>
      <c r="EB35" s="228">
        <f t="shared" si="51"/>
        <v>954425000</v>
      </c>
      <c r="EC35" s="228">
        <f t="shared" si="39"/>
        <v>29200000</v>
      </c>
      <c r="ED35" s="208">
        <f t="shared" si="40"/>
        <v>101447.94745555555</v>
      </c>
      <c r="EE35" s="209">
        <f t="shared" si="41"/>
        <v>3.8265197458155431E-2</v>
      </c>
      <c r="EG35" s="228">
        <f t="shared" si="42"/>
        <v>0</v>
      </c>
      <c r="EH35" s="208">
        <f t="shared" si="43"/>
        <v>0</v>
      </c>
      <c r="EI35" s="209">
        <f t="shared" si="44"/>
        <v>0</v>
      </c>
      <c r="EJ35" s="209"/>
      <c r="EK35" s="228">
        <f t="shared" si="52"/>
        <v>925225000</v>
      </c>
      <c r="EL35" s="228">
        <f t="shared" si="45"/>
        <v>0</v>
      </c>
      <c r="EM35" s="228">
        <f t="shared" si="46"/>
        <v>98375.051388888882</v>
      </c>
      <c r="EN35" s="209">
        <f t="shared" si="47"/>
        <v>3.8277195817233642E-2</v>
      </c>
      <c r="EP35" s="208"/>
    </row>
    <row r="36" spans="1:146" x14ac:dyDescent="0.25">
      <c r="A36" s="222">
        <f t="shared" si="48"/>
        <v>46079</v>
      </c>
      <c r="B36" s="208">
        <v>0</v>
      </c>
      <c r="C36" s="209">
        <v>3.8562680000000002E-2</v>
      </c>
      <c r="D36" s="208">
        <f t="shared" si="0"/>
        <v>0</v>
      </c>
      <c r="G36" s="208">
        <f t="shared" si="1"/>
        <v>0</v>
      </c>
      <c r="J36" s="208">
        <f t="shared" si="2"/>
        <v>0</v>
      </c>
      <c r="M36" s="208">
        <f t="shared" si="3"/>
        <v>0</v>
      </c>
      <c r="P36" s="208">
        <f t="shared" si="4"/>
        <v>0</v>
      </c>
      <c r="S36" s="208">
        <f t="shared" si="5"/>
        <v>0</v>
      </c>
      <c r="V36" s="208">
        <f t="shared" si="6"/>
        <v>0</v>
      </c>
      <c r="Y36" s="208">
        <f t="shared" si="7"/>
        <v>0</v>
      </c>
      <c r="AB36" s="208">
        <f t="shared" si="8"/>
        <v>0</v>
      </c>
      <c r="AE36" s="208">
        <v>0</v>
      </c>
      <c r="AH36" s="208">
        <v>0</v>
      </c>
      <c r="AI36" s="223">
        <f>75000000+93750000+233900000</f>
        <v>402650000</v>
      </c>
      <c r="AJ36" s="224">
        <v>3.8100000000000002E-2</v>
      </c>
      <c r="AK36" s="208">
        <f t="shared" si="9"/>
        <v>42613.791666666664</v>
      </c>
      <c r="AL36" s="223">
        <f>60000000+10000000+40000000+100000000+145000000+56250000</f>
        <v>411250000</v>
      </c>
      <c r="AM36" s="224">
        <v>3.8300000000000001E-2</v>
      </c>
      <c r="AN36" s="208">
        <f t="shared" si="10"/>
        <v>43752.430555555555</v>
      </c>
      <c r="AO36" s="223"/>
      <c r="AP36" s="224"/>
      <c r="AQ36" s="208">
        <f t="shared" si="11"/>
        <v>0</v>
      </c>
      <c r="AR36" s="223"/>
      <c r="AS36" s="224"/>
      <c r="AT36" s="208">
        <f t="shared" si="12"/>
        <v>0</v>
      </c>
      <c r="AW36" s="208">
        <f t="shared" si="49"/>
        <v>0</v>
      </c>
      <c r="AZ36" s="208">
        <f t="shared" si="13"/>
        <v>0</v>
      </c>
      <c r="BA36" s="208">
        <v>154110000</v>
      </c>
      <c r="BB36" s="209">
        <v>3.85E-2</v>
      </c>
      <c r="BC36" s="208">
        <f t="shared" si="14"/>
        <v>16481.208333333332</v>
      </c>
      <c r="BD36" s="208">
        <v>45890000</v>
      </c>
      <c r="BE36" s="209">
        <v>3.8699999999999998E-2</v>
      </c>
      <c r="BF36" s="208">
        <f t="shared" si="15"/>
        <v>4933.1750000000002</v>
      </c>
      <c r="BI36" s="208">
        <f t="shared" si="16"/>
        <v>0</v>
      </c>
      <c r="BL36" s="208">
        <f t="shared" si="17"/>
        <v>0</v>
      </c>
      <c r="BO36" s="208">
        <f t="shared" si="18"/>
        <v>0</v>
      </c>
      <c r="BR36" s="208">
        <f t="shared" si="19"/>
        <v>0</v>
      </c>
      <c r="BU36" s="208">
        <f t="shared" si="20"/>
        <v>0</v>
      </c>
      <c r="BX36" s="208">
        <f t="shared" si="21"/>
        <v>0</v>
      </c>
      <c r="CA36" s="208">
        <f t="shared" si="22"/>
        <v>0</v>
      </c>
      <c r="CD36" s="208">
        <f t="shared" si="23"/>
        <v>0</v>
      </c>
      <c r="CG36" s="208">
        <f t="shared" si="24"/>
        <v>0</v>
      </c>
      <c r="CJ36" s="208">
        <f t="shared" si="25"/>
        <v>0</v>
      </c>
      <c r="CM36" s="208">
        <f t="shared" si="26"/>
        <v>0</v>
      </c>
      <c r="CP36" s="208">
        <f t="shared" si="27"/>
        <v>0</v>
      </c>
      <c r="CS36" s="208">
        <f t="shared" si="28"/>
        <v>0</v>
      </c>
      <c r="CV36" s="208">
        <f t="shared" si="29"/>
        <v>0</v>
      </c>
      <c r="CY36" s="208">
        <f t="shared" si="30"/>
        <v>0</v>
      </c>
      <c r="DB36" s="208">
        <f t="shared" si="31"/>
        <v>0</v>
      </c>
      <c r="DE36" s="208">
        <f t="shared" si="32"/>
        <v>0</v>
      </c>
      <c r="DH36" s="208">
        <f t="shared" si="33"/>
        <v>0</v>
      </c>
      <c r="DK36" s="208">
        <f t="shared" si="34"/>
        <v>0</v>
      </c>
      <c r="DN36" s="208">
        <f t="shared" si="35"/>
        <v>0</v>
      </c>
      <c r="DQ36" s="208">
        <f t="shared" si="36"/>
        <v>0</v>
      </c>
      <c r="DT36" s="208">
        <f t="shared" si="37"/>
        <v>0</v>
      </c>
      <c r="DW36" s="208">
        <f t="shared" si="38"/>
        <v>0</v>
      </c>
      <c r="DZ36" s="208"/>
      <c r="EA36" s="208"/>
      <c r="EB36" s="228">
        <f t="shared" si="51"/>
        <v>1013900000</v>
      </c>
      <c r="EC36" s="228">
        <f t="shared" si="39"/>
        <v>0</v>
      </c>
      <c r="ED36" s="208">
        <f t="shared" si="40"/>
        <v>107780.60555555555</v>
      </c>
      <c r="EE36" s="209">
        <f t="shared" si="41"/>
        <v>3.8269077818325274E-2</v>
      </c>
      <c r="EG36" s="228">
        <f t="shared" si="42"/>
        <v>0</v>
      </c>
      <c r="EH36" s="208">
        <f t="shared" si="43"/>
        <v>0</v>
      </c>
      <c r="EI36" s="209">
        <f t="shared" si="44"/>
        <v>0</v>
      </c>
      <c r="EJ36" s="209"/>
      <c r="EK36" s="228">
        <f t="shared" si="52"/>
        <v>1013900000</v>
      </c>
      <c r="EL36" s="228">
        <f t="shared" si="45"/>
        <v>0</v>
      </c>
      <c r="EM36" s="228">
        <f t="shared" si="46"/>
        <v>107780.60555555555</v>
      </c>
      <c r="EN36" s="209">
        <f t="shared" si="47"/>
        <v>3.8269077818325274E-2</v>
      </c>
      <c r="EP36" s="208"/>
    </row>
    <row r="37" spans="1:146" x14ac:dyDescent="0.25">
      <c r="A37" s="222">
        <f t="shared" si="48"/>
        <v>46080</v>
      </c>
      <c r="B37" s="208">
        <v>0</v>
      </c>
      <c r="C37" s="209">
        <v>3.8950249999999999E-2</v>
      </c>
      <c r="D37" s="208">
        <f t="shared" si="0"/>
        <v>0</v>
      </c>
      <c r="G37" s="208">
        <f t="shared" si="1"/>
        <v>0</v>
      </c>
      <c r="J37" s="208">
        <f t="shared" si="2"/>
        <v>0</v>
      </c>
      <c r="M37" s="208">
        <f t="shared" si="3"/>
        <v>0</v>
      </c>
      <c r="P37" s="208">
        <f t="shared" si="4"/>
        <v>0</v>
      </c>
      <c r="S37" s="208">
        <f t="shared" si="5"/>
        <v>0</v>
      </c>
      <c r="V37" s="208">
        <f t="shared" si="6"/>
        <v>0</v>
      </c>
      <c r="Y37" s="208">
        <f t="shared" si="7"/>
        <v>0</v>
      </c>
      <c r="AB37" s="208">
        <f t="shared" si="8"/>
        <v>0</v>
      </c>
      <c r="AE37" s="208">
        <v>0</v>
      </c>
      <c r="AH37" s="208">
        <v>0</v>
      </c>
      <c r="AI37" s="223">
        <f>165225000</f>
        <v>165225000</v>
      </c>
      <c r="AJ37" s="224">
        <v>3.8100000000000002E-2</v>
      </c>
      <c r="AK37" s="208">
        <f t="shared" si="9"/>
        <v>17486.3125</v>
      </c>
      <c r="AL37" s="223"/>
      <c r="AM37" s="224"/>
      <c r="AN37" s="208">
        <f t="shared" si="10"/>
        <v>0</v>
      </c>
      <c r="AO37" s="223"/>
      <c r="AP37" s="224"/>
      <c r="AQ37" s="208">
        <f t="shared" si="11"/>
        <v>0</v>
      </c>
      <c r="AR37" s="223"/>
      <c r="AS37" s="224"/>
      <c r="AT37" s="208">
        <f t="shared" si="12"/>
        <v>0</v>
      </c>
      <c r="AW37" s="208">
        <f t="shared" si="49"/>
        <v>0</v>
      </c>
      <c r="AZ37" s="208">
        <f t="shared" si="13"/>
        <v>0</v>
      </c>
      <c r="BC37" s="208">
        <f t="shared" si="14"/>
        <v>0</v>
      </c>
      <c r="BF37" s="208">
        <f t="shared" si="15"/>
        <v>0</v>
      </c>
      <c r="BI37" s="208">
        <f t="shared" si="16"/>
        <v>0</v>
      </c>
      <c r="BL37" s="208">
        <f t="shared" si="17"/>
        <v>0</v>
      </c>
      <c r="BO37" s="208">
        <f t="shared" si="18"/>
        <v>0</v>
      </c>
      <c r="BR37" s="208">
        <f t="shared" si="19"/>
        <v>0</v>
      </c>
      <c r="BU37" s="208">
        <f t="shared" si="20"/>
        <v>0</v>
      </c>
      <c r="BX37" s="208">
        <f t="shared" si="21"/>
        <v>0</v>
      </c>
      <c r="CA37" s="208">
        <f t="shared" si="22"/>
        <v>0</v>
      </c>
      <c r="CD37" s="208">
        <f t="shared" si="23"/>
        <v>0</v>
      </c>
      <c r="CG37" s="208">
        <f t="shared" si="24"/>
        <v>0</v>
      </c>
      <c r="CJ37" s="208">
        <f t="shared" si="25"/>
        <v>0</v>
      </c>
      <c r="CM37" s="208">
        <f t="shared" si="26"/>
        <v>0</v>
      </c>
      <c r="CP37" s="208">
        <f t="shared" si="27"/>
        <v>0</v>
      </c>
      <c r="CS37" s="208">
        <f t="shared" si="28"/>
        <v>0</v>
      </c>
      <c r="CV37" s="208">
        <f t="shared" si="29"/>
        <v>0</v>
      </c>
      <c r="CY37" s="208">
        <f t="shared" si="30"/>
        <v>0</v>
      </c>
      <c r="DB37" s="208">
        <f t="shared" si="31"/>
        <v>0</v>
      </c>
      <c r="DE37" s="208">
        <f t="shared" si="32"/>
        <v>0</v>
      </c>
      <c r="DH37" s="208">
        <f t="shared" si="33"/>
        <v>0</v>
      </c>
      <c r="DK37" s="208">
        <f t="shared" si="34"/>
        <v>0</v>
      </c>
      <c r="DN37" s="208">
        <f t="shared" si="35"/>
        <v>0</v>
      </c>
      <c r="DQ37" s="208">
        <f t="shared" si="36"/>
        <v>0</v>
      </c>
      <c r="DT37" s="208">
        <f t="shared" si="37"/>
        <v>0</v>
      </c>
      <c r="DW37" s="208">
        <f t="shared" si="38"/>
        <v>0</v>
      </c>
      <c r="DZ37" s="208"/>
      <c r="EA37" s="208"/>
      <c r="EB37" s="228">
        <f t="shared" si="51"/>
        <v>165225000</v>
      </c>
      <c r="EC37" s="228">
        <f t="shared" si="39"/>
        <v>0</v>
      </c>
      <c r="ED37" s="208">
        <f t="shared" si="40"/>
        <v>17486.3125</v>
      </c>
      <c r="EE37" s="209">
        <f t="shared" si="41"/>
        <v>3.8100000000000002E-2</v>
      </c>
      <c r="EG37" s="228">
        <f t="shared" si="42"/>
        <v>0</v>
      </c>
      <c r="EH37" s="208">
        <f t="shared" si="43"/>
        <v>0</v>
      </c>
      <c r="EI37" s="209">
        <f t="shared" si="44"/>
        <v>0</v>
      </c>
      <c r="EJ37" s="209"/>
      <c r="EK37" s="228">
        <f t="shared" si="52"/>
        <v>165225000</v>
      </c>
      <c r="EL37" s="228">
        <f t="shared" si="45"/>
        <v>0</v>
      </c>
      <c r="EM37" s="228">
        <f t="shared" si="46"/>
        <v>17486.3125</v>
      </c>
      <c r="EN37" s="209">
        <f t="shared" si="47"/>
        <v>3.8100000000000002E-2</v>
      </c>
      <c r="EP37" s="208"/>
    </row>
    <row r="38" spans="1:146" x14ac:dyDescent="0.25">
      <c r="A38" s="222">
        <f t="shared" si="48"/>
        <v>46081</v>
      </c>
      <c r="B38" s="208">
        <v>0</v>
      </c>
      <c r="C38" s="209">
        <v>3.8950249999999999E-2</v>
      </c>
      <c r="D38" s="249">
        <f t="shared" si="0"/>
        <v>0</v>
      </c>
      <c r="G38" s="249">
        <f t="shared" si="1"/>
        <v>0</v>
      </c>
      <c r="J38" s="208">
        <f t="shared" si="2"/>
        <v>0</v>
      </c>
      <c r="M38" s="208">
        <f t="shared" si="3"/>
        <v>0</v>
      </c>
      <c r="P38" s="208">
        <f t="shared" si="4"/>
        <v>0</v>
      </c>
      <c r="S38" s="208">
        <f t="shared" si="5"/>
        <v>0</v>
      </c>
      <c r="V38" s="208">
        <f t="shared" si="6"/>
        <v>0</v>
      </c>
      <c r="Y38" s="208">
        <f t="shared" si="7"/>
        <v>0</v>
      </c>
      <c r="AB38" s="208">
        <f t="shared" si="8"/>
        <v>0</v>
      </c>
      <c r="AE38" s="208">
        <v>0</v>
      </c>
      <c r="AH38" s="208">
        <v>0</v>
      </c>
      <c r="AI38" s="223">
        <f>165225000</f>
        <v>165225000</v>
      </c>
      <c r="AJ38" s="224">
        <v>3.8100000000000002E-2</v>
      </c>
      <c r="AK38" s="249">
        <f t="shared" si="9"/>
        <v>17486.3125</v>
      </c>
      <c r="AL38" s="223"/>
      <c r="AM38" s="224"/>
      <c r="AN38" s="249">
        <f t="shared" si="10"/>
        <v>0</v>
      </c>
      <c r="AO38" s="223"/>
      <c r="AP38" s="224"/>
      <c r="AQ38" s="249">
        <f t="shared" si="11"/>
        <v>0</v>
      </c>
      <c r="AR38" s="223"/>
      <c r="AS38" s="224"/>
      <c r="AT38" s="249">
        <f t="shared" si="12"/>
        <v>0</v>
      </c>
      <c r="AW38" s="249">
        <f t="shared" si="49"/>
        <v>0</v>
      </c>
      <c r="AZ38" s="249">
        <f t="shared" si="13"/>
        <v>0</v>
      </c>
      <c r="BC38" s="249">
        <f t="shared" si="14"/>
        <v>0</v>
      </c>
      <c r="BF38" s="249">
        <f t="shared" si="15"/>
        <v>0</v>
      </c>
      <c r="BI38" s="249">
        <f t="shared" si="16"/>
        <v>0</v>
      </c>
      <c r="BL38" s="249">
        <f t="shared" si="17"/>
        <v>0</v>
      </c>
      <c r="BO38" s="208">
        <f t="shared" si="18"/>
        <v>0</v>
      </c>
      <c r="BR38" s="208">
        <f t="shared" si="19"/>
        <v>0</v>
      </c>
      <c r="BU38" s="208">
        <f t="shared" si="20"/>
        <v>0</v>
      </c>
      <c r="BX38" s="208">
        <f t="shared" si="21"/>
        <v>0</v>
      </c>
      <c r="CA38" s="208">
        <f t="shared" si="22"/>
        <v>0</v>
      </c>
      <c r="CD38" s="208">
        <f t="shared" si="23"/>
        <v>0</v>
      </c>
      <c r="CG38" s="208">
        <f t="shared" si="24"/>
        <v>0</v>
      </c>
      <c r="CJ38" s="208">
        <f t="shared" si="25"/>
        <v>0</v>
      </c>
      <c r="CM38" s="208">
        <f t="shared" si="26"/>
        <v>0</v>
      </c>
      <c r="CP38" s="208">
        <f t="shared" si="27"/>
        <v>0</v>
      </c>
      <c r="CS38" s="208">
        <f t="shared" si="28"/>
        <v>0</v>
      </c>
      <c r="CV38" s="208">
        <f t="shared" si="29"/>
        <v>0</v>
      </c>
      <c r="CY38" s="208">
        <f t="shared" si="30"/>
        <v>0</v>
      </c>
      <c r="DB38" s="208">
        <f t="shared" si="31"/>
        <v>0</v>
      </c>
      <c r="DE38" s="208">
        <f t="shared" si="32"/>
        <v>0</v>
      </c>
      <c r="DH38" s="208">
        <f t="shared" si="33"/>
        <v>0</v>
      </c>
      <c r="DK38" s="208">
        <f t="shared" si="34"/>
        <v>0</v>
      </c>
      <c r="DN38" s="208">
        <f t="shared" si="35"/>
        <v>0</v>
      </c>
      <c r="DQ38" s="208">
        <f t="shared" si="36"/>
        <v>0</v>
      </c>
      <c r="DT38" s="208">
        <f t="shared" si="37"/>
        <v>0</v>
      </c>
      <c r="DW38" s="208">
        <f t="shared" si="38"/>
        <v>0</v>
      </c>
      <c r="DZ38" s="208"/>
      <c r="EA38" s="208"/>
      <c r="EB38" s="228">
        <f t="shared" si="51"/>
        <v>165225000</v>
      </c>
      <c r="EC38" s="228">
        <f t="shared" si="39"/>
        <v>0</v>
      </c>
      <c r="ED38" s="249">
        <f t="shared" si="40"/>
        <v>17486.3125</v>
      </c>
      <c r="EE38" s="209">
        <f t="shared" si="41"/>
        <v>3.8100000000000002E-2</v>
      </c>
      <c r="EG38" s="228">
        <f t="shared" si="42"/>
        <v>0</v>
      </c>
      <c r="EH38" s="208">
        <f t="shared" si="43"/>
        <v>0</v>
      </c>
      <c r="EI38" s="209">
        <f t="shared" si="44"/>
        <v>0</v>
      </c>
      <c r="EJ38" s="209"/>
      <c r="EK38" s="228">
        <f t="shared" si="52"/>
        <v>165225000</v>
      </c>
      <c r="EL38" s="228">
        <f t="shared" si="45"/>
        <v>0</v>
      </c>
      <c r="EM38" s="250">
        <f t="shared" si="46"/>
        <v>17486.3125</v>
      </c>
      <c r="EN38" s="209">
        <f t="shared" si="47"/>
        <v>3.8100000000000002E-2</v>
      </c>
      <c r="EP38" s="208"/>
    </row>
    <row r="39" spans="1:146" x14ac:dyDescent="0.25">
      <c r="A39" s="222" t="s">
        <v>35</v>
      </c>
      <c r="D39" s="208">
        <f>SUM(D11:D38)</f>
        <v>12614.433206944444</v>
      </c>
      <c r="G39" s="208">
        <f>SUM(G11:G38)</f>
        <v>0</v>
      </c>
      <c r="J39" s="208">
        <f>SUM(J11:J38)</f>
        <v>0</v>
      </c>
      <c r="M39" s="208">
        <f>SUM(M11:M38)</f>
        <v>0</v>
      </c>
      <c r="P39" s="208">
        <f>SUM(P11:P38)</f>
        <v>0</v>
      </c>
      <c r="S39" s="208">
        <f>SUM(S11:S38)</f>
        <v>0</v>
      </c>
      <c r="V39" s="208">
        <f>SUM(V11:V38)</f>
        <v>0</v>
      </c>
      <c r="Y39" s="208">
        <f>SUM(Y11:Y38)</f>
        <v>0</v>
      </c>
      <c r="AB39" s="208">
        <f>SUM(AB11:AB38)</f>
        <v>0</v>
      </c>
      <c r="AE39" s="208">
        <f>SUM(AE11:AE38)</f>
        <v>0</v>
      </c>
      <c r="AH39" s="208">
        <f>SUM(AH11:AH38)</f>
        <v>0</v>
      </c>
      <c r="AI39" s="223"/>
      <c r="AJ39" s="224"/>
      <c r="AK39" s="208">
        <f>SUM(AK11:AK38)</f>
        <v>1125606.1902777778</v>
      </c>
      <c r="AL39" s="223"/>
      <c r="AM39" s="224"/>
      <c r="AN39" s="208">
        <f>SUM(AN11:AN38)</f>
        <v>138094.29722222223</v>
      </c>
      <c r="AO39" s="223"/>
      <c r="AP39" s="224"/>
      <c r="AQ39" s="208">
        <f>SUM(AQ11:AQ38)</f>
        <v>102388.88888888891</v>
      </c>
      <c r="AR39" s="223"/>
      <c r="AS39" s="224"/>
      <c r="AT39" s="208">
        <f>SUM(AT11:AT38)</f>
        <v>239513.83333333326</v>
      </c>
      <c r="AW39" s="208">
        <f>SUM(AW11:AW38)</f>
        <v>297765.27777777781</v>
      </c>
      <c r="AZ39" s="208">
        <f>SUM(AZ11:AZ38)</f>
        <v>55785.970000000008</v>
      </c>
      <c r="BC39" s="208">
        <f>SUM(BC11:BC38)</f>
        <v>175826.29166666672</v>
      </c>
      <c r="BF39" s="208">
        <f>SUM(BF11:BF38)</f>
        <v>240549.52499999997</v>
      </c>
      <c r="BI39" s="208">
        <f>SUM(BI11:BI38)</f>
        <v>97560.347222222219</v>
      </c>
      <c r="BL39" s="208">
        <f>SUM(BL11:BL38)</f>
        <v>37527.777777777774</v>
      </c>
      <c r="BO39" s="208">
        <f>SUM(BO11:BO38)</f>
        <v>0</v>
      </c>
      <c r="BR39" s="208">
        <f>SUM(BR11:BR38)</f>
        <v>0</v>
      </c>
      <c r="BU39" s="208">
        <f>SUM(BU11:BU38)</f>
        <v>0</v>
      </c>
      <c r="BX39" s="208">
        <f>SUM(BX11:BX38)</f>
        <v>0</v>
      </c>
      <c r="CA39" s="208">
        <f>SUM(CA11:CA38)</f>
        <v>0</v>
      </c>
      <c r="CD39" s="208">
        <f>SUM(CD11:CD38)</f>
        <v>0</v>
      </c>
      <c r="CG39" s="208">
        <f>SUM(CG11:CG38)</f>
        <v>0</v>
      </c>
      <c r="CJ39" s="208">
        <f>SUM(CJ11:CJ38)</f>
        <v>0</v>
      </c>
      <c r="CM39" s="208">
        <f>SUM(CM11:CM38)</f>
        <v>0</v>
      </c>
      <c r="CP39" s="208">
        <f>SUM(CP11:CP38)</f>
        <v>0</v>
      </c>
      <c r="CS39" s="208">
        <f>SUM(CS11:CS38)</f>
        <v>0</v>
      </c>
      <c r="CV39" s="208">
        <f>SUM(CV11:CV38)</f>
        <v>0</v>
      </c>
      <c r="CY39" s="208">
        <f>SUM(CY11:CY38)</f>
        <v>0</v>
      </c>
      <c r="DB39" s="208">
        <f>SUM(DB11:DB38)</f>
        <v>0</v>
      </c>
      <c r="DE39" s="208">
        <f>SUM(DE11:DE38)</f>
        <v>0</v>
      </c>
      <c r="DH39" s="208">
        <f>SUM(DH11:DH38)</f>
        <v>0</v>
      </c>
      <c r="DK39" s="208">
        <f>SUM(DK11:DK38)</f>
        <v>0</v>
      </c>
      <c r="DN39" s="208">
        <f>SUM(DN11:DN38)</f>
        <v>0</v>
      </c>
      <c r="DQ39" s="208">
        <f>SUM(DQ11:DQ38)</f>
        <v>0</v>
      </c>
      <c r="DT39" s="208">
        <f>SUM(DT11:DT38)</f>
        <v>0</v>
      </c>
      <c r="DW39" s="208">
        <f>SUM(DW11:DW38)</f>
        <v>0</v>
      </c>
      <c r="DZ39" s="208"/>
      <c r="EA39" s="208"/>
      <c r="EB39" s="228"/>
      <c r="EC39" s="228"/>
      <c r="ED39" s="208">
        <f>SUM(ED11:ED38)</f>
        <v>2523232.8323736107</v>
      </c>
      <c r="EE39" s="209"/>
      <c r="EG39" s="228"/>
      <c r="EH39" s="208">
        <f>SUM(EH11:EH38)</f>
        <v>0</v>
      </c>
      <c r="EI39" s="209"/>
      <c r="EJ39" s="209"/>
      <c r="EK39" s="228"/>
      <c r="EL39" s="228"/>
      <c r="EM39" s="228">
        <f>SUM(EM11:EM38)</f>
        <v>2510618.3991666669</v>
      </c>
      <c r="EN39" s="209"/>
      <c r="EP39" s="208"/>
    </row>
    <row r="40" spans="1:146" x14ac:dyDescent="0.25">
      <c r="A40" s="222"/>
      <c r="D40" s="208"/>
      <c r="G40" s="208"/>
      <c r="J40" s="208"/>
      <c r="M40" s="208"/>
      <c r="P40" s="208"/>
      <c r="S40" s="208"/>
      <c r="V40" s="208"/>
      <c r="Y40" s="208"/>
      <c r="AB40" s="208"/>
      <c r="AE40" s="208"/>
      <c r="AH40" s="208"/>
      <c r="AI40" s="223"/>
      <c r="AJ40" s="224"/>
      <c r="AK40" s="208"/>
      <c r="AL40" s="223"/>
      <c r="AM40" s="224"/>
      <c r="AN40" s="208"/>
      <c r="AO40" s="223"/>
      <c r="AP40" s="224"/>
      <c r="AQ40" s="208"/>
      <c r="AR40" s="223"/>
      <c r="AS40" s="224"/>
      <c r="AT40" s="208"/>
      <c r="AW40" s="208"/>
      <c r="AZ40" s="208"/>
      <c r="BC40" s="208"/>
      <c r="BF40" s="208"/>
      <c r="BI40" s="208"/>
      <c r="BL40" s="208"/>
      <c r="BO40" s="208"/>
      <c r="BR40" s="208"/>
      <c r="BU40" s="208"/>
      <c r="BX40" s="208"/>
      <c r="CA40" s="208"/>
      <c r="CD40" s="208"/>
      <c r="CG40" s="208"/>
      <c r="CJ40" s="208"/>
      <c r="CM40" s="208"/>
      <c r="CP40" s="208"/>
      <c r="CS40" s="208"/>
      <c r="CV40" s="208"/>
      <c r="CY40" s="208"/>
      <c r="DB40" s="208"/>
      <c r="DE40" s="208"/>
      <c r="DH40" s="208"/>
      <c r="DK40" s="208"/>
      <c r="DN40" s="208"/>
      <c r="DQ40" s="208"/>
      <c r="DT40" s="208"/>
      <c r="DW40" s="208"/>
      <c r="DZ40" s="208"/>
      <c r="EA40" s="208"/>
      <c r="EB40" s="228"/>
      <c r="EC40" s="228"/>
      <c r="ED40" s="208"/>
      <c r="EE40" s="209"/>
      <c r="EG40" s="228"/>
      <c r="EH40" s="208"/>
      <c r="EI40" s="209"/>
      <c r="EJ40" s="209"/>
      <c r="EK40" s="228"/>
      <c r="EL40" s="228"/>
      <c r="EM40" s="228"/>
      <c r="EN40" s="209"/>
      <c r="EP40" s="208"/>
    </row>
    <row r="41" spans="1:146" x14ac:dyDescent="0.25">
      <c r="A41" s="243"/>
      <c r="D41" s="208"/>
      <c r="G41" s="208"/>
      <c r="J41" s="208"/>
      <c r="M41" s="208"/>
      <c r="P41" s="208"/>
      <c r="S41" s="208"/>
      <c r="V41" s="208"/>
      <c r="Y41" s="208"/>
      <c r="AB41" s="208"/>
      <c r="AE41" s="208"/>
      <c r="AH41" s="208"/>
      <c r="AK41" s="208"/>
      <c r="AN41" s="208"/>
      <c r="AQ41" s="208"/>
      <c r="AT41" s="208"/>
      <c r="AW41" s="208"/>
      <c r="AZ41" s="208"/>
      <c r="BC41" s="208"/>
      <c r="BF41" s="208"/>
      <c r="BI41" s="208"/>
      <c r="BL41" s="208"/>
      <c r="BO41" s="208"/>
      <c r="BR41" s="208"/>
      <c r="BU41" s="208"/>
      <c r="BX41" s="208"/>
      <c r="CA41" s="208"/>
      <c r="CD41" s="208"/>
      <c r="CG41" s="208"/>
      <c r="CJ41" s="208"/>
      <c r="CM41" s="208"/>
      <c r="CP41" s="208"/>
      <c r="CS41" s="208"/>
      <c r="CV41" s="208"/>
      <c r="CY41" s="208"/>
      <c r="DB41" s="208"/>
      <c r="DE41" s="208"/>
      <c r="DH41" s="208"/>
      <c r="DK41" s="208"/>
      <c r="DN41" s="208"/>
      <c r="DQ41" s="208"/>
      <c r="DT41" s="208"/>
      <c r="DW41" s="208"/>
      <c r="DZ41" s="208"/>
      <c r="EA41" s="208"/>
      <c r="EB41" s="208"/>
      <c r="EC41" s="208"/>
      <c r="ED41" s="208"/>
      <c r="EE41" s="209"/>
      <c r="EG41" s="208"/>
      <c r="EH41" s="208"/>
      <c r="EI41" s="209"/>
      <c r="EJ41" s="209"/>
      <c r="EK41" s="208"/>
      <c r="EL41" s="208"/>
      <c r="EM41" s="208"/>
      <c r="EN41" s="209"/>
    </row>
    <row r="43" spans="1:146" x14ac:dyDescent="0.25">
      <c r="EM43" s="226"/>
    </row>
    <row r="44" spans="1:146" x14ac:dyDescent="0.25">
      <c r="EM44" s="208"/>
    </row>
    <row r="45" spans="1:146" x14ac:dyDescent="0.25">
      <c r="EM45" s="208"/>
    </row>
    <row r="47" spans="1:146" x14ac:dyDescent="0.25">
      <c r="EM47" s="208"/>
    </row>
  </sheetData>
  <pageMargins left="0.7" right="0.7" top="0.75" bottom="0.75" header="0.3" footer="0.3"/>
  <pageSetup scale="60" orientation="portrait" r:id="rId1"/>
  <headerFooter>
    <oddFooter>&amp;CSchedule RL-1</oddFooter>
  </headerFooter>
  <colBreaks count="5" manualBreakCount="5">
    <brk id="34" max="1048575" man="1"/>
    <brk id="43" max="1048575" man="1"/>
    <brk id="52" max="38" man="1"/>
    <brk id="61" max="38" man="1"/>
    <brk id="140" max="38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6"/>
  <dimension ref="A1:EQ47"/>
  <sheetViews>
    <sheetView zoomScaleNormal="100" workbookViewId="0">
      <selection activeCell="B1" sqref="B1"/>
    </sheetView>
  </sheetViews>
  <sheetFormatPr defaultRowHeight="15" x14ac:dyDescent="0.25"/>
  <cols>
    <col min="1" max="1" width="14.5703125" style="166" bestFit="1" customWidth="1"/>
    <col min="2" max="2" width="17.42578125" style="208" customWidth="1"/>
    <col min="3" max="3" width="15.42578125" style="209" bestFit="1" customWidth="1"/>
    <col min="4" max="4" width="15.42578125" style="166" bestFit="1" customWidth="1"/>
    <col min="5" max="5" width="15.5703125" style="208" bestFit="1" customWidth="1"/>
    <col min="6" max="6" width="12.28515625" style="209" bestFit="1" customWidth="1"/>
    <col min="7" max="7" width="18.42578125" style="166" bestFit="1" customWidth="1"/>
    <col min="8" max="8" width="15.42578125" style="208" hidden="1" customWidth="1"/>
    <col min="9" max="9" width="10.28515625" style="209" hidden="1" customWidth="1"/>
    <col min="10" max="10" width="13.42578125" style="166" hidden="1" customWidth="1"/>
    <col min="11" max="11" width="14.42578125" style="208" hidden="1" customWidth="1"/>
    <col min="12" max="12" width="10.28515625" style="209" hidden="1" customWidth="1"/>
    <col min="13" max="13" width="11.7109375" style="166" hidden="1" customWidth="1"/>
    <col min="14" max="14" width="14.42578125" style="208" hidden="1" customWidth="1"/>
    <col min="15" max="15" width="10.28515625" style="209" hidden="1" customWidth="1"/>
    <col min="16" max="16" width="11.7109375" style="166" hidden="1" customWidth="1"/>
    <col min="17" max="17" width="15.42578125" style="208" hidden="1" customWidth="1"/>
    <col min="18" max="18" width="10.28515625" style="209" hidden="1" customWidth="1"/>
    <col min="19" max="19" width="11.7109375" style="166" hidden="1" customWidth="1"/>
    <col min="20" max="20" width="15.42578125" style="208" hidden="1" customWidth="1"/>
    <col min="21" max="21" width="10.28515625" style="209" hidden="1" customWidth="1"/>
    <col min="22" max="22" width="11.7109375" style="166" hidden="1" customWidth="1"/>
    <col min="23" max="23" width="15.42578125" style="208" hidden="1" customWidth="1"/>
    <col min="24" max="24" width="10.28515625" style="209" hidden="1" customWidth="1"/>
    <col min="25" max="25" width="11.7109375" style="166" hidden="1" customWidth="1"/>
    <col min="26" max="26" width="15.42578125" style="208" hidden="1" customWidth="1"/>
    <col min="27" max="27" width="10.28515625" style="209" hidden="1" customWidth="1"/>
    <col min="28" max="28" width="11.7109375" style="166" hidden="1" customWidth="1"/>
    <col min="29" max="29" width="15.42578125" style="208" hidden="1" customWidth="1"/>
    <col min="30" max="30" width="10.28515625" style="209" hidden="1" customWidth="1"/>
    <col min="31" max="31" width="11.7109375" style="166" hidden="1" customWidth="1"/>
    <col min="32" max="32" width="14.42578125" style="208" hidden="1" customWidth="1"/>
    <col min="33" max="33" width="10.28515625" style="209" hidden="1" customWidth="1"/>
    <col min="34" max="34" width="10.7109375" style="166" hidden="1" customWidth="1"/>
    <col min="35" max="35" width="19.42578125" style="208" customWidth="1"/>
    <col min="36" max="36" width="11.7109375" style="209" customWidth="1"/>
    <col min="37" max="37" width="13.7109375" style="166" bestFit="1" customWidth="1"/>
    <col min="38" max="38" width="14.42578125" style="208" customWidth="1"/>
    <col min="39" max="39" width="13.140625" style="209" customWidth="1"/>
    <col min="40" max="40" width="13.7109375" style="166" bestFit="1" customWidth="1"/>
    <col min="41" max="41" width="15.42578125" style="208" bestFit="1" customWidth="1"/>
    <col min="42" max="42" width="12.28515625" style="209" bestFit="1" customWidth="1"/>
    <col min="43" max="43" width="12.5703125" style="166" bestFit="1" customWidth="1"/>
    <col min="44" max="44" width="15.42578125" style="208" bestFit="1" customWidth="1"/>
    <col min="45" max="45" width="13.5703125" style="209" customWidth="1"/>
    <col min="46" max="46" width="11.7109375" style="166" bestFit="1" customWidth="1"/>
    <col min="47" max="47" width="14.42578125" style="208" customWidth="1"/>
    <col min="48" max="48" width="10.28515625" style="209" customWidth="1"/>
    <col min="49" max="49" width="10.7109375" style="166" customWidth="1"/>
    <col min="50" max="50" width="14.42578125" style="208" customWidth="1"/>
    <col min="51" max="51" width="10.28515625" style="209" customWidth="1"/>
    <col min="52" max="52" width="10.7109375" style="166" customWidth="1"/>
    <col min="53" max="53" width="14.42578125" style="208" customWidth="1"/>
    <col min="54" max="54" width="10.28515625" style="209" customWidth="1"/>
    <col min="55" max="55" width="10.7109375" style="166" customWidth="1"/>
    <col min="56" max="56" width="14.42578125" style="208" customWidth="1"/>
    <col min="57" max="57" width="10.28515625" style="209" customWidth="1"/>
    <col min="58" max="58" width="10.7109375" style="166" customWidth="1"/>
    <col min="59" max="59" width="14.42578125" style="208" customWidth="1"/>
    <col min="60" max="60" width="10.28515625" style="209" customWidth="1"/>
    <col min="61" max="61" width="10.7109375" style="166" customWidth="1"/>
    <col min="62" max="62" width="14.42578125" style="208" customWidth="1"/>
    <col min="63" max="63" width="10.28515625" style="209" customWidth="1"/>
    <col min="64" max="64" width="10.7109375" style="166" customWidth="1"/>
    <col min="65" max="65" width="14.42578125" style="208" hidden="1" customWidth="1"/>
    <col min="66" max="66" width="10.28515625" style="209" hidden="1" customWidth="1"/>
    <col min="67" max="67" width="10.7109375" style="166" hidden="1" customWidth="1"/>
    <col min="68" max="68" width="14.42578125" style="208" hidden="1" customWidth="1"/>
    <col min="69" max="69" width="10.28515625" style="209" hidden="1" customWidth="1"/>
    <col min="70" max="70" width="10.7109375" style="166" hidden="1" customWidth="1"/>
    <col min="71" max="71" width="14.42578125" style="208" hidden="1" customWidth="1"/>
    <col min="72" max="72" width="10.28515625" style="209" hidden="1" customWidth="1"/>
    <col min="73" max="73" width="10.7109375" style="166" hidden="1" customWidth="1"/>
    <col min="74" max="74" width="14.42578125" style="208" hidden="1" customWidth="1"/>
    <col min="75" max="75" width="10.28515625" style="209" hidden="1" customWidth="1"/>
    <col min="76" max="76" width="10.7109375" style="166" hidden="1" customWidth="1"/>
    <col min="77" max="77" width="14.42578125" style="208" hidden="1" customWidth="1"/>
    <col min="78" max="78" width="10.28515625" style="209" hidden="1" customWidth="1"/>
    <col min="79" max="79" width="10.7109375" style="166" hidden="1" customWidth="1"/>
    <col min="80" max="80" width="14.42578125" style="208" hidden="1" customWidth="1"/>
    <col min="81" max="81" width="10.28515625" style="209" hidden="1" customWidth="1"/>
    <col min="82" max="82" width="10.7109375" style="166" hidden="1" customWidth="1"/>
    <col min="83" max="83" width="14.42578125" style="208" hidden="1" customWidth="1"/>
    <col min="84" max="84" width="10.28515625" style="209" hidden="1" customWidth="1"/>
    <col min="85" max="85" width="10.7109375" style="166" hidden="1" customWidth="1"/>
    <col min="86" max="86" width="14.42578125" style="208" hidden="1" customWidth="1"/>
    <col min="87" max="87" width="10.28515625" style="209" hidden="1" customWidth="1"/>
    <col min="88" max="88" width="10.7109375" style="166" hidden="1" customWidth="1"/>
    <col min="89" max="89" width="14.42578125" style="208" hidden="1" customWidth="1"/>
    <col min="90" max="90" width="10.28515625" style="209" hidden="1" customWidth="1"/>
    <col min="91" max="91" width="10.7109375" style="166" hidden="1" customWidth="1"/>
    <col min="92" max="92" width="14.42578125" style="208" hidden="1" customWidth="1"/>
    <col min="93" max="93" width="10.28515625" style="209" hidden="1" customWidth="1"/>
    <col min="94" max="94" width="10.7109375" style="166" hidden="1" customWidth="1"/>
    <col min="95" max="95" width="14.42578125" style="208" hidden="1" customWidth="1"/>
    <col min="96" max="96" width="10.28515625" style="209" hidden="1" customWidth="1"/>
    <col min="97" max="97" width="10.7109375" style="166" hidden="1" customWidth="1"/>
    <col min="98" max="98" width="14.42578125" style="208" hidden="1" customWidth="1"/>
    <col min="99" max="99" width="10.28515625" style="209" hidden="1" customWidth="1"/>
    <col min="100" max="100" width="10.7109375" style="166" hidden="1" customWidth="1"/>
    <col min="101" max="101" width="14.42578125" style="208" hidden="1" customWidth="1"/>
    <col min="102" max="102" width="10.28515625" style="209" hidden="1" customWidth="1"/>
    <col min="103" max="103" width="10.7109375" style="166" hidden="1" customWidth="1"/>
    <col min="104" max="104" width="14.42578125" style="208" hidden="1" customWidth="1"/>
    <col min="105" max="105" width="10.28515625" style="209" hidden="1" customWidth="1"/>
    <col min="106" max="106" width="10.7109375" style="166" hidden="1" customWidth="1"/>
    <col min="107" max="107" width="14.42578125" style="208" hidden="1" customWidth="1"/>
    <col min="108" max="108" width="10.28515625" style="209" hidden="1" customWidth="1"/>
    <col min="109" max="109" width="10.7109375" style="166" hidden="1" customWidth="1"/>
    <col min="110" max="110" width="14.42578125" style="208" hidden="1" customWidth="1"/>
    <col min="111" max="111" width="10.28515625" style="209" hidden="1" customWidth="1"/>
    <col min="112" max="112" width="10.7109375" style="166" hidden="1" customWidth="1"/>
    <col min="113" max="113" width="14.42578125" style="208" hidden="1" customWidth="1"/>
    <col min="114" max="114" width="10.28515625" style="209" hidden="1" customWidth="1"/>
    <col min="115" max="115" width="10.7109375" style="166" hidden="1" customWidth="1"/>
    <col min="116" max="116" width="14.42578125" style="208" hidden="1" customWidth="1"/>
    <col min="117" max="117" width="10.28515625" style="209" hidden="1" customWidth="1"/>
    <col min="118" max="118" width="10.7109375" style="166" hidden="1" customWidth="1"/>
    <col min="119" max="119" width="14.42578125" style="208" hidden="1" customWidth="1"/>
    <col min="120" max="120" width="10.28515625" style="209" hidden="1" customWidth="1"/>
    <col min="121" max="121" width="10.7109375" style="166" hidden="1" customWidth="1"/>
    <col min="122" max="122" width="14.42578125" style="208" hidden="1" customWidth="1"/>
    <col min="123" max="123" width="10.28515625" style="209" hidden="1" customWidth="1"/>
    <col min="124" max="124" width="10.7109375" style="166" hidden="1" customWidth="1"/>
    <col min="125" max="125" width="14.42578125" style="208" hidden="1" customWidth="1"/>
    <col min="126" max="126" width="10.28515625" style="209" hidden="1" customWidth="1"/>
    <col min="127" max="127" width="10.7109375" style="166" hidden="1" customWidth="1"/>
    <col min="128" max="128" width="14.42578125" style="208" hidden="1" customWidth="1"/>
    <col min="129" max="129" width="10.28515625" style="209" hidden="1" customWidth="1"/>
    <col min="130" max="130" width="10.7109375" style="166" hidden="1" customWidth="1"/>
    <col min="131" max="131" width="2.7109375" style="166" customWidth="1"/>
    <col min="132" max="132" width="18.7109375" style="166" customWidth="1"/>
    <col min="133" max="133" width="15.42578125" style="166" hidden="1" customWidth="1"/>
    <col min="134" max="134" width="14.42578125" style="166" bestFit="1" customWidth="1"/>
    <col min="135" max="135" width="20.140625" style="166" customWidth="1"/>
    <col min="136" max="136" width="2.7109375" style="166" customWidth="1"/>
    <col min="137" max="137" width="15.42578125" style="166" hidden="1" customWidth="1"/>
    <col min="138" max="138" width="14.42578125" style="166" hidden="1" customWidth="1"/>
    <col min="139" max="139" width="12.42578125" style="166" hidden="1" customWidth="1"/>
    <col min="140" max="140" width="2.7109375" style="166" hidden="1" customWidth="1"/>
    <col min="141" max="141" width="18.5703125" style="166" customWidth="1"/>
    <col min="142" max="142" width="15.42578125" style="166" hidden="1" customWidth="1"/>
    <col min="143" max="143" width="14.42578125" style="166" bestFit="1" customWidth="1"/>
    <col min="144" max="144" width="18.42578125" style="166" bestFit="1" customWidth="1"/>
    <col min="145" max="145" width="42.85546875" style="166" bestFit="1" customWidth="1"/>
    <col min="146" max="146" width="19.42578125" style="166" bestFit="1" customWidth="1"/>
    <col min="147" max="147" width="23.140625" style="166" bestFit="1" customWidth="1"/>
    <col min="148" max="16384" width="9.140625" style="166"/>
  </cols>
  <sheetData>
    <row r="1" spans="1:147" s="175" customFormat="1" x14ac:dyDescent="0.25">
      <c r="A1" s="227" t="s">
        <v>0</v>
      </c>
      <c r="B1" s="228"/>
      <c r="C1" s="229"/>
      <c r="E1" s="228"/>
      <c r="F1" s="229"/>
      <c r="H1" s="228"/>
      <c r="I1" s="229"/>
      <c r="K1" s="228"/>
      <c r="L1" s="229"/>
      <c r="N1" s="228"/>
      <c r="O1" s="229"/>
      <c r="Q1" s="228"/>
      <c r="R1" s="229"/>
      <c r="T1" s="228"/>
      <c r="U1" s="229"/>
      <c r="W1" s="228"/>
      <c r="X1" s="229"/>
      <c r="Z1" s="228"/>
      <c r="AA1" s="229"/>
      <c r="AC1" s="228"/>
      <c r="AD1" s="229"/>
      <c r="AF1" s="228"/>
      <c r="AG1" s="229"/>
      <c r="AI1" s="228"/>
      <c r="AJ1" s="229"/>
      <c r="AL1" s="228"/>
      <c r="AM1" s="229"/>
      <c r="AO1" s="228"/>
      <c r="AP1" s="229"/>
      <c r="AR1" s="228"/>
      <c r="AS1" s="229"/>
      <c r="AU1" s="228"/>
      <c r="AV1" s="229"/>
      <c r="AX1" s="228"/>
      <c r="AY1" s="229"/>
      <c r="BA1" s="228"/>
      <c r="BB1" s="229"/>
      <c r="BD1" s="228"/>
      <c r="BE1" s="229"/>
      <c r="BG1" s="228"/>
      <c r="BH1" s="229"/>
      <c r="BJ1" s="228"/>
      <c r="BK1" s="229"/>
      <c r="BM1" s="228"/>
      <c r="BN1" s="229"/>
      <c r="BP1" s="228"/>
      <c r="BQ1" s="229"/>
      <c r="BS1" s="228"/>
      <c r="BT1" s="229"/>
      <c r="BV1" s="228"/>
      <c r="BW1" s="229"/>
      <c r="BY1" s="228"/>
      <c r="BZ1" s="229"/>
      <c r="CB1" s="228"/>
      <c r="CC1" s="229"/>
      <c r="CE1" s="228"/>
      <c r="CF1" s="229"/>
      <c r="CH1" s="228"/>
      <c r="CI1" s="229"/>
      <c r="CK1" s="228"/>
      <c r="CL1" s="229"/>
      <c r="CN1" s="228"/>
      <c r="CO1" s="229"/>
      <c r="CQ1" s="228"/>
      <c r="CR1" s="229"/>
      <c r="CT1" s="228"/>
      <c r="CU1" s="229"/>
      <c r="CW1" s="228"/>
      <c r="CX1" s="229"/>
      <c r="CZ1" s="228"/>
      <c r="DA1" s="229"/>
      <c r="DC1" s="228"/>
      <c r="DD1" s="229"/>
      <c r="DF1" s="228"/>
      <c r="DG1" s="229"/>
      <c r="DI1" s="228"/>
      <c r="DJ1" s="229"/>
      <c r="DL1" s="228"/>
      <c r="DM1" s="229"/>
      <c r="DO1" s="228"/>
      <c r="DP1" s="229"/>
      <c r="DR1" s="228"/>
      <c r="DS1" s="229"/>
      <c r="DU1" s="228"/>
      <c r="DV1" s="229"/>
      <c r="DX1" s="228"/>
      <c r="DY1" s="229"/>
      <c r="DZ1" s="230"/>
      <c r="ED1" s="169"/>
      <c r="EE1" s="231" t="s">
        <v>37</v>
      </c>
      <c r="EI1" s="169" t="s">
        <v>38</v>
      </c>
      <c r="EM1" s="169"/>
      <c r="EN1" s="169" t="s">
        <v>39</v>
      </c>
      <c r="EO1" s="227" t="s">
        <v>40</v>
      </c>
      <c r="EP1" s="227" t="s">
        <v>41</v>
      </c>
      <c r="EQ1" s="227" t="s">
        <v>42</v>
      </c>
    </row>
    <row r="2" spans="1:147" s="175" customFormat="1" ht="15.75" thickBot="1" x14ac:dyDescent="0.3">
      <c r="A2" s="227" t="s">
        <v>43</v>
      </c>
      <c r="B2" s="228"/>
      <c r="C2" s="229"/>
      <c r="E2" s="230"/>
      <c r="F2" s="229"/>
      <c r="G2" s="169"/>
      <c r="H2" s="228"/>
      <c r="I2" s="229"/>
      <c r="K2" s="228"/>
      <c r="L2" s="229"/>
      <c r="N2" s="228"/>
      <c r="O2" s="229"/>
      <c r="Q2" s="228"/>
      <c r="R2" s="229"/>
      <c r="T2" s="228"/>
      <c r="U2" s="229"/>
      <c r="W2" s="228"/>
      <c r="X2" s="229"/>
      <c r="Z2" s="228"/>
      <c r="AA2" s="229"/>
      <c r="AC2" s="228"/>
      <c r="AD2" s="229"/>
      <c r="AF2" s="228"/>
      <c r="AG2" s="229"/>
      <c r="AI2" s="228"/>
      <c r="AJ2" s="229"/>
      <c r="AL2" s="228"/>
      <c r="AM2" s="229"/>
      <c r="AO2" s="228"/>
      <c r="AP2" s="229"/>
      <c r="AR2" s="228"/>
      <c r="AS2" s="229"/>
      <c r="AU2" s="228"/>
      <c r="AV2" s="229"/>
      <c r="AX2" s="228"/>
      <c r="AY2" s="229"/>
      <c r="BA2" s="228"/>
      <c r="BB2" s="229"/>
      <c r="BD2" s="228"/>
      <c r="BE2" s="229"/>
      <c r="BG2" s="228"/>
      <c r="BH2" s="229"/>
      <c r="BJ2" s="228"/>
      <c r="BK2" s="229"/>
      <c r="BM2" s="228"/>
      <c r="BN2" s="229"/>
      <c r="BP2" s="228"/>
      <c r="BQ2" s="229"/>
      <c r="BS2" s="228"/>
      <c r="BT2" s="229"/>
      <c r="BV2" s="228"/>
      <c r="BW2" s="229"/>
      <c r="BY2" s="228"/>
      <c r="BZ2" s="229"/>
      <c r="CB2" s="228"/>
      <c r="CC2" s="229"/>
      <c r="CE2" s="228"/>
      <c r="CF2" s="229"/>
      <c r="CH2" s="228"/>
      <c r="CI2" s="229"/>
      <c r="CK2" s="228"/>
      <c r="CL2" s="229"/>
      <c r="CN2" s="228"/>
      <c r="CO2" s="229"/>
      <c r="CQ2" s="228"/>
      <c r="CR2" s="229"/>
      <c r="CT2" s="228"/>
      <c r="CU2" s="229"/>
      <c r="CW2" s="228"/>
      <c r="CX2" s="229"/>
      <c r="CZ2" s="228"/>
      <c r="DA2" s="229"/>
      <c r="DC2" s="228"/>
      <c r="DD2" s="229"/>
      <c r="DF2" s="228"/>
      <c r="DG2" s="229"/>
      <c r="DI2" s="228"/>
      <c r="DJ2" s="229"/>
      <c r="DL2" s="228"/>
      <c r="DM2" s="229"/>
      <c r="DO2" s="228"/>
      <c r="DP2" s="229"/>
      <c r="DR2" s="228"/>
      <c r="DS2" s="229"/>
      <c r="DU2" s="228"/>
      <c r="DV2" s="229"/>
      <c r="DX2" s="228"/>
      <c r="DY2" s="229"/>
      <c r="EB2" s="166" t="s">
        <v>44</v>
      </c>
      <c r="EC2" s="166"/>
      <c r="ED2" s="208"/>
      <c r="EE2" s="208">
        <f>EB41</f>
        <v>279700000</v>
      </c>
      <c r="EI2" s="208">
        <f>EG40</f>
        <v>0</v>
      </c>
      <c r="EM2" s="208"/>
      <c r="EN2" s="208">
        <f>EK41</f>
        <v>279700000</v>
      </c>
      <c r="EO2" s="232">
        <v>0</v>
      </c>
      <c r="EP2" s="228">
        <f>EN2+EO2</f>
        <v>279700000</v>
      </c>
      <c r="EQ2" s="228">
        <f>EE2+EO2</f>
        <v>279700000</v>
      </c>
    </row>
    <row r="3" spans="1:147" ht="15.75" thickTop="1" x14ac:dyDescent="0.25">
      <c r="A3" s="233" t="s">
        <v>262</v>
      </c>
      <c r="E3" s="234" t="s">
        <v>45</v>
      </c>
      <c r="F3" s="210"/>
      <c r="G3" s="211"/>
      <c r="EB3" s="166" t="s">
        <v>46</v>
      </c>
      <c r="ED3" s="208"/>
      <c r="EE3" s="208">
        <f>AVERAGE(EB11:EB41)</f>
        <v>200011290.32258064</v>
      </c>
      <c r="EI3" s="208">
        <f>AVERAGE(EG11:EG40)</f>
        <v>0</v>
      </c>
      <c r="EM3" s="208"/>
      <c r="EN3" s="208">
        <f>AVERAGE(EK11:EK41)</f>
        <v>196107258.06451613</v>
      </c>
    </row>
    <row r="4" spans="1:147" x14ac:dyDescent="0.25">
      <c r="E4" s="212" t="s">
        <v>44</v>
      </c>
      <c r="F4" s="208"/>
      <c r="G4" s="213">
        <f>EQ2</f>
        <v>279700000</v>
      </c>
      <c r="AI4" s="227" t="s">
        <v>47</v>
      </c>
      <c r="EB4" s="166" t="s">
        <v>48</v>
      </c>
      <c r="ED4" s="209"/>
      <c r="EE4" s="209">
        <f>IF(EE3=0,0,360*(AVERAGE(ED11:ED41)/EE3))</f>
        <v>3.8974167769883945E-2</v>
      </c>
      <c r="EI4" s="209">
        <f>IF(EI3=0,0,360*(AVERAGE(EH11:EH40)/EI3))</f>
        <v>0</v>
      </c>
      <c r="EM4" s="209"/>
      <c r="EN4" s="209">
        <f>IF(EN3=0,0,360*(AVERAGE(EM11:EM41)/EN3))</f>
        <v>3.8984710473613432E-2</v>
      </c>
      <c r="EO4" s="175" t="s">
        <v>239</v>
      </c>
      <c r="EQ4" s="169" t="s">
        <v>47</v>
      </c>
    </row>
    <row r="5" spans="1:147" x14ac:dyDescent="0.25">
      <c r="E5" s="212" t="s">
        <v>46</v>
      </c>
      <c r="F5" s="208"/>
      <c r="G5" s="213">
        <f>EE3</f>
        <v>200011290.32258064</v>
      </c>
      <c r="AI5" s="235" t="s">
        <v>39</v>
      </c>
      <c r="EB5" s="166" t="s">
        <v>49</v>
      </c>
      <c r="ED5" s="208"/>
      <c r="EE5" s="208">
        <f>MAX(EB11:EB41)</f>
        <v>292575000</v>
      </c>
      <c r="EI5" s="208">
        <f>MAX(EG11:EG40)</f>
        <v>0</v>
      </c>
      <c r="EM5" s="208"/>
      <c r="EN5" s="208">
        <f>MAX(EK11:EK41)</f>
        <v>292575000</v>
      </c>
      <c r="EO5" s="166" t="s">
        <v>240</v>
      </c>
    </row>
    <row r="6" spans="1:147" x14ac:dyDescent="0.25">
      <c r="E6" s="212" t="s">
        <v>48</v>
      </c>
      <c r="F6" s="208"/>
      <c r="G6" s="214">
        <f>EE4</f>
        <v>3.8974167769883945E-2</v>
      </c>
    </row>
    <row r="7" spans="1:147" ht="15.75" thickBot="1" x14ac:dyDescent="0.3">
      <c r="E7" s="215" t="s">
        <v>49</v>
      </c>
      <c r="F7" s="216"/>
      <c r="G7" s="217">
        <f>EE5</f>
        <v>292575000</v>
      </c>
      <c r="AI7" s="235" t="s">
        <v>39</v>
      </c>
      <c r="EB7" s="236" t="s">
        <v>50</v>
      </c>
      <c r="EC7" s="236"/>
      <c r="ED7" s="218"/>
      <c r="EE7" s="218"/>
      <c r="EG7" s="236" t="s">
        <v>51</v>
      </c>
      <c r="EH7" s="218"/>
      <c r="EI7" s="218"/>
      <c r="EJ7" s="165"/>
      <c r="EK7" s="236" t="s">
        <v>52</v>
      </c>
      <c r="EL7" s="236"/>
      <c r="EM7" s="218"/>
      <c r="EN7" s="218"/>
    </row>
    <row r="8" spans="1:147" ht="15.75" thickTop="1" x14ac:dyDescent="0.25">
      <c r="AI8" s="230" t="s">
        <v>53</v>
      </c>
      <c r="AL8" s="230" t="s">
        <v>53</v>
      </c>
      <c r="AO8" s="230" t="s">
        <v>53</v>
      </c>
      <c r="AR8" s="230" t="s">
        <v>53</v>
      </c>
      <c r="AU8" s="230" t="s">
        <v>53</v>
      </c>
      <c r="AX8" s="230" t="s">
        <v>53</v>
      </c>
      <c r="BA8" s="230" t="s">
        <v>53</v>
      </c>
      <c r="BD8" s="230" t="s">
        <v>53</v>
      </c>
      <c r="BG8" s="230" t="s">
        <v>53</v>
      </c>
      <c r="BJ8" s="230" t="s">
        <v>53</v>
      </c>
      <c r="BM8" s="230" t="s">
        <v>53</v>
      </c>
      <c r="BP8" s="230" t="s">
        <v>53</v>
      </c>
      <c r="BS8" s="230" t="s">
        <v>53</v>
      </c>
      <c r="BV8" s="230" t="s">
        <v>53</v>
      </c>
      <c r="BY8" s="230" t="s">
        <v>53</v>
      </c>
      <c r="CB8" s="230" t="s">
        <v>53</v>
      </c>
      <c r="CE8" s="230" t="s">
        <v>53</v>
      </c>
      <c r="CH8" s="230" t="s">
        <v>53</v>
      </c>
      <c r="CK8" s="230" t="s">
        <v>53</v>
      </c>
      <c r="CN8" s="230" t="s">
        <v>53</v>
      </c>
      <c r="CQ8" s="230" t="s">
        <v>53</v>
      </c>
      <c r="CT8" s="230" t="s">
        <v>53</v>
      </c>
      <c r="CW8" s="230" t="s">
        <v>53</v>
      </c>
      <c r="CZ8" s="230" t="s">
        <v>53</v>
      </c>
      <c r="DC8" s="230" t="s">
        <v>53</v>
      </c>
      <c r="DF8" s="230" t="s">
        <v>53</v>
      </c>
      <c r="DI8" s="230" t="s">
        <v>53</v>
      </c>
      <c r="DL8" s="230" t="s">
        <v>53</v>
      </c>
      <c r="DO8" s="230" t="s">
        <v>53</v>
      </c>
      <c r="DR8" s="230" t="s">
        <v>53</v>
      </c>
      <c r="EB8" s="219"/>
      <c r="EC8" s="219"/>
      <c r="ED8" s="219"/>
      <c r="EE8" s="219" t="s">
        <v>54</v>
      </c>
      <c r="EG8" s="219"/>
      <c r="EH8" s="237" t="s">
        <v>38</v>
      </c>
      <c r="EI8" s="219" t="s">
        <v>54</v>
      </c>
      <c r="EJ8" s="219"/>
      <c r="EK8" s="169" t="s">
        <v>55</v>
      </c>
      <c r="EL8" s="169" t="s">
        <v>56</v>
      </c>
      <c r="EM8" s="237" t="s">
        <v>57</v>
      </c>
      <c r="EN8" s="219" t="s">
        <v>54</v>
      </c>
    </row>
    <row r="9" spans="1:147" x14ac:dyDescent="0.25">
      <c r="B9" s="220" t="s">
        <v>58</v>
      </c>
      <c r="C9" s="221"/>
      <c r="D9" s="218"/>
      <c r="E9" s="220" t="s">
        <v>59</v>
      </c>
      <c r="F9" s="221"/>
      <c r="G9" s="218"/>
      <c r="H9" s="220" t="s">
        <v>60</v>
      </c>
      <c r="I9" s="221"/>
      <c r="J9" s="218"/>
      <c r="K9" s="220" t="s">
        <v>61</v>
      </c>
      <c r="L9" s="221"/>
      <c r="M9" s="218"/>
      <c r="N9" s="220" t="s">
        <v>62</v>
      </c>
      <c r="O9" s="221"/>
      <c r="P9" s="218"/>
      <c r="Q9" s="220" t="s">
        <v>63</v>
      </c>
      <c r="R9" s="221"/>
      <c r="S9" s="218"/>
      <c r="T9" s="220" t="s">
        <v>64</v>
      </c>
      <c r="U9" s="221"/>
      <c r="V9" s="218"/>
      <c r="W9" s="220" t="s">
        <v>65</v>
      </c>
      <c r="X9" s="221"/>
      <c r="Y9" s="218"/>
      <c r="Z9" s="220" t="s">
        <v>66</v>
      </c>
      <c r="AA9" s="221"/>
      <c r="AB9" s="218"/>
      <c r="AC9" s="238" t="s">
        <v>67</v>
      </c>
      <c r="AD9" s="221"/>
      <c r="AE9" s="218"/>
      <c r="AF9" s="238" t="s">
        <v>68</v>
      </c>
      <c r="AG9" s="221"/>
      <c r="AH9" s="218"/>
      <c r="AI9" s="220" t="s">
        <v>69</v>
      </c>
      <c r="AJ9" s="221"/>
      <c r="AK9" s="218"/>
      <c r="AL9" s="220" t="s">
        <v>70</v>
      </c>
      <c r="AM9" s="221"/>
      <c r="AN9" s="218"/>
      <c r="AO9" s="220" t="s">
        <v>71</v>
      </c>
      <c r="AP9" s="221"/>
      <c r="AQ9" s="218"/>
      <c r="AR9" s="220" t="s">
        <v>72</v>
      </c>
      <c r="AS9" s="221"/>
      <c r="AT9" s="218"/>
      <c r="AU9" s="220" t="s">
        <v>73</v>
      </c>
      <c r="AV9" s="221"/>
      <c r="AW9" s="218"/>
      <c r="AX9" s="220" t="s">
        <v>74</v>
      </c>
      <c r="AY9" s="221"/>
      <c r="AZ9" s="218"/>
      <c r="BA9" s="220" t="s">
        <v>75</v>
      </c>
      <c r="BB9" s="221"/>
      <c r="BC9" s="218"/>
      <c r="BD9" s="220" t="s">
        <v>76</v>
      </c>
      <c r="BE9" s="221"/>
      <c r="BF9" s="218"/>
      <c r="BG9" s="220" t="s">
        <v>77</v>
      </c>
      <c r="BH9" s="221"/>
      <c r="BI9" s="218"/>
      <c r="BJ9" s="220" t="s">
        <v>78</v>
      </c>
      <c r="BK9" s="221"/>
      <c r="BL9" s="218"/>
      <c r="BM9" s="220" t="s">
        <v>79</v>
      </c>
      <c r="BN9" s="221"/>
      <c r="BO9" s="218"/>
      <c r="BP9" s="220" t="s">
        <v>80</v>
      </c>
      <c r="BQ9" s="221"/>
      <c r="BR9" s="218"/>
      <c r="BS9" s="220" t="s">
        <v>81</v>
      </c>
      <c r="BT9" s="221"/>
      <c r="BU9" s="218"/>
      <c r="BV9" s="220" t="s">
        <v>82</v>
      </c>
      <c r="BW9" s="221"/>
      <c r="BX9" s="218"/>
      <c r="BY9" s="220" t="s">
        <v>83</v>
      </c>
      <c r="BZ9" s="221"/>
      <c r="CA9" s="218"/>
      <c r="CB9" s="220" t="s">
        <v>84</v>
      </c>
      <c r="CC9" s="221"/>
      <c r="CD9" s="218"/>
      <c r="CE9" s="220" t="s">
        <v>85</v>
      </c>
      <c r="CF9" s="221"/>
      <c r="CG9" s="218"/>
      <c r="CH9" s="220" t="s">
        <v>86</v>
      </c>
      <c r="CI9" s="221"/>
      <c r="CJ9" s="218"/>
      <c r="CK9" s="220" t="s">
        <v>87</v>
      </c>
      <c r="CL9" s="221"/>
      <c r="CM9" s="218"/>
      <c r="CN9" s="220" t="s">
        <v>88</v>
      </c>
      <c r="CO9" s="221"/>
      <c r="CP9" s="218"/>
      <c r="CQ9" s="220" t="s">
        <v>89</v>
      </c>
      <c r="CR9" s="221"/>
      <c r="CS9" s="218"/>
      <c r="CT9" s="220" t="s">
        <v>90</v>
      </c>
      <c r="CU9" s="221"/>
      <c r="CV9" s="218"/>
      <c r="CW9" s="220" t="s">
        <v>91</v>
      </c>
      <c r="CX9" s="221"/>
      <c r="CY9" s="218"/>
      <c r="CZ9" s="220" t="s">
        <v>92</v>
      </c>
      <c r="DA9" s="221"/>
      <c r="DB9" s="218"/>
      <c r="DC9" s="220" t="s">
        <v>93</v>
      </c>
      <c r="DD9" s="221"/>
      <c r="DE9" s="218"/>
      <c r="DF9" s="220" t="s">
        <v>94</v>
      </c>
      <c r="DG9" s="221"/>
      <c r="DH9" s="218"/>
      <c r="DI9" s="220" t="s">
        <v>95</v>
      </c>
      <c r="DJ9" s="221"/>
      <c r="DK9" s="218"/>
      <c r="DL9" s="220" t="s">
        <v>96</v>
      </c>
      <c r="DM9" s="221"/>
      <c r="DN9" s="218"/>
      <c r="DO9" s="220" t="s">
        <v>97</v>
      </c>
      <c r="DP9" s="221"/>
      <c r="DQ9" s="218"/>
      <c r="DR9" s="220" t="s">
        <v>98</v>
      </c>
      <c r="DS9" s="221"/>
      <c r="DT9" s="218"/>
      <c r="DU9" s="220" t="s">
        <v>99</v>
      </c>
      <c r="DV9" s="221"/>
      <c r="DW9" s="218"/>
      <c r="DX9" s="239" t="s">
        <v>100</v>
      </c>
      <c r="DY9" s="221"/>
      <c r="DZ9" s="218"/>
      <c r="EA9" s="165"/>
      <c r="EB9" s="169" t="s">
        <v>101</v>
      </c>
      <c r="EC9" s="169" t="s">
        <v>102</v>
      </c>
      <c r="ED9" s="219" t="s">
        <v>103</v>
      </c>
      <c r="EE9" s="219" t="s">
        <v>104</v>
      </c>
      <c r="EG9" s="237" t="s">
        <v>105</v>
      </c>
      <c r="EH9" s="219" t="s">
        <v>103</v>
      </c>
      <c r="EI9" s="219" t="s">
        <v>104</v>
      </c>
      <c r="EJ9" s="219"/>
      <c r="EK9" s="237" t="s">
        <v>57</v>
      </c>
      <c r="EL9" s="237" t="s">
        <v>57</v>
      </c>
      <c r="EM9" s="219" t="s">
        <v>103</v>
      </c>
      <c r="EN9" s="219" t="s">
        <v>104</v>
      </c>
    </row>
    <row r="10" spans="1:147" x14ac:dyDescent="0.25">
      <c r="A10" s="219" t="s">
        <v>106</v>
      </c>
      <c r="B10" s="240" t="s">
        <v>107</v>
      </c>
      <c r="C10" s="241" t="s">
        <v>108</v>
      </c>
      <c r="D10" s="242" t="s">
        <v>12</v>
      </c>
      <c r="E10" s="240" t="s">
        <v>107</v>
      </c>
      <c r="F10" s="241" t="s">
        <v>108</v>
      </c>
      <c r="G10" s="242" t="s">
        <v>12</v>
      </c>
      <c r="H10" s="240" t="s">
        <v>107</v>
      </c>
      <c r="I10" s="241" t="s">
        <v>108</v>
      </c>
      <c r="J10" s="242" t="s">
        <v>12</v>
      </c>
      <c r="K10" s="240" t="s">
        <v>107</v>
      </c>
      <c r="L10" s="241" t="s">
        <v>108</v>
      </c>
      <c r="M10" s="242" t="s">
        <v>12</v>
      </c>
      <c r="N10" s="240" t="s">
        <v>107</v>
      </c>
      <c r="O10" s="241" t="s">
        <v>108</v>
      </c>
      <c r="P10" s="242" t="s">
        <v>12</v>
      </c>
      <c r="Q10" s="240" t="s">
        <v>107</v>
      </c>
      <c r="R10" s="241" t="s">
        <v>108</v>
      </c>
      <c r="S10" s="242" t="s">
        <v>12</v>
      </c>
      <c r="T10" s="240" t="s">
        <v>107</v>
      </c>
      <c r="U10" s="241" t="s">
        <v>108</v>
      </c>
      <c r="V10" s="242" t="s">
        <v>12</v>
      </c>
      <c r="W10" s="240" t="s">
        <v>107</v>
      </c>
      <c r="X10" s="241" t="s">
        <v>108</v>
      </c>
      <c r="Y10" s="242" t="s">
        <v>12</v>
      </c>
      <c r="Z10" s="240" t="s">
        <v>107</v>
      </c>
      <c r="AA10" s="241" t="s">
        <v>108</v>
      </c>
      <c r="AB10" s="242" t="s">
        <v>12</v>
      </c>
      <c r="AC10" s="240" t="s">
        <v>107</v>
      </c>
      <c r="AD10" s="241" t="s">
        <v>108</v>
      </c>
      <c r="AE10" s="242" t="s">
        <v>12</v>
      </c>
      <c r="AF10" s="240" t="s">
        <v>107</v>
      </c>
      <c r="AG10" s="241" t="s">
        <v>108</v>
      </c>
      <c r="AH10" s="242" t="s">
        <v>12</v>
      </c>
      <c r="AI10" s="240" t="s">
        <v>107</v>
      </c>
      <c r="AJ10" s="241" t="s">
        <v>108</v>
      </c>
      <c r="AK10" s="242" t="s">
        <v>12</v>
      </c>
      <c r="AL10" s="240" t="s">
        <v>107</v>
      </c>
      <c r="AM10" s="241" t="s">
        <v>108</v>
      </c>
      <c r="AN10" s="242" t="s">
        <v>12</v>
      </c>
      <c r="AO10" s="240" t="s">
        <v>107</v>
      </c>
      <c r="AP10" s="241" t="s">
        <v>108</v>
      </c>
      <c r="AQ10" s="242" t="s">
        <v>12</v>
      </c>
      <c r="AR10" s="240" t="s">
        <v>107</v>
      </c>
      <c r="AS10" s="241" t="s">
        <v>108</v>
      </c>
      <c r="AT10" s="242" t="s">
        <v>12</v>
      </c>
      <c r="AU10" s="240" t="s">
        <v>107</v>
      </c>
      <c r="AV10" s="241" t="s">
        <v>108</v>
      </c>
      <c r="AW10" s="242" t="s">
        <v>12</v>
      </c>
      <c r="AX10" s="240" t="s">
        <v>107</v>
      </c>
      <c r="AY10" s="241" t="s">
        <v>108</v>
      </c>
      <c r="AZ10" s="242" t="s">
        <v>12</v>
      </c>
      <c r="BA10" s="240" t="s">
        <v>107</v>
      </c>
      <c r="BB10" s="241" t="s">
        <v>108</v>
      </c>
      <c r="BC10" s="242" t="s">
        <v>12</v>
      </c>
      <c r="BD10" s="240" t="s">
        <v>107</v>
      </c>
      <c r="BE10" s="241" t="s">
        <v>108</v>
      </c>
      <c r="BF10" s="242" t="s">
        <v>12</v>
      </c>
      <c r="BG10" s="240" t="s">
        <v>107</v>
      </c>
      <c r="BH10" s="241" t="s">
        <v>108</v>
      </c>
      <c r="BI10" s="242" t="s">
        <v>12</v>
      </c>
      <c r="BJ10" s="240" t="s">
        <v>107</v>
      </c>
      <c r="BK10" s="241" t="s">
        <v>108</v>
      </c>
      <c r="BL10" s="242" t="s">
        <v>12</v>
      </c>
      <c r="BM10" s="240" t="s">
        <v>107</v>
      </c>
      <c r="BN10" s="241" t="s">
        <v>108</v>
      </c>
      <c r="BO10" s="242" t="s">
        <v>12</v>
      </c>
      <c r="BP10" s="240" t="s">
        <v>107</v>
      </c>
      <c r="BQ10" s="241" t="s">
        <v>108</v>
      </c>
      <c r="BR10" s="242" t="s">
        <v>12</v>
      </c>
      <c r="BS10" s="240" t="s">
        <v>107</v>
      </c>
      <c r="BT10" s="241" t="s">
        <v>108</v>
      </c>
      <c r="BU10" s="242" t="s">
        <v>12</v>
      </c>
      <c r="BV10" s="240" t="s">
        <v>107</v>
      </c>
      <c r="BW10" s="241" t="s">
        <v>108</v>
      </c>
      <c r="BX10" s="242" t="s">
        <v>12</v>
      </c>
      <c r="BY10" s="240" t="s">
        <v>107</v>
      </c>
      <c r="BZ10" s="241" t="s">
        <v>108</v>
      </c>
      <c r="CA10" s="242" t="s">
        <v>12</v>
      </c>
      <c r="CB10" s="240" t="s">
        <v>107</v>
      </c>
      <c r="CC10" s="241" t="s">
        <v>108</v>
      </c>
      <c r="CD10" s="242" t="s">
        <v>12</v>
      </c>
      <c r="CE10" s="240" t="s">
        <v>107</v>
      </c>
      <c r="CF10" s="241" t="s">
        <v>108</v>
      </c>
      <c r="CG10" s="242" t="s">
        <v>12</v>
      </c>
      <c r="CH10" s="240" t="s">
        <v>107</v>
      </c>
      <c r="CI10" s="241" t="s">
        <v>108</v>
      </c>
      <c r="CJ10" s="242" t="s">
        <v>12</v>
      </c>
      <c r="CK10" s="240" t="s">
        <v>107</v>
      </c>
      <c r="CL10" s="241" t="s">
        <v>108</v>
      </c>
      <c r="CM10" s="242" t="s">
        <v>12</v>
      </c>
      <c r="CN10" s="240" t="s">
        <v>107</v>
      </c>
      <c r="CO10" s="241" t="s">
        <v>108</v>
      </c>
      <c r="CP10" s="242" t="s">
        <v>12</v>
      </c>
      <c r="CQ10" s="240" t="s">
        <v>107</v>
      </c>
      <c r="CR10" s="241" t="s">
        <v>108</v>
      </c>
      <c r="CS10" s="242" t="s">
        <v>12</v>
      </c>
      <c r="CT10" s="240" t="s">
        <v>107</v>
      </c>
      <c r="CU10" s="241" t="s">
        <v>108</v>
      </c>
      <c r="CV10" s="242" t="s">
        <v>12</v>
      </c>
      <c r="CW10" s="240" t="s">
        <v>107</v>
      </c>
      <c r="CX10" s="241" t="s">
        <v>108</v>
      </c>
      <c r="CY10" s="242" t="s">
        <v>12</v>
      </c>
      <c r="CZ10" s="240" t="s">
        <v>107</v>
      </c>
      <c r="DA10" s="241" t="s">
        <v>108</v>
      </c>
      <c r="DB10" s="242" t="s">
        <v>12</v>
      </c>
      <c r="DC10" s="240" t="s">
        <v>107</v>
      </c>
      <c r="DD10" s="241" t="s">
        <v>108</v>
      </c>
      <c r="DE10" s="242" t="s">
        <v>12</v>
      </c>
      <c r="DF10" s="240" t="s">
        <v>107</v>
      </c>
      <c r="DG10" s="241" t="s">
        <v>108</v>
      </c>
      <c r="DH10" s="242" t="s">
        <v>12</v>
      </c>
      <c r="DI10" s="240" t="s">
        <v>107</v>
      </c>
      <c r="DJ10" s="241" t="s">
        <v>108</v>
      </c>
      <c r="DK10" s="242" t="s">
        <v>12</v>
      </c>
      <c r="DL10" s="240" t="s">
        <v>107</v>
      </c>
      <c r="DM10" s="241" t="s">
        <v>108</v>
      </c>
      <c r="DN10" s="242" t="s">
        <v>12</v>
      </c>
      <c r="DO10" s="240" t="s">
        <v>107</v>
      </c>
      <c r="DP10" s="241" t="s">
        <v>108</v>
      </c>
      <c r="DQ10" s="242" t="s">
        <v>12</v>
      </c>
      <c r="DR10" s="240" t="s">
        <v>107</v>
      </c>
      <c r="DS10" s="241" t="s">
        <v>108</v>
      </c>
      <c r="DT10" s="242" t="s">
        <v>12</v>
      </c>
      <c r="DU10" s="240" t="s">
        <v>107</v>
      </c>
      <c r="DV10" s="241" t="s">
        <v>108</v>
      </c>
      <c r="DW10" s="242" t="s">
        <v>12</v>
      </c>
      <c r="DX10" s="240" t="s">
        <v>107</v>
      </c>
      <c r="DY10" s="241"/>
      <c r="DZ10" s="242"/>
      <c r="EA10" s="242"/>
      <c r="EB10" s="242" t="s">
        <v>109</v>
      </c>
      <c r="EC10" s="242" t="s">
        <v>109</v>
      </c>
      <c r="ED10" s="242" t="s">
        <v>12</v>
      </c>
      <c r="EE10" s="242" t="s">
        <v>108</v>
      </c>
      <c r="EG10" s="242" t="s">
        <v>109</v>
      </c>
      <c r="EH10" s="242" t="s">
        <v>12</v>
      </c>
      <c r="EI10" s="242" t="s">
        <v>108</v>
      </c>
      <c r="EJ10" s="242"/>
      <c r="EK10" s="242" t="s">
        <v>109</v>
      </c>
      <c r="EL10" s="242" t="s">
        <v>109</v>
      </c>
      <c r="EM10" s="242" t="s">
        <v>12</v>
      </c>
      <c r="EN10" s="242" t="s">
        <v>108</v>
      </c>
    </row>
    <row r="11" spans="1:147" x14ac:dyDescent="0.25">
      <c r="A11" s="222">
        <v>46082</v>
      </c>
      <c r="B11" s="208">
        <v>0</v>
      </c>
      <c r="C11" s="209">
        <v>3.8950249999999999E-2</v>
      </c>
      <c r="D11" s="208">
        <f>(B11*C11)/360</f>
        <v>0</v>
      </c>
      <c r="G11" s="208">
        <f>(E11*F11)/360</f>
        <v>0</v>
      </c>
      <c r="J11" s="208">
        <f>(H11*I11)/360</f>
        <v>0</v>
      </c>
      <c r="M11" s="208">
        <f>(K11*L11)/360</f>
        <v>0</v>
      </c>
      <c r="P11" s="208">
        <f>(N11*O11)/360</f>
        <v>0</v>
      </c>
      <c r="S11" s="208">
        <f>(Q11*R11)/360</f>
        <v>0</v>
      </c>
      <c r="V11" s="208">
        <f>(T11*U11)/360</f>
        <v>0</v>
      </c>
      <c r="Y11" s="208">
        <f>(W11*X11)/360</f>
        <v>0</v>
      </c>
      <c r="AB11" s="208">
        <f>(Z11*AA11)/360</f>
        <v>0</v>
      </c>
      <c r="AE11" s="208">
        <v>0</v>
      </c>
      <c r="AH11" s="208">
        <v>0</v>
      </c>
      <c r="AI11" s="223">
        <f>165225000</f>
        <v>165225000</v>
      </c>
      <c r="AJ11" s="224">
        <v>3.8100000000000002E-2</v>
      </c>
      <c r="AK11" s="208">
        <f>(AI11*AJ11)/360</f>
        <v>17486.3125</v>
      </c>
      <c r="AL11" s="223"/>
      <c r="AM11" s="224"/>
      <c r="AN11" s="208">
        <f>(AL11*AM11)/360</f>
        <v>0</v>
      </c>
      <c r="AO11" s="223"/>
      <c r="AP11" s="224"/>
      <c r="AQ11" s="208">
        <f>(AO11*AP11)/360</f>
        <v>0</v>
      </c>
      <c r="AR11" s="223"/>
      <c r="AS11" s="224"/>
      <c r="AT11" s="208">
        <f>(AR11*AS11)/360</f>
        <v>0</v>
      </c>
      <c r="AW11" s="208">
        <f>(AU11*AV11)/360</f>
        <v>0</v>
      </c>
      <c r="AZ11" s="208">
        <f>(AX11*AY11)/360</f>
        <v>0</v>
      </c>
      <c r="BC11" s="208">
        <f>(BA11*BB11)/360</f>
        <v>0</v>
      </c>
      <c r="BF11" s="208">
        <f>(BD11*BE11)/360</f>
        <v>0</v>
      </c>
      <c r="BI11" s="208">
        <f>(BG11*BH11)/360</f>
        <v>0</v>
      </c>
      <c r="BL11" s="208">
        <f>(BJ11*BK11)/360</f>
        <v>0</v>
      </c>
      <c r="BO11" s="208">
        <f>(BM11*BN11)/360</f>
        <v>0</v>
      </c>
      <c r="BR11" s="208">
        <f>(BP11*BQ11)/360</f>
        <v>0</v>
      </c>
      <c r="BU11" s="208">
        <f>(BS11*BT11)/360</f>
        <v>0</v>
      </c>
      <c r="BX11" s="208">
        <f>(BV11*BW11)/360</f>
        <v>0</v>
      </c>
      <c r="CA11" s="208">
        <f>(BY11*BZ11)/360</f>
        <v>0</v>
      </c>
      <c r="CD11" s="208">
        <f>(CB11*CC11)/360</f>
        <v>0</v>
      </c>
      <c r="CG11" s="208">
        <f>(CE11*CF11)/360</f>
        <v>0</v>
      </c>
      <c r="CJ11" s="208">
        <f>(CH11*CI11)/360</f>
        <v>0</v>
      </c>
      <c r="CM11" s="208">
        <f>(CK11*CL11)/360</f>
        <v>0</v>
      </c>
      <c r="CP11" s="208">
        <f>(CN11*CO11)/360</f>
        <v>0</v>
      </c>
      <c r="CS11" s="208">
        <f>(CQ11*CR11)/360</f>
        <v>0</v>
      </c>
      <c r="CV11" s="208">
        <f>(CT11*CU11)/360</f>
        <v>0</v>
      </c>
      <c r="CY11" s="208">
        <f>(CW11*CX11)/360</f>
        <v>0</v>
      </c>
      <c r="DB11" s="208">
        <f>(CZ11*DA11)/360</f>
        <v>0</v>
      </c>
      <c r="DE11" s="208">
        <f>(DC11*DD11)/360</f>
        <v>0</v>
      </c>
      <c r="DH11" s="208">
        <f>(DF11*DG11)/360</f>
        <v>0</v>
      </c>
      <c r="DK11" s="208">
        <f>(DI11*DJ11)/360</f>
        <v>0</v>
      </c>
      <c r="DN11" s="208">
        <f>(DL11*DM11)/360</f>
        <v>0</v>
      </c>
      <c r="DQ11" s="208">
        <f>(DO11*DP11)/360</f>
        <v>0</v>
      </c>
      <c r="DT11" s="208">
        <f>(DR11*DS11)/360</f>
        <v>0</v>
      </c>
      <c r="DW11" s="208">
        <f>(DU11*DV11)/360</f>
        <v>0</v>
      </c>
      <c r="DZ11" s="208"/>
      <c r="EA11" s="208"/>
      <c r="EB11" s="228">
        <f>B11+E11+H11+K11+N11+Q11+T11+W11+Z11+AC11+AF11+AL11+AO11+AR11+AU11+AX11+BA11+BD11+BG11+DU11+AI11+DR11+DO11+DL11+DI11+DF11+DC11+CZ11+CW11+CT11+CQ11+CN11+CK11+CH11+CE11+CB11+BY11+BV11+BS11+BP11+BM11+BJ11</f>
        <v>165225000</v>
      </c>
      <c r="EC11" s="228">
        <f>EB11-EK11+EL11</f>
        <v>0</v>
      </c>
      <c r="ED11" s="208">
        <f>D11+G11+J11+M11+P11+S11+V11+Y11+AB11+AE11+AH11+AK11+AN11+AQ11+AT11+AW11+AZ11+BC11+BF11+BI11+DW11+DT11+DQ11+DN11+DK11+DH11+DE11+DB11+CY11+CV11+CS11+CP11+CM11+CJ11+CG11+CD11+CA11+BX11+BU11+BR11+BO11+BL11</f>
        <v>17486.3125</v>
      </c>
      <c r="EE11" s="209">
        <f>IF(EB11&lt;&gt;0,((ED11/EB11)*360),0)</f>
        <v>3.8100000000000002E-2</v>
      </c>
      <c r="EG11" s="228">
        <f>Q11+T11+W11+Z11+AC11+AF11</f>
        <v>0</v>
      </c>
      <c r="EH11" s="208">
        <f>S11+V11+Y11+AB11+AE11+AH11</f>
        <v>0</v>
      </c>
      <c r="EI11" s="209">
        <f>IF(EG11&lt;&gt;0,((EH11/EG11)*360),0)</f>
        <v>0</v>
      </c>
      <c r="EJ11" s="209"/>
      <c r="EK11" s="228">
        <f>DR11+DL11+DI11+DF11+DC11+CZ11+CW11+CT11+CQ11+CN11+CK11+CH11+CE11+CB11+BY11+BV11+BS11+BP11+BM11+BJ11+BG11+BD11+BA11+AX11+AU11+AR11+AO11+AL11+AI11+DO11</f>
        <v>165225000</v>
      </c>
      <c r="EL11" s="228">
        <f>DX11</f>
        <v>0</v>
      </c>
      <c r="EM11" s="228">
        <f>DT11+DQ11+DN11+DK11+DH11+DE11+DB11+CY11+CV11+CS11+CP11+CM11+CJ11+CG11+CD11+CA11+BX11+BU11+BR11+BO11+BL11+BI11+BF11+BC11+AZ11+AW11+AT11+AQ11+AN11+AK11</f>
        <v>17486.3125</v>
      </c>
      <c r="EN11" s="209">
        <f>IF(EK11&lt;&gt;0,((EM11/EK11)*360),0)</f>
        <v>3.8100000000000002E-2</v>
      </c>
      <c r="EP11" s="208"/>
    </row>
    <row r="12" spans="1:147" x14ac:dyDescent="0.25">
      <c r="A12" s="222">
        <f>1+A11</f>
        <v>46083</v>
      </c>
      <c r="B12" s="208">
        <v>0</v>
      </c>
      <c r="C12" s="209">
        <v>3.8467050000000003E-2</v>
      </c>
      <c r="D12" s="208">
        <f t="shared" ref="D12:D41" si="0">(B12*C12)/360</f>
        <v>0</v>
      </c>
      <c r="G12" s="208">
        <f t="shared" ref="G12:G41" si="1">(E12*F12)/360</f>
        <v>0</v>
      </c>
      <c r="J12" s="208">
        <f t="shared" ref="J12:J41" si="2">(H12*I12)/360</f>
        <v>0</v>
      </c>
      <c r="M12" s="208">
        <f t="shared" ref="M12:M41" si="3">(K12*L12)/360</f>
        <v>0</v>
      </c>
      <c r="P12" s="208">
        <f t="shared" ref="P12:P41" si="4">(N12*O12)/360</f>
        <v>0</v>
      </c>
      <c r="S12" s="208">
        <f t="shared" ref="S12:S41" si="5">(Q12*R12)/360</f>
        <v>0</v>
      </c>
      <c r="V12" s="208">
        <f t="shared" ref="V12:V41" si="6">(T12*U12)/360</f>
        <v>0</v>
      </c>
      <c r="Y12" s="208">
        <f t="shared" ref="Y12:Y41" si="7">(W12*X12)/360</f>
        <v>0</v>
      </c>
      <c r="AB12" s="208">
        <f t="shared" ref="AB12:AB41" si="8">(Z12*AA12)/360</f>
        <v>0</v>
      </c>
      <c r="AE12" s="208">
        <v>0</v>
      </c>
      <c r="AH12" s="208">
        <v>0</v>
      </c>
      <c r="AI12" s="223">
        <f>3625000+163475000</f>
        <v>167100000</v>
      </c>
      <c r="AJ12" s="224">
        <v>3.8100000000000002E-2</v>
      </c>
      <c r="AK12" s="208">
        <f t="shared" ref="AK12:AK41" si="9">(AI12*AJ12)/360</f>
        <v>17684.75</v>
      </c>
      <c r="AL12" s="223"/>
      <c r="AM12" s="224"/>
      <c r="AN12" s="208">
        <f t="shared" ref="AN12:AN41" si="10">(AL12*AM12)/360</f>
        <v>0</v>
      </c>
      <c r="AO12" s="223"/>
      <c r="AP12" s="224"/>
      <c r="AQ12" s="208">
        <f t="shared" ref="AQ12:AQ41" si="11">(AO12*AP12)/360</f>
        <v>0</v>
      </c>
      <c r="AR12" s="223"/>
      <c r="AS12" s="224"/>
      <c r="AT12" s="208">
        <f t="shared" ref="AT12:AT41" si="12">(AR12*AS12)/360</f>
        <v>0</v>
      </c>
      <c r="AW12" s="208">
        <f t="shared" ref="AW12:AW41" si="13">(AU12*AV12)/360</f>
        <v>0</v>
      </c>
      <c r="AZ12" s="208">
        <f t="shared" ref="AZ12:AZ41" si="14">(AX12*AY12)/360</f>
        <v>0</v>
      </c>
      <c r="BC12" s="208">
        <f t="shared" ref="BC12:BC41" si="15">(BA12*BB12)/360</f>
        <v>0</v>
      </c>
      <c r="BF12" s="208">
        <f t="shared" ref="BF12:BF41" si="16">(BD12*BE12)/360</f>
        <v>0</v>
      </c>
      <c r="BI12" s="208">
        <f t="shared" ref="BI12:BI41" si="17">(BG12*BH12)/360</f>
        <v>0</v>
      </c>
      <c r="BL12" s="208">
        <f t="shared" ref="BL12:BL41" si="18">(BJ12*BK12)/360</f>
        <v>0</v>
      </c>
      <c r="BO12" s="208">
        <f t="shared" ref="BO12:BO41" si="19">(BM12*BN12)/360</f>
        <v>0</v>
      </c>
      <c r="BR12" s="208">
        <f t="shared" ref="BR12:BR41" si="20">(BP12*BQ12)/360</f>
        <v>0</v>
      </c>
      <c r="BU12" s="208">
        <f t="shared" ref="BU12:BU41" si="21">(BS12*BT12)/360</f>
        <v>0</v>
      </c>
      <c r="BX12" s="208">
        <f t="shared" ref="BX12:BX41" si="22">(BV12*BW12)/360</f>
        <v>0</v>
      </c>
      <c r="CA12" s="208">
        <f t="shared" ref="CA12:CA41" si="23">(BY12*BZ12)/360</f>
        <v>0</v>
      </c>
      <c r="CD12" s="208">
        <f t="shared" ref="CD12:CD41" si="24">(CB12*CC12)/360</f>
        <v>0</v>
      </c>
      <c r="CG12" s="208">
        <f t="shared" ref="CG12:CG41" si="25">(CE12*CF12)/360</f>
        <v>0</v>
      </c>
      <c r="CJ12" s="208">
        <f t="shared" ref="CJ12:CJ41" si="26">(CH12*CI12)/360</f>
        <v>0</v>
      </c>
      <c r="CM12" s="208">
        <f t="shared" ref="CM12:CM41" si="27">(CK12*CL12)/360</f>
        <v>0</v>
      </c>
      <c r="CP12" s="208">
        <f t="shared" ref="CP12:CP41" si="28">(CN12*CO12)/360</f>
        <v>0</v>
      </c>
      <c r="CS12" s="208">
        <f t="shared" ref="CS12:CS41" si="29">(CQ12*CR12)/360</f>
        <v>0</v>
      </c>
      <c r="CV12" s="208">
        <f t="shared" ref="CV12:CV41" si="30">(CT12*CU12)/360</f>
        <v>0</v>
      </c>
      <c r="CY12" s="208">
        <f t="shared" ref="CY12:CY41" si="31">(CW12*CX12)/360</f>
        <v>0</v>
      </c>
      <c r="DB12" s="208">
        <f t="shared" ref="DB12:DB41" si="32">(CZ12*DA12)/360</f>
        <v>0</v>
      </c>
      <c r="DE12" s="208">
        <f t="shared" ref="DE12:DE41" si="33">(DC12*DD12)/360</f>
        <v>0</v>
      </c>
      <c r="DH12" s="208">
        <f t="shared" ref="DH12:DH41" si="34">(DF12*DG12)/360</f>
        <v>0</v>
      </c>
      <c r="DK12" s="208">
        <f t="shared" ref="DK12:DK41" si="35">(DI12*DJ12)/360</f>
        <v>0</v>
      </c>
      <c r="DN12" s="208">
        <f t="shared" ref="DN12:DN41" si="36">(DL12*DM12)/360</f>
        <v>0</v>
      </c>
      <c r="DQ12" s="208">
        <f t="shared" ref="DQ12:DQ41" si="37">(DO12*DP12)/360</f>
        <v>0</v>
      </c>
      <c r="DT12" s="208">
        <f t="shared" ref="DT12:DT41" si="38">(DR12*DS12)/360</f>
        <v>0</v>
      </c>
      <c r="DW12" s="208">
        <f t="shared" ref="DW12:DW41" si="39">(DU12*DV12)/360</f>
        <v>0</v>
      </c>
      <c r="DZ12" s="208"/>
      <c r="EA12" s="208"/>
      <c r="EB12" s="228">
        <f t="shared" ref="EB12:EB41" si="40">B12+E12+H12+K12+N12+Q12+T12+W12+Z12+AC12+AF12+AL12+AO12+AR12+AU12+AX12+BA12+BD12+BG12+DU12+AI12+DR12+DO12+DL12+DI12+DF12+DC12+CZ12+CW12+CT12+CQ12+CN12+CK12+CH12+CE12+CB12+BY12+BV12+BS12+BP12+BM12+BJ12</f>
        <v>167100000</v>
      </c>
      <c r="EC12" s="228">
        <f t="shared" ref="EC12:EC41" si="41">EB12-EK12+EL12</f>
        <v>0</v>
      </c>
      <c r="ED12" s="208">
        <f t="shared" ref="ED12:ED41" si="42">D12+G12+J12+M12+P12+S12+V12+Y12+AB12+AE12+AH12+AK12+AN12+AQ12+AT12+AW12+AZ12+BC12+BF12+BI12+DW12+DT12+DQ12+DN12+DK12+DH12+DE12+DB12+CY12+CV12+CS12+CP12+CM12+CJ12+CG12+CD12+CA12+BX12+BU12+BR12+BO12+BL12</f>
        <v>17684.75</v>
      </c>
      <c r="EE12" s="209">
        <f t="shared" ref="EE12:EE41" si="43">IF(EB12&lt;&gt;0,((ED12/EB12)*360),0)</f>
        <v>3.8100000000000002E-2</v>
      </c>
      <c r="EG12" s="228">
        <f t="shared" ref="EG12:EG41" si="44">Q12+T12+W12+Z12+AC12+AF12</f>
        <v>0</v>
      </c>
      <c r="EH12" s="208">
        <f t="shared" ref="EH12:EH41" si="45">S12+V12+Y12+AB12+AE12+AH12</f>
        <v>0</v>
      </c>
      <c r="EI12" s="209">
        <f t="shared" ref="EI12:EI41" si="46">IF(EG12&lt;&gt;0,((EH12/EG12)*360),0)</f>
        <v>0</v>
      </c>
      <c r="EJ12" s="209"/>
      <c r="EK12" s="228">
        <f t="shared" ref="EK12:EK41" si="47">DR12+DL12+DI12+DF12+DC12+CZ12+CW12+CT12+CQ12+CN12+CK12+CH12+CE12+CB12+BY12+BV12+BS12+BP12+BM12+BJ12+BG12+BD12+BA12+AX12+AU12+AR12+AO12+AL12+AI12+DO12</f>
        <v>167100000</v>
      </c>
      <c r="EL12" s="228">
        <f t="shared" ref="EL12:EL41" si="48">DX12</f>
        <v>0</v>
      </c>
      <c r="EM12" s="228">
        <f t="shared" ref="EM12:EM41" si="49">DT12+DQ12+DN12+DK12+DH12+DE12+DB12+CY12+CV12+CS12+CP12+CM12+CJ12+CG12+CD12+CA12+BX12+BU12+BR12+BO12+BL12+BI12+BF12+BC12+AZ12+AW12+AT12+AQ12+AN12+AK12</f>
        <v>17684.75</v>
      </c>
      <c r="EN12" s="209">
        <f t="shared" ref="EN12:EN41" si="50">IF(EK12&lt;&gt;0,((EM12/EK12)*360),0)</f>
        <v>3.8100000000000002E-2</v>
      </c>
      <c r="EP12" s="208"/>
    </row>
    <row r="13" spans="1:147" x14ac:dyDescent="0.25">
      <c r="A13" s="222">
        <f t="shared" ref="A13:A41" si="51">1+A12</f>
        <v>46084</v>
      </c>
      <c r="B13" s="208">
        <v>0</v>
      </c>
      <c r="C13" s="209">
        <v>3.8466269999999997E-2</v>
      </c>
      <c r="D13" s="208">
        <f t="shared" si="0"/>
        <v>0</v>
      </c>
      <c r="G13" s="208">
        <f t="shared" si="1"/>
        <v>0</v>
      </c>
      <c r="J13" s="208">
        <f t="shared" si="2"/>
        <v>0</v>
      </c>
      <c r="M13" s="208">
        <f t="shared" si="3"/>
        <v>0</v>
      </c>
      <c r="P13" s="208">
        <f t="shared" si="4"/>
        <v>0</v>
      </c>
      <c r="S13" s="208">
        <f t="shared" si="5"/>
        <v>0</v>
      </c>
      <c r="V13" s="208">
        <f t="shared" si="6"/>
        <v>0</v>
      </c>
      <c r="Y13" s="208">
        <f t="shared" si="7"/>
        <v>0</v>
      </c>
      <c r="AB13" s="208">
        <f t="shared" si="8"/>
        <v>0</v>
      </c>
      <c r="AE13" s="208">
        <v>0</v>
      </c>
      <c r="AH13" s="208">
        <v>0</v>
      </c>
      <c r="AI13" s="223">
        <f>16500000+60000000+75000000</f>
        <v>151500000</v>
      </c>
      <c r="AJ13" s="224">
        <v>3.8100000000000002E-2</v>
      </c>
      <c r="AK13" s="208">
        <f t="shared" si="9"/>
        <v>16033.75</v>
      </c>
      <c r="AL13" s="223"/>
      <c r="AM13" s="224"/>
      <c r="AN13" s="208">
        <f t="shared" si="10"/>
        <v>0</v>
      </c>
      <c r="AO13" s="223"/>
      <c r="AP13" s="224"/>
      <c r="AQ13" s="208">
        <f t="shared" si="11"/>
        <v>0</v>
      </c>
      <c r="AR13" s="223"/>
      <c r="AS13" s="224"/>
      <c r="AT13" s="208">
        <f t="shared" si="12"/>
        <v>0</v>
      </c>
      <c r="AW13" s="208">
        <f t="shared" si="13"/>
        <v>0</v>
      </c>
      <c r="AZ13" s="208">
        <f t="shared" si="14"/>
        <v>0</v>
      </c>
      <c r="BC13" s="208">
        <f t="shared" si="15"/>
        <v>0</v>
      </c>
      <c r="BF13" s="208">
        <f t="shared" si="16"/>
        <v>0</v>
      </c>
      <c r="BI13" s="208">
        <f t="shared" si="17"/>
        <v>0</v>
      </c>
      <c r="BL13" s="208">
        <f t="shared" si="18"/>
        <v>0</v>
      </c>
      <c r="BO13" s="208">
        <f t="shared" si="19"/>
        <v>0</v>
      </c>
      <c r="BR13" s="208">
        <f t="shared" si="20"/>
        <v>0</v>
      </c>
      <c r="BU13" s="208">
        <f t="shared" si="21"/>
        <v>0</v>
      </c>
      <c r="BX13" s="208">
        <f t="shared" si="22"/>
        <v>0</v>
      </c>
      <c r="CA13" s="208">
        <f t="shared" si="23"/>
        <v>0</v>
      </c>
      <c r="CD13" s="208">
        <f t="shared" si="24"/>
        <v>0</v>
      </c>
      <c r="CG13" s="208">
        <f t="shared" si="25"/>
        <v>0</v>
      </c>
      <c r="CJ13" s="208">
        <f t="shared" si="26"/>
        <v>0</v>
      </c>
      <c r="CM13" s="208">
        <f t="shared" si="27"/>
        <v>0</v>
      </c>
      <c r="CP13" s="208">
        <f t="shared" si="28"/>
        <v>0</v>
      </c>
      <c r="CS13" s="208">
        <f t="shared" si="29"/>
        <v>0</v>
      </c>
      <c r="CV13" s="208">
        <f t="shared" si="30"/>
        <v>0</v>
      </c>
      <c r="CY13" s="208">
        <f t="shared" si="31"/>
        <v>0</v>
      </c>
      <c r="DB13" s="208">
        <f t="shared" si="32"/>
        <v>0</v>
      </c>
      <c r="DE13" s="208">
        <f t="shared" si="33"/>
        <v>0</v>
      </c>
      <c r="DH13" s="208">
        <f t="shared" si="34"/>
        <v>0</v>
      </c>
      <c r="DK13" s="208">
        <f t="shared" si="35"/>
        <v>0</v>
      </c>
      <c r="DN13" s="208">
        <f t="shared" si="36"/>
        <v>0</v>
      </c>
      <c r="DQ13" s="208">
        <f t="shared" si="37"/>
        <v>0</v>
      </c>
      <c r="DT13" s="208">
        <f t="shared" si="38"/>
        <v>0</v>
      </c>
      <c r="DW13" s="208">
        <f t="shared" si="39"/>
        <v>0</v>
      </c>
      <c r="DZ13" s="208"/>
      <c r="EA13" s="208"/>
      <c r="EB13" s="228">
        <f t="shared" si="40"/>
        <v>151500000</v>
      </c>
      <c r="EC13" s="228">
        <f t="shared" si="41"/>
        <v>0</v>
      </c>
      <c r="ED13" s="208">
        <f t="shared" si="42"/>
        <v>16033.75</v>
      </c>
      <c r="EE13" s="209">
        <f t="shared" si="43"/>
        <v>3.8100000000000002E-2</v>
      </c>
      <c r="EG13" s="228">
        <f t="shared" si="44"/>
        <v>0</v>
      </c>
      <c r="EH13" s="208">
        <f t="shared" si="45"/>
        <v>0</v>
      </c>
      <c r="EI13" s="209">
        <f t="shared" si="46"/>
        <v>0</v>
      </c>
      <c r="EJ13" s="209"/>
      <c r="EK13" s="228">
        <f t="shared" si="47"/>
        <v>151500000</v>
      </c>
      <c r="EL13" s="228">
        <f t="shared" si="48"/>
        <v>0</v>
      </c>
      <c r="EM13" s="228">
        <f t="shared" si="49"/>
        <v>16033.75</v>
      </c>
      <c r="EN13" s="209">
        <f t="shared" si="50"/>
        <v>3.8100000000000002E-2</v>
      </c>
      <c r="EP13" s="208"/>
    </row>
    <row r="14" spans="1:147" x14ac:dyDescent="0.25">
      <c r="A14" s="222">
        <f t="shared" si="51"/>
        <v>46085</v>
      </c>
      <c r="B14" s="208">
        <v>0</v>
      </c>
      <c r="C14" s="209">
        <v>3.8719739999999996E-2</v>
      </c>
      <c r="D14" s="208">
        <f t="shared" si="0"/>
        <v>0</v>
      </c>
      <c r="G14" s="208">
        <f t="shared" si="1"/>
        <v>0</v>
      </c>
      <c r="J14" s="208">
        <f t="shared" si="2"/>
        <v>0</v>
      </c>
      <c r="M14" s="208">
        <f t="shared" si="3"/>
        <v>0</v>
      </c>
      <c r="P14" s="208">
        <f t="shared" si="4"/>
        <v>0</v>
      </c>
      <c r="S14" s="208">
        <f t="shared" si="5"/>
        <v>0</v>
      </c>
      <c r="V14" s="208">
        <f t="shared" si="6"/>
        <v>0</v>
      </c>
      <c r="Y14" s="208">
        <f t="shared" si="7"/>
        <v>0</v>
      </c>
      <c r="AB14" s="208">
        <f t="shared" si="8"/>
        <v>0</v>
      </c>
      <c r="AE14" s="208">
        <v>0</v>
      </c>
      <c r="AH14" s="208">
        <v>0</v>
      </c>
      <c r="AI14" s="223">
        <f>37950000+100000000+100000</f>
        <v>138050000</v>
      </c>
      <c r="AJ14" s="224">
        <v>3.8100000000000002E-2</v>
      </c>
      <c r="AK14" s="208">
        <f t="shared" si="9"/>
        <v>14610.291666666666</v>
      </c>
      <c r="AL14" s="223"/>
      <c r="AM14" s="224"/>
      <c r="AN14" s="208">
        <f t="shared" si="10"/>
        <v>0</v>
      </c>
      <c r="AO14" s="223"/>
      <c r="AP14" s="224"/>
      <c r="AQ14" s="208">
        <f t="shared" si="11"/>
        <v>0</v>
      </c>
      <c r="AR14" s="223"/>
      <c r="AS14" s="224"/>
      <c r="AT14" s="208">
        <f t="shared" si="12"/>
        <v>0</v>
      </c>
      <c r="AW14" s="208">
        <f t="shared" si="13"/>
        <v>0</v>
      </c>
      <c r="AZ14" s="208">
        <f t="shared" si="14"/>
        <v>0</v>
      </c>
      <c r="BC14" s="208">
        <f t="shared" si="15"/>
        <v>0</v>
      </c>
      <c r="BF14" s="208">
        <f t="shared" si="16"/>
        <v>0</v>
      </c>
      <c r="BI14" s="208">
        <f t="shared" si="17"/>
        <v>0</v>
      </c>
      <c r="BL14" s="208">
        <f t="shared" si="18"/>
        <v>0</v>
      </c>
      <c r="BO14" s="208">
        <f t="shared" si="19"/>
        <v>0</v>
      </c>
      <c r="BR14" s="208">
        <f t="shared" si="20"/>
        <v>0</v>
      </c>
      <c r="BU14" s="208">
        <f t="shared" si="21"/>
        <v>0</v>
      </c>
      <c r="BX14" s="208">
        <f t="shared" si="22"/>
        <v>0</v>
      </c>
      <c r="CA14" s="208">
        <f t="shared" si="23"/>
        <v>0</v>
      </c>
      <c r="CD14" s="208">
        <f t="shared" si="24"/>
        <v>0</v>
      </c>
      <c r="CG14" s="208">
        <f t="shared" si="25"/>
        <v>0</v>
      </c>
      <c r="CJ14" s="208">
        <f t="shared" si="26"/>
        <v>0</v>
      </c>
      <c r="CM14" s="208">
        <f t="shared" si="27"/>
        <v>0</v>
      </c>
      <c r="CP14" s="208">
        <f t="shared" si="28"/>
        <v>0</v>
      </c>
      <c r="CS14" s="208">
        <f t="shared" si="29"/>
        <v>0</v>
      </c>
      <c r="CV14" s="208">
        <f t="shared" si="30"/>
        <v>0</v>
      </c>
      <c r="CY14" s="208">
        <f t="shared" si="31"/>
        <v>0</v>
      </c>
      <c r="DB14" s="208">
        <f t="shared" si="32"/>
        <v>0</v>
      </c>
      <c r="DE14" s="208">
        <f t="shared" si="33"/>
        <v>0</v>
      </c>
      <c r="DH14" s="208">
        <f t="shared" si="34"/>
        <v>0</v>
      </c>
      <c r="DK14" s="208">
        <f t="shared" si="35"/>
        <v>0</v>
      </c>
      <c r="DN14" s="208">
        <f t="shared" si="36"/>
        <v>0</v>
      </c>
      <c r="DQ14" s="208">
        <f t="shared" si="37"/>
        <v>0</v>
      </c>
      <c r="DT14" s="208">
        <f t="shared" si="38"/>
        <v>0</v>
      </c>
      <c r="DW14" s="208">
        <f t="shared" si="39"/>
        <v>0</v>
      </c>
      <c r="DZ14" s="208"/>
      <c r="EA14" s="208"/>
      <c r="EB14" s="228">
        <f t="shared" si="40"/>
        <v>138050000</v>
      </c>
      <c r="EC14" s="228">
        <f t="shared" si="41"/>
        <v>0</v>
      </c>
      <c r="ED14" s="208">
        <f t="shared" si="42"/>
        <v>14610.291666666666</v>
      </c>
      <c r="EE14" s="209">
        <f t="shared" si="43"/>
        <v>3.8100000000000002E-2</v>
      </c>
      <c r="EG14" s="228">
        <f t="shared" si="44"/>
        <v>0</v>
      </c>
      <c r="EH14" s="208">
        <f t="shared" si="45"/>
        <v>0</v>
      </c>
      <c r="EI14" s="209">
        <f t="shared" si="46"/>
        <v>0</v>
      </c>
      <c r="EJ14" s="209"/>
      <c r="EK14" s="228">
        <f t="shared" si="47"/>
        <v>138050000</v>
      </c>
      <c r="EL14" s="228">
        <f t="shared" si="48"/>
        <v>0</v>
      </c>
      <c r="EM14" s="228">
        <f t="shared" si="49"/>
        <v>14610.291666666666</v>
      </c>
      <c r="EN14" s="209">
        <f t="shared" si="50"/>
        <v>3.8100000000000002E-2</v>
      </c>
      <c r="EP14" s="208"/>
    </row>
    <row r="15" spans="1:147" x14ac:dyDescent="0.25">
      <c r="A15" s="222">
        <f t="shared" si="51"/>
        <v>46086</v>
      </c>
      <c r="B15" s="208">
        <v>0</v>
      </c>
      <c r="C15" s="209">
        <v>3.8711889999999999E-2</v>
      </c>
      <c r="D15" s="208">
        <f t="shared" si="0"/>
        <v>0</v>
      </c>
      <c r="G15" s="208">
        <f t="shared" si="1"/>
        <v>0</v>
      </c>
      <c r="J15" s="208">
        <f t="shared" si="2"/>
        <v>0</v>
      </c>
      <c r="M15" s="208">
        <f t="shared" si="3"/>
        <v>0</v>
      </c>
      <c r="P15" s="208">
        <f t="shared" si="4"/>
        <v>0</v>
      </c>
      <c r="S15" s="208">
        <f t="shared" si="5"/>
        <v>0</v>
      </c>
      <c r="V15" s="208">
        <f t="shared" si="6"/>
        <v>0</v>
      </c>
      <c r="Y15" s="208">
        <f t="shared" si="7"/>
        <v>0</v>
      </c>
      <c r="AB15" s="208">
        <f t="shared" si="8"/>
        <v>0</v>
      </c>
      <c r="AE15" s="208">
        <v>0</v>
      </c>
      <c r="AH15" s="208">
        <v>0</v>
      </c>
      <c r="AI15" s="223">
        <f>75000000+69450000</f>
        <v>144450000</v>
      </c>
      <c r="AJ15" s="224">
        <v>3.8100000000000002E-2</v>
      </c>
      <c r="AK15" s="208">
        <f t="shared" si="9"/>
        <v>15287.625</v>
      </c>
      <c r="AL15" s="223"/>
      <c r="AM15" s="224"/>
      <c r="AN15" s="208">
        <f t="shared" si="10"/>
        <v>0</v>
      </c>
      <c r="AO15" s="223"/>
      <c r="AP15" s="224"/>
      <c r="AQ15" s="208">
        <f t="shared" si="11"/>
        <v>0</v>
      </c>
      <c r="AR15" s="223"/>
      <c r="AS15" s="224"/>
      <c r="AT15" s="208">
        <f t="shared" si="12"/>
        <v>0</v>
      </c>
      <c r="AW15" s="208">
        <f t="shared" si="13"/>
        <v>0</v>
      </c>
      <c r="AZ15" s="208">
        <f t="shared" si="14"/>
        <v>0</v>
      </c>
      <c r="BC15" s="208">
        <f t="shared" si="15"/>
        <v>0</v>
      </c>
      <c r="BF15" s="208">
        <f t="shared" si="16"/>
        <v>0</v>
      </c>
      <c r="BI15" s="208">
        <f t="shared" si="17"/>
        <v>0</v>
      </c>
      <c r="BL15" s="208">
        <f t="shared" si="18"/>
        <v>0</v>
      </c>
      <c r="BO15" s="208">
        <f t="shared" si="19"/>
        <v>0</v>
      </c>
      <c r="BR15" s="208">
        <f t="shared" si="20"/>
        <v>0</v>
      </c>
      <c r="BU15" s="208">
        <f t="shared" si="21"/>
        <v>0</v>
      </c>
      <c r="BX15" s="208">
        <f t="shared" si="22"/>
        <v>0</v>
      </c>
      <c r="CA15" s="208">
        <f t="shared" si="23"/>
        <v>0</v>
      </c>
      <c r="CD15" s="208">
        <f t="shared" si="24"/>
        <v>0</v>
      </c>
      <c r="CG15" s="208">
        <f t="shared" si="25"/>
        <v>0</v>
      </c>
      <c r="CJ15" s="208">
        <f t="shared" si="26"/>
        <v>0</v>
      </c>
      <c r="CM15" s="208">
        <f t="shared" si="27"/>
        <v>0</v>
      </c>
      <c r="CP15" s="208">
        <f t="shared" si="28"/>
        <v>0</v>
      </c>
      <c r="CS15" s="208">
        <f t="shared" si="29"/>
        <v>0</v>
      </c>
      <c r="CV15" s="208">
        <f t="shared" si="30"/>
        <v>0</v>
      </c>
      <c r="CY15" s="208">
        <f t="shared" si="31"/>
        <v>0</v>
      </c>
      <c r="DB15" s="208">
        <f t="shared" si="32"/>
        <v>0</v>
      </c>
      <c r="DE15" s="208">
        <f t="shared" si="33"/>
        <v>0</v>
      </c>
      <c r="DH15" s="208">
        <f t="shared" si="34"/>
        <v>0</v>
      </c>
      <c r="DK15" s="208">
        <f t="shared" si="35"/>
        <v>0</v>
      </c>
      <c r="DN15" s="208">
        <f t="shared" si="36"/>
        <v>0</v>
      </c>
      <c r="DQ15" s="208">
        <f t="shared" si="37"/>
        <v>0</v>
      </c>
      <c r="DT15" s="208">
        <f t="shared" si="38"/>
        <v>0</v>
      </c>
      <c r="DW15" s="208">
        <f t="shared" si="39"/>
        <v>0</v>
      </c>
      <c r="DZ15" s="208"/>
      <c r="EA15" s="208"/>
      <c r="EB15" s="228">
        <f t="shared" si="40"/>
        <v>144450000</v>
      </c>
      <c r="EC15" s="228">
        <f t="shared" si="41"/>
        <v>0</v>
      </c>
      <c r="ED15" s="208">
        <f t="shared" si="42"/>
        <v>15287.625</v>
      </c>
      <c r="EE15" s="209">
        <f t="shared" si="43"/>
        <v>3.8100000000000002E-2</v>
      </c>
      <c r="EG15" s="228">
        <f t="shared" si="44"/>
        <v>0</v>
      </c>
      <c r="EH15" s="208">
        <f t="shared" si="45"/>
        <v>0</v>
      </c>
      <c r="EI15" s="209">
        <f t="shared" si="46"/>
        <v>0</v>
      </c>
      <c r="EJ15" s="209"/>
      <c r="EK15" s="228">
        <f t="shared" si="47"/>
        <v>144450000</v>
      </c>
      <c r="EL15" s="228">
        <f t="shared" si="48"/>
        <v>0</v>
      </c>
      <c r="EM15" s="228">
        <f t="shared" si="49"/>
        <v>15287.625</v>
      </c>
      <c r="EN15" s="209">
        <f t="shared" si="50"/>
        <v>3.8100000000000002E-2</v>
      </c>
      <c r="EP15" s="208"/>
    </row>
    <row r="16" spans="1:147" x14ac:dyDescent="0.25">
      <c r="A16" s="222">
        <f t="shared" si="51"/>
        <v>46087</v>
      </c>
      <c r="B16" s="208">
        <v>2650000</v>
      </c>
      <c r="C16" s="209">
        <v>3.8654309999999997E-2</v>
      </c>
      <c r="D16" s="208">
        <f t="shared" si="0"/>
        <v>284.5386708333333</v>
      </c>
      <c r="G16" s="208">
        <f t="shared" si="1"/>
        <v>0</v>
      </c>
      <c r="J16" s="208">
        <f t="shared" si="2"/>
        <v>0</v>
      </c>
      <c r="M16" s="208">
        <f t="shared" si="3"/>
        <v>0</v>
      </c>
      <c r="P16" s="208">
        <f t="shared" si="4"/>
        <v>0</v>
      </c>
      <c r="S16" s="208">
        <f t="shared" si="5"/>
        <v>0</v>
      </c>
      <c r="V16" s="208">
        <f t="shared" si="6"/>
        <v>0</v>
      </c>
      <c r="Y16" s="208">
        <f t="shared" si="7"/>
        <v>0</v>
      </c>
      <c r="AB16" s="208">
        <f t="shared" si="8"/>
        <v>0</v>
      </c>
      <c r="AE16" s="208">
        <v>0</v>
      </c>
      <c r="AH16" s="208">
        <v>0</v>
      </c>
      <c r="AI16" s="223">
        <f>100000000+42600000</f>
        <v>142600000</v>
      </c>
      <c r="AJ16" s="224">
        <v>3.8100000000000002E-2</v>
      </c>
      <c r="AK16" s="208">
        <f t="shared" si="9"/>
        <v>15091.833333333334</v>
      </c>
      <c r="AL16" s="223"/>
      <c r="AM16" s="224"/>
      <c r="AN16" s="208">
        <f t="shared" si="10"/>
        <v>0</v>
      </c>
      <c r="AO16" s="223"/>
      <c r="AP16" s="224"/>
      <c r="AQ16" s="208">
        <f t="shared" si="11"/>
        <v>0</v>
      </c>
      <c r="AR16" s="223"/>
      <c r="AS16" s="224"/>
      <c r="AT16" s="208">
        <f t="shared" si="12"/>
        <v>0</v>
      </c>
      <c r="AW16" s="208">
        <f t="shared" si="13"/>
        <v>0</v>
      </c>
      <c r="AZ16" s="208">
        <f t="shared" si="14"/>
        <v>0</v>
      </c>
      <c r="BC16" s="208">
        <f t="shared" si="15"/>
        <v>0</v>
      </c>
      <c r="BF16" s="208">
        <f t="shared" si="16"/>
        <v>0</v>
      </c>
      <c r="BI16" s="208">
        <f t="shared" si="17"/>
        <v>0</v>
      </c>
      <c r="BL16" s="208">
        <f t="shared" si="18"/>
        <v>0</v>
      </c>
      <c r="BO16" s="208">
        <f t="shared" si="19"/>
        <v>0</v>
      </c>
      <c r="BR16" s="208">
        <f t="shared" si="20"/>
        <v>0</v>
      </c>
      <c r="BU16" s="208">
        <f t="shared" si="21"/>
        <v>0</v>
      </c>
      <c r="BX16" s="208">
        <f t="shared" si="22"/>
        <v>0</v>
      </c>
      <c r="CA16" s="208">
        <f t="shared" si="23"/>
        <v>0</v>
      </c>
      <c r="CD16" s="208">
        <f t="shared" si="24"/>
        <v>0</v>
      </c>
      <c r="CG16" s="208">
        <f t="shared" si="25"/>
        <v>0</v>
      </c>
      <c r="CJ16" s="208">
        <f t="shared" si="26"/>
        <v>0</v>
      </c>
      <c r="CM16" s="208">
        <f t="shared" si="27"/>
        <v>0</v>
      </c>
      <c r="CP16" s="208">
        <f t="shared" si="28"/>
        <v>0</v>
      </c>
      <c r="CS16" s="208">
        <f t="shared" si="29"/>
        <v>0</v>
      </c>
      <c r="CV16" s="208">
        <f t="shared" si="30"/>
        <v>0</v>
      </c>
      <c r="CY16" s="208">
        <f t="shared" si="31"/>
        <v>0</v>
      </c>
      <c r="DB16" s="208">
        <f t="shared" si="32"/>
        <v>0</v>
      </c>
      <c r="DE16" s="208">
        <f t="shared" si="33"/>
        <v>0</v>
      </c>
      <c r="DH16" s="208">
        <f t="shared" si="34"/>
        <v>0</v>
      </c>
      <c r="DK16" s="208">
        <f t="shared" si="35"/>
        <v>0</v>
      </c>
      <c r="DN16" s="208">
        <f t="shared" si="36"/>
        <v>0</v>
      </c>
      <c r="DQ16" s="208">
        <f t="shared" si="37"/>
        <v>0</v>
      </c>
      <c r="DT16" s="208">
        <f t="shared" si="38"/>
        <v>0</v>
      </c>
      <c r="DW16" s="208">
        <f t="shared" si="39"/>
        <v>0</v>
      </c>
      <c r="DZ16" s="208"/>
      <c r="EA16" s="208"/>
      <c r="EB16" s="228">
        <f t="shared" si="40"/>
        <v>145250000</v>
      </c>
      <c r="EC16" s="228">
        <f t="shared" si="41"/>
        <v>2650000</v>
      </c>
      <c r="ED16" s="208">
        <f t="shared" si="42"/>
        <v>15376.372004166667</v>
      </c>
      <c r="EE16" s="209">
        <f t="shared" si="43"/>
        <v>3.8110113056798622E-2</v>
      </c>
      <c r="EG16" s="228">
        <f t="shared" si="44"/>
        <v>0</v>
      </c>
      <c r="EH16" s="208">
        <f t="shared" si="45"/>
        <v>0</v>
      </c>
      <c r="EI16" s="209">
        <f t="shared" si="46"/>
        <v>0</v>
      </c>
      <c r="EJ16" s="209"/>
      <c r="EK16" s="228">
        <f t="shared" si="47"/>
        <v>142600000</v>
      </c>
      <c r="EL16" s="228">
        <f t="shared" si="48"/>
        <v>0</v>
      </c>
      <c r="EM16" s="228">
        <f t="shared" si="49"/>
        <v>15091.833333333334</v>
      </c>
      <c r="EN16" s="209">
        <f t="shared" si="50"/>
        <v>3.8100000000000002E-2</v>
      </c>
      <c r="EP16" s="208"/>
    </row>
    <row r="17" spans="1:146" x14ac:dyDescent="0.25">
      <c r="A17" s="222">
        <f t="shared" si="51"/>
        <v>46088</v>
      </c>
      <c r="B17" s="208">
        <v>2650000</v>
      </c>
      <c r="C17" s="209">
        <v>3.8654309999999997E-2</v>
      </c>
      <c r="D17" s="208">
        <f t="shared" si="0"/>
        <v>284.5386708333333</v>
      </c>
      <c r="G17" s="208">
        <f t="shared" si="1"/>
        <v>0</v>
      </c>
      <c r="J17" s="208">
        <f t="shared" si="2"/>
        <v>0</v>
      </c>
      <c r="M17" s="208">
        <f t="shared" si="3"/>
        <v>0</v>
      </c>
      <c r="P17" s="208">
        <f t="shared" si="4"/>
        <v>0</v>
      </c>
      <c r="S17" s="208">
        <f t="shared" si="5"/>
        <v>0</v>
      </c>
      <c r="V17" s="208">
        <f t="shared" si="6"/>
        <v>0</v>
      </c>
      <c r="Y17" s="208">
        <f t="shared" si="7"/>
        <v>0</v>
      </c>
      <c r="AB17" s="208">
        <f t="shared" si="8"/>
        <v>0</v>
      </c>
      <c r="AE17" s="208">
        <v>0</v>
      </c>
      <c r="AH17" s="208">
        <v>0</v>
      </c>
      <c r="AI17" s="223">
        <f>100000000+42600000</f>
        <v>142600000</v>
      </c>
      <c r="AJ17" s="224">
        <v>3.8100000000000002E-2</v>
      </c>
      <c r="AK17" s="208">
        <f t="shared" si="9"/>
        <v>15091.833333333334</v>
      </c>
      <c r="AL17" s="223"/>
      <c r="AM17" s="224"/>
      <c r="AN17" s="208">
        <f t="shared" si="10"/>
        <v>0</v>
      </c>
      <c r="AO17" s="223"/>
      <c r="AP17" s="224"/>
      <c r="AQ17" s="208">
        <f t="shared" si="11"/>
        <v>0</v>
      </c>
      <c r="AR17" s="223"/>
      <c r="AS17" s="224"/>
      <c r="AT17" s="208">
        <f t="shared" si="12"/>
        <v>0</v>
      </c>
      <c r="AW17" s="208">
        <f t="shared" si="13"/>
        <v>0</v>
      </c>
      <c r="AZ17" s="208">
        <f t="shared" si="14"/>
        <v>0</v>
      </c>
      <c r="BC17" s="208">
        <f t="shared" si="15"/>
        <v>0</v>
      </c>
      <c r="BF17" s="208">
        <f t="shared" si="16"/>
        <v>0</v>
      </c>
      <c r="BI17" s="208">
        <f t="shared" si="17"/>
        <v>0</v>
      </c>
      <c r="BL17" s="208">
        <f t="shared" si="18"/>
        <v>0</v>
      </c>
      <c r="BO17" s="208">
        <f t="shared" si="19"/>
        <v>0</v>
      </c>
      <c r="BR17" s="208">
        <f t="shared" si="20"/>
        <v>0</v>
      </c>
      <c r="BU17" s="208">
        <f t="shared" si="21"/>
        <v>0</v>
      </c>
      <c r="BX17" s="208">
        <f t="shared" si="22"/>
        <v>0</v>
      </c>
      <c r="CA17" s="208">
        <f t="shared" si="23"/>
        <v>0</v>
      </c>
      <c r="CD17" s="208">
        <f t="shared" si="24"/>
        <v>0</v>
      </c>
      <c r="CG17" s="208">
        <f t="shared" si="25"/>
        <v>0</v>
      </c>
      <c r="CJ17" s="208">
        <f t="shared" si="26"/>
        <v>0</v>
      </c>
      <c r="CM17" s="208">
        <f t="shared" si="27"/>
        <v>0</v>
      </c>
      <c r="CP17" s="208">
        <f t="shared" si="28"/>
        <v>0</v>
      </c>
      <c r="CS17" s="208">
        <f t="shared" si="29"/>
        <v>0</v>
      </c>
      <c r="CV17" s="208">
        <f t="shared" si="30"/>
        <v>0</v>
      </c>
      <c r="CY17" s="208">
        <f t="shared" si="31"/>
        <v>0</v>
      </c>
      <c r="DB17" s="208">
        <f t="shared" si="32"/>
        <v>0</v>
      </c>
      <c r="DE17" s="208">
        <f t="shared" si="33"/>
        <v>0</v>
      </c>
      <c r="DH17" s="208">
        <f t="shared" si="34"/>
        <v>0</v>
      </c>
      <c r="DK17" s="208">
        <f t="shared" si="35"/>
        <v>0</v>
      </c>
      <c r="DN17" s="208">
        <f t="shared" si="36"/>
        <v>0</v>
      </c>
      <c r="DQ17" s="208">
        <f t="shared" si="37"/>
        <v>0</v>
      </c>
      <c r="DT17" s="208">
        <f t="shared" si="38"/>
        <v>0</v>
      </c>
      <c r="DW17" s="208">
        <f t="shared" si="39"/>
        <v>0</v>
      </c>
      <c r="DZ17" s="208"/>
      <c r="EA17" s="208"/>
      <c r="EB17" s="228">
        <f t="shared" si="40"/>
        <v>145250000</v>
      </c>
      <c r="EC17" s="228">
        <f t="shared" si="41"/>
        <v>2650000</v>
      </c>
      <c r="ED17" s="208">
        <f t="shared" si="42"/>
        <v>15376.372004166667</v>
      </c>
      <c r="EE17" s="209">
        <f t="shared" si="43"/>
        <v>3.8110113056798622E-2</v>
      </c>
      <c r="EG17" s="228">
        <f t="shared" si="44"/>
        <v>0</v>
      </c>
      <c r="EH17" s="208">
        <f t="shared" si="45"/>
        <v>0</v>
      </c>
      <c r="EI17" s="209">
        <f t="shared" si="46"/>
        <v>0</v>
      </c>
      <c r="EJ17" s="209"/>
      <c r="EK17" s="228">
        <f t="shared" si="47"/>
        <v>142600000</v>
      </c>
      <c r="EL17" s="228">
        <f t="shared" si="48"/>
        <v>0</v>
      </c>
      <c r="EM17" s="228">
        <f t="shared" si="49"/>
        <v>15091.833333333334</v>
      </c>
      <c r="EN17" s="209">
        <f t="shared" si="50"/>
        <v>3.8100000000000002E-2</v>
      </c>
      <c r="EP17" s="208"/>
    </row>
    <row r="18" spans="1:146" x14ac:dyDescent="0.25">
      <c r="A18" s="222">
        <f t="shared" si="51"/>
        <v>46089</v>
      </c>
      <c r="B18" s="208">
        <v>2650000</v>
      </c>
      <c r="C18" s="209">
        <v>3.8654309999999997E-2</v>
      </c>
      <c r="D18" s="208">
        <f t="shared" si="0"/>
        <v>284.5386708333333</v>
      </c>
      <c r="G18" s="208">
        <f t="shared" si="1"/>
        <v>0</v>
      </c>
      <c r="J18" s="208">
        <f t="shared" si="2"/>
        <v>0</v>
      </c>
      <c r="M18" s="208">
        <f t="shared" si="3"/>
        <v>0</v>
      </c>
      <c r="P18" s="208">
        <f t="shared" si="4"/>
        <v>0</v>
      </c>
      <c r="S18" s="208">
        <f t="shared" si="5"/>
        <v>0</v>
      </c>
      <c r="V18" s="208">
        <f t="shared" si="6"/>
        <v>0</v>
      </c>
      <c r="Y18" s="208">
        <f t="shared" si="7"/>
        <v>0</v>
      </c>
      <c r="AB18" s="208">
        <f t="shared" si="8"/>
        <v>0</v>
      </c>
      <c r="AE18" s="208">
        <v>0</v>
      </c>
      <c r="AH18" s="208">
        <v>0</v>
      </c>
      <c r="AI18" s="223">
        <f>100000000+42600000</f>
        <v>142600000</v>
      </c>
      <c r="AJ18" s="224">
        <v>3.8100000000000002E-2</v>
      </c>
      <c r="AK18" s="208">
        <f t="shared" si="9"/>
        <v>15091.833333333334</v>
      </c>
      <c r="AL18" s="223"/>
      <c r="AM18" s="224"/>
      <c r="AN18" s="208">
        <f t="shared" si="10"/>
        <v>0</v>
      </c>
      <c r="AO18" s="223"/>
      <c r="AP18" s="224"/>
      <c r="AQ18" s="208">
        <f t="shared" si="11"/>
        <v>0</v>
      </c>
      <c r="AR18" s="223"/>
      <c r="AS18" s="224"/>
      <c r="AT18" s="208">
        <f t="shared" si="12"/>
        <v>0</v>
      </c>
      <c r="AW18" s="208">
        <f t="shared" si="13"/>
        <v>0</v>
      </c>
      <c r="AZ18" s="208">
        <f t="shared" si="14"/>
        <v>0</v>
      </c>
      <c r="BC18" s="208">
        <f t="shared" si="15"/>
        <v>0</v>
      </c>
      <c r="BF18" s="208">
        <f t="shared" si="16"/>
        <v>0</v>
      </c>
      <c r="BI18" s="208">
        <f t="shared" si="17"/>
        <v>0</v>
      </c>
      <c r="BL18" s="208">
        <f t="shared" si="18"/>
        <v>0</v>
      </c>
      <c r="BO18" s="208">
        <f t="shared" si="19"/>
        <v>0</v>
      </c>
      <c r="BR18" s="208">
        <f t="shared" si="20"/>
        <v>0</v>
      </c>
      <c r="BU18" s="208">
        <f t="shared" si="21"/>
        <v>0</v>
      </c>
      <c r="BX18" s="208">
        <f t="shared" si="22"/>
        <v>0</v>
      </c>
      <c r="CA18" s="208">
        <f t="shared" si="23"/>
        <v>0</v>
      </c>
      <c r="CD18" s="208">
        <f t="shared" si="24"/>
        <v>0</v>
      </c>
      <c r="CG18" s="208">
        <f t="shared" si="25"/>
        <v>0</v>
      </c>
      <c r="CJ18" s="208">
        <f t="shared" si="26"/>
        <v>0</v>
      </c>
      <c r="CM18" s="208">
        <f t="shared" si="27"/>
        <v>0</v>
      </c>
      <c r="CP18" s="208">
        <f t="shared" si="28"/>
        <v>0</v>
      </c>
      <c r="CS18" s="208">
        <f t="shared" si="29"/>
        <v>0</v>
      </c>
      <c r="CV18" s="208">
        <f t="shared" si="30"/>
        <v>0</v>
      </c>
      <c r="CY18" s="208">
        <f t="shared" si="31"/>
        <v>0</v>
      </c>
      <c r="DB18" s="208">
        <f t="shared" si="32"/>
        <v>0</v>
      </c>
      <c r="DE18" s="208">
        <f t="shared" si="33"/>
        <v>0</v>
      </c>
      <c r="DH18" s="208">
        <f t="shared" si="34"/>
        <v>0</v>
      </c>
      <c r="DK18" s="208">
        <f t="shared" si="35"/>
        <v>0</v>
      </c>
      <c r="DN18" s="208">
        <f t="shared" si="36"/>
        <v>0</v>
      </c>
      <c r="DQ18" s="208">
        <f t="shared" si="37"/>
        <v>0</v>
      </c>
      <c r="DT18" s="208">
        <f t="shared" si="38"/>
        <v>0</v>
      </c>
      <c r="DW18" s="208">
        <f t="shared" si="39"/>
        <v>0</v>
      </c>
      <c r="DZ18" s="208"/>
      <c r="EA18" s="208"/>
      <c r="EB18" s="228">
        <f t="shared" si="40"/>
        <v>145250000</v>
      </c>
      <c r="EC18" s="228">
        <f t="shared" si="41"/>
        <v>2650000</v>
      </c>
      <c r="ED18" s="208">
        <f t="shared" si="42"/>
        <v>15376.372004166667</v>
      </c>
      <c r="EE18" s="209">
        <f t="shared" si="43"/>
        <v>3.8110113056798622E-2</v>
      </c>
      <c r="EG18" s="228">
        <f t="shared" si="44"/>
        <v>0</v>
      </c>
      <c r="EH18" s="208">
        <f t="shared" si="45"/>
        <v>0</v>
      </c>
      <c r="EI18" s="209">
        <f t="shared" si="46"/>
        <v>0</v>
      </c>
      <c r="EJ18" s="209"/>
      <c r="EK18" s="228">
        <f t="shared" si="47"/>
        <v>142600000</v>
      </c>
      <c r="EL18" s="228">
        <f t="shared" si="48"/>
        <v>0</v>
      </c>
      <c r="EM18" s="228">
        <f t="shared" si="49"/>
        <v>15091.833333333334</v>
      </c>
      <c r="EN18" s="209">
        <f t="shared" si="50"/>
        <v>3.8100000000000002E-2</v>
      </c>
      <c r="EP18" s="208"/>
    </row>
    <row r="19" spans="1:146" x14ac:dyDescent="0.25">
      <c r="A19" s="222">
        <f t="shared" si="51"/>
        <v>46090</v>
      </c>
      <c r="B19" s="208">
        <v>3000000</v>
      </c>
      <c r="C19" s="209">
        <v>3.8630270000000001E-2</v>
      </c>
      <c r="D19" s="208">
        <f t="shared" si="0"/>
        <v>321.91891666666663</v>
      </c>
      <c r="G19" s="208">
        <f t="shared" si="1"/>
        <v>0</v>
      </c>
      <c r="J19" s="208">
        <f t="shared" si="2"/>
        <v>0</v>
      </c>
      <c r="M19" s="208">
        <f t="shared" si="3"/>
        <v>0</v>
      </c>
      <c r="P19" s="208">
        <f t="shared" si="4"/>
        <v>0</v>
      </c>
      <c r="S19" s="208">
        <f t="shared" si="5"/>
        <v>0</v>
      </c>
      <c r="V19" s="208">
        <f t="shared" si="6"/>
        <v>0</v>
      </c>
      <c r="Y19" s="208">
        <f t="shared" si="7"/>
        <v>0</v>
      </c>
      <c r="AB19" s="208">
        <f t="shared" si="8"/>
        <v>0</v>
      </c>
      <c r="AE19" s="208">
        <v>0</v>
      </c>
      <c r="AH19" s="208">
        <v>0</v>
      </c>
      <c r="AI19" s="223">
        <f>80000000+37550000+20000000</f>
        <v>137550000</v>
      </c>
      <c r="AJ19" s="224">
        <v>3.7999999999999999E-2</v>
      </c>
      <c r="AK19" s="208">
        <f t="shared" si="9"/>
        <v>14519.166666666666</v>
      </c>
      <c r="AL19" s="223"/>
      <c r="AM19" s="224"/>
      <c r="AN19" s="208">
        <f t="shared" si="10"/>
        <v>0</v>
      </c>
      <c r="AO19" s="223"/>
      <c r="AP19" s="224"/>
      <c r="AQ19" s="208">
        <f t="shared" si="11"/>
        <v>0</v>
      </c>
      <c r="AR19" s="223"/>
      <c r="AS19" s="224"/>
      <c r="AT19" s="208">
        <f t="shared" si="12"/>
        <v>0</v>
      </c>
      <c r="AW19" s="208">
        <f t="shared" si="13"/>
        <v>0</v>
      </c>
      <c r="AZ19" s="208">
        <f t="shared" si="14"/>
        <v>0</v>
      </c>
      <c r="BC19" s="208">
        <f t="shared" si="15"/>
        <v>0</v>
      </c>
      <c r="BF19" s="208">
        <f t="shared" si="16"/>
        <v>0</v>
      </c>
      <c r="BI19" s="208">
        <f t="shared" si="17"/>
        <v>0</v>
      </c>
      <c r="BL19" s="208">
        <f t="shared" si="18"/>
        <v>0</v>
      </c>
      <c r="BO19" s="208">
        <f t="shared" si="19"/>
        <v>0</v>
      </c>
      <c r="BR19" s="208">
        <f t="shared" si="20"/>
        <v>0</v>
      </c>
      <c r="BU19" s="208">
        <f t="shared" si="21"/>
        <v>0</v>
      </c>
      <c r="BX19" s="208">
        <f t="shared" si="22"/>
        <v>0</v>
      </c>
      <c r="CA19" s="208">
        <f t="shared" si="23"/>
        <v>0</v>
      </c>
      <c r="CD19" s="208">
        <f t="shared" si="24"/>
        <v>0</v>
      </c>
      <c r="CG19" s="208">
        <f t="shared" si="25"/>
        <v>0</v>
      </c>
      <c r="CJ19" s="208">
        <f t="shared" si="26"/>
        <v>0</v>
      </c>
      <c r="CM19" s="208">
        <f t="shared" si="27"/>
        <v>0</v>
      </c>
      <c r="CP19" s="208">
        <f t="shared" si="28"/>
        <v>0</v>
      </c>
      <c r="CS19" s="208">
        <f t="shared" si="29"/>
        <v>0</v>
      </c>
      <c r="CV19" s="208">
        <f t="shared" si="30"/>
        <v>0</v>
      </c>
      <c r="CY19" s="208">
        <f t="shared" si="31"/>
        <v>0</v>
      </c>
      <c r="DB19" s="208">
        <f t="shared" si="32"/>
        <v>0</v>
      </c>
      <c r="DE19" s="208">
        <f t="shared" si="33"/>
        <v>0</v>
      </c>
      <c r="DH19" s="208">
        <f t="shared" si="34"/>
        <v>0</v>
      </c>
      <c r="DK19" s="208">
        <f t="shared" si="35"/>
        <v>0</v>
      </c>
      <c r="DN19" s="208">
        <f t="shared" si="36"/>
        <v>0</v>
      </c>
      <c r="DQ19" s="208">
        <f t="shared" si="37"/>
        <v>0</v>
      </c>
      <c r="DT19" s="208">
        <f t="shared" si="38"/>
        <v>0</v>
      </c>
      <c r="DW19" s="208">
        <f t="shared" si="39"/>
        <v>0</v>
      </c>
      <c r="DZ19" s="208"/>
      <c r="EA19" s="208"/>
      <c r="EB19" s="228">
        <f t="shared" si="40"/>
        <v>140550000</v>
      </c>
      <c r="EC19" s="228">
        <f t="shared" si="41"/>
        <v>3000000</v>
      </c>
      <c r="ED19" s="208">
        <f t="shared" si="42"/>
        <v>14841.085583333333</v>
      </c>
      <c r="EE19" s="209">
        <f t="shared" si="43"/>
        <v>3.8013452934898613E-2</v>
      </c>
      <c r="EG19" s="228">
        <f t="shared" si="44"/>
        <v>0</v>
      </c>
      <c r="EH19" s="208">
        <f t="shared" si="45"/>
        <v>0</v>
      </c>
      <c r="EI19" s="209">
        <f t="shared" si="46"/>
        <v>0</v>
      </c>
      <c r="EJ19" s="209"/>
      <c r="EK19" s="228">
        <f t="shared" si="47"/>
        <v>137550000</v>
      </c>
      <c r="EL19" s="228">
        <f t="shared" si="48"/>
        <v>0</v>
      </c>
      <c r="EM19" s="228">
        <f t="shared" si="49"/>
        <v>14519.166666666666</v>
      </c>
      <c r="EN19" s="209">
        <f t="shared" si="50"/>
        <v>3.7999999999999999E-2</v>
      </c>
      <c r="EP19" s="208"/>
    </row>
    <row r="20" spans="1:146" x14ac:dyDescent="0.25">
      <c r="A20" s="222">
        <f t="shared" si="51"/>
        <v>46091</v>
      </c>
      <c r="B20" s="208">
        <v>23975000</v>
      </c>
      <c r="C20" s="209">
        <v>3.8406639999999999E-2</v>
      </c>
      <c r="D20" s="208">
        <f t="shared" si="0"/>
        <v>2557.7755388888891</v>
      </c>
      <c r="G20" s="208">
        <f t="shared" si="1"/>
        <v>0</v>
      </c>
      <c r="J20" s="208">
        <f t="shared" si="2"/>
        <v>0</v>
      </c>
      <c r="M20" s="208">
        <f t="shared" si="3"/>
        <v>0</v>
      </c>
      <c r="P20" s="208">
        <f t="shared" si="4"/>
        <v>0</v>
      </c>
      <c r="S20" s="208">
        <f t="shared" si="5"/>
        <v>0</v>
      </c>
      <c r="V20" s="208">
        <f t="shared" si="6"/>
        <v>0</v>
      </c>
      <c r="Y20" s="208">
        <f t="shared" si="7"/>
        <v>0</v>
      </c>
      <c r="AB20" s="208">
        <f t="shared" si="8"/>
        <v>0</v>
      </c>
      <c r="AE20" s="208">
        <v>0</v>
      </c>
      <c r="AH20" s="208">
        <v>0</v>
      </c>
      <c r="AI20" s="223">
        <f>100000000</f>
        <v>100000000</v>
      </c>
      <c r="AJ20" s="224">
        <v>3.7999999999999999E-2</v>
      </c>
      <c r="AK20" s="208">
        <f t="shared" si="9"/>
        <v>10555.555555555555</v>
      </c>
      <c r="AL20" s="223"/>
      <c r="AM20" s="224"/>
      <c r="AN20" s="208">
        <f t="shared" si="10"/>
        <v>0</v>
      </c>
      <c r="AO20" s="223"/>
      <c r="AP20" s="224"/>
      <c r="AQ20" s="208">
        <f t="shared" si="11"/>
        <v>0</v>
      </c>
      <c r="AR20" s="223"/>
      <c r="AS20" s="224"/>
      <c r="AT20" s="208">
        <f t="shared" si="12"/>
        <v>0</v>
      </c>
      <c r="AW20" s="208">
        <f t="shared" si="13"/>
        <v>0</v>
      </c>
      <c r="AZ20" s="208">
        <f t="shared" si="14"/>
        <v>0</v>
      </c>
      <c r="BC20" s="208">
        <f t="shared" si="15"/>
        <v>0</v>
      </c>
      <c r="BF20" s="208">
        <f t="shared" si="16"/>
        <v>0</v>
      </c>
      <c r="BI20" s="208">
        <f t="shared" si="17"/>
        <v>0</v>
      </c>
      <c r="BL20" s="208">
        <f t="shared" si="18"/>
        <v>0</v>
      </c>
      <c r="BO20" s="208">
        <f t="shared" si="19"/>
        <v>0</v>
      </c>
      <c r="BR20" s="208">
        <f t="shared" si="20"/>
        <v>0</v>
      </c>
      <c r="BU20" s="208">
        <f t="shared" si="21"/>
        <v>0</v>
      </c>
      <c r="BX20" s="208">
        <f t="shared" si="22"/>
        <v>0</v>
      </c>
      <c r="CA20" s="208">
        <f t="shared" si="23"/>
        <v>0</v>
      </c>
      <c r="CD20" s="208">
        <f t="shared" si="24"/>
        <v>0</v>
      </c>
      <c r="CG20" s="208">
        <f t="shared" si="25"/>
        <v>0</v>
      </c>
      <c r="CJ20" s="208">
        <f t="shared" si="26"/>
        <v>0</v>
      </c>
      <c r="CM20" s="208">
        <f t="shared" si="27"/>
        <v>0</v>
      </c>
      <c r="CP20" s="208">
        <f t="shared" si="28"/>
        <v>0</v>
      </c>
      <c r="CS20" s="208">
        <f t="shared" si="29"/>
        <v>0</v>
      </c>
      <c r="CV20" s="208">
        <f t="shared" si="30"/>
        <v>0</v>
      </c>
      <c r="CY20" s="208">
        <f t="shared" si="31"/>
        <v>0</v>
      </c>
      <c r="DB20" s="208">
        <f t="shared" si="32"/>
        <v>0</v>
      </c>
      <c r="DE20" s="208">
        <f t="shared" si="33"/>
        <v>0</v>
      </c>
      <c r="DH20" s="208">
        <f t="shared" si="34"/>
        <v>0</v>
      </c>
      <c r="DK20" s="208">
        <f t="shared" si="35"/>
        <v>0</v>
      </c>
      <c r="DN20" s="208">
        <f t="shared" si="36"/>
        <v>0</v>
      </c>
      <c r="DQ20" s="208">
        <f t="shared" si="37"/>
        <v>0</v>
      </c>
      <c r="DT20" s="208">
        <f t="shared" si="38"/>
        <v>0</v>
      </c>
      <c r="DW20" s="208">
        <f t="shared" si="39"/>
        <v>0</v>
      </c>
      <c r="DZ20" s="208"/>
      <c r="EA20" s="208"/>
      <c r="EB20" s="228">
        <f t="shared" si="40"/>
        <v>123975000</v>
      </c>
      <c r="EC20" s="228">
        <f t="shared" si="41"/>
        <v>23975000</v>
      </c>
      <c r="ED20" s="208">
        <f t="shared" si="42"/>
        <v>13113.331094444444</v>
      </c>
      <c r="EE20" s="209">
        <f t="shared" si="43"/>
        <v>3.8078638386771529E-2</v>
      </c>
      <c r="EG20" s="228">
        <f t="shared" si="44"/>
        <v>0</v>
      </c>
      <c r="EH20" s="208">
        <f t="shared" si="45"/>
        <v>0</v>
      </c>
      <c r="EI20" s="209">
        <f t="shared" si="46"/>
        <v>0</v>
      </c>
      <c r="EJ20" s="209"/>
      <c r="EK20" s="228">
        <f t="shared" si="47"/>
        <v>100000000</v>
      </c>
      <c r="EL20" s="228">
        <f t="shared" si="48"/>
        <v>0</v>
      </c>
      <c r="EM20" s="228">
        <f t="shared" si="49"/>
        <v>10555.555555555555</v>
      </c>
      <c r="EN20" s="209">
        <f t="shared" si="50"/>
        <v>3.7999999999999999E-2</v>
      </c>
      <c r="EP20" s="208"/>
    </row>
    <row r="21" spans="1:146" x14ac:dyDescent="0.25">
      <c r="A21" s="222">
        <f t="shared" si="51"/>
        <v>46092</v>
      </c>
      <c r="B21" s="208">
        <v>23975000</v>
      </c>
      <c r="C21" s="209">
        <v>3.8376149999999998E-2</v>
      </c>
      <c r="D21" s="208">
        <f t="shared" si="0"/>
        <v>2555.7449895833333</v>
      </c>
      <c r="G21" s="208">
        <f t="shared" si="1"/>
        <v>0</v>
      </c>
      <c r="J21" s="208">
        <f t="shared" si="2"/>
        <v>0</v>
      </c>
      <c r="M21" s="208">
        <f t="shared" si="3"/>
        <v>0</v>
      </c>
      <c r="P21" s="208">
        <f t="shared" si="4"/>
        <v>0</v>
      </c>
      <c r="S21" s="208">
        <f t="shared" si="5"/>
        <v>0</v>
      </c>
      <c r="V21" s="208">
        <f t="shared" si="6"/>
        <v>0</v>
      </c>
      <c r="Y21" s="208">
        <f t="shared" si="7"/>
        <v>0</v>
      </c>
      <c r="AB21" s="208">
        <f t="shared" si="8"/>
        <v>0</v>
      </c>
      <c r="AE21" s="208">
        <v>0</v>
      </c>
      <c r="AH21" s="208">
        <v>0</v>
      </c>
      <c r="AI21" s="223">
        <f>100000000</f>
        <v>100000000</v>
      </c>
      <c r="AJ21" s="224">
        <v>3.7999999999999999E-2</v>
      </c>
      <c r="AK21" s="208">
        <f t="shared" si="9"/>
        <v>10555.555555555555</v>
      </c>
      <c r="AL21" s="223"/>
      <c r="AM21" s="224"/>
      <c r="AN21" s="208">
        <f t="shared" si="10"/>
        <v>0</v>
      </c>
      <c r="AO21" s="223"/>
      <c r="AP21" s="224"/>
      <c r="AQ21" s="208">
        <f t="shared" si="11"/>
        <v>0</v>
      </c>
      <c r="AR21" s="223"/>
      <c r="AS21" s="224"/>
      <c r="AT21" s="208">
        <f t="shared" si="12"/>
        <v>0</v>
      </c>
      <c r="AW21" s="208">
        <f t="shared" si="13"/>
        <v>0</v>
      </c>
      <c r="AZ21" s="208">
        <f t="shared" si="14"/>
        <v>0</v>
      </c>
      <c r="BC21" s="208">
        <f t="shared" si="15"/>
        <v>0</v>
      </c>
      <c r="BF21" s="208">
        <f t="shared" si="16"/>
        <v>0</v>
      </c>
      <c r="BI21" s="208">
        <f t="shared" si="17"/>
        <v>0</v>
      </c>
      <c r="BL21" s="208">
        <f t="shared" si="18"/>
        <v>0</v>
      </c>
      <c r="BO21" s="208">
        <f t="shared" si="19"/>
        <v>0</v>
      </c>
      <c r="BR21" s="208">
        <f t="shared" si="20"/>
        <v>0</v>
      </c>
      <c r="BU21" s="208">
        <f t="shared" si="21"/>
        <v>0</v>
      </c>
      <c r="BX21" s="208">
        <f t="shared" si="22"/>
        <v>0</v>
      </c>
      <c r="CA21" s="208">
        <f t="shared" si="23"/>
        <v>0</v>
      </c>
      <c r="CD21" s="208">
        <f t="shared" si="24"/>
        <v>0</v>
      </c>
      <c r="CG21" s="208">
        <f t="shared" si="25"/>
        <v>0</v>
      </c>
      <c r="CJ21" s="208">
        <f t="shared" si="26"/>
        <v>0</v>
      </c>
      <c r="CM21" s="208">
        <f t="shared" si="27"/>
        <v>0</v>
      </c>
      <c r="CP21" s="208">
        <f t="shared" si="28"/>
        <v>0</v>
      </c>
      <c r="CS21" s="208">
        <f t="shared" si="29"/>
        <v>0</v>
      </c>
      <c r="CV21" s="208">
        <f t="shared" si="30"/>
        <v>0</v>
      </c>
      <c r="CY21" s="208">
        <f t="shared" si="31"/>
        <v>0</v>
      </c>
      <c r="DB21" s="208">
        <f t="shared" si="32"/>
        <v>0</v>
      </c>
      <c r="DE21" s="208">
        <f t="shared" si="33"/>
        <v>0</v>
      </c>
      <c r="DH21" s="208">
        <f t="shared" si="34"/>
        <v>0</v>
      </c>
      <c r="DK21" s="208">
        <f t="shared" si="35"/>
        <v>0</v>
      </c>
      <c r="DN21" s="208">
        <f t="shared" si="36"/>
        <v>0</v>
      </c>
      <c r="DQ21" s="208">
        <f t="shared" si="37"/>
        <v>0</v>
      </c>
      <c r="DT21" s="208">
        <f t="shared" si="38"/>
        <v>0</v>
      </c>
      <c r="DW21" s="208">
        <f t="shared" si="39"/>
        <v>0</v>
      </c>
      <c r="DZ21" s="208"/>
      <c r="EA21" s="208"/>
      <c r="EB21" s="228">
        <f t="shared" si="40"/>
        <v>123975000</v>
      </c>
      <c r="EC21" s="228">
        <f t="shared" si="41"/>
        <v>23975000</v>
      </c>
      <c r="ED21" s="208">
        <f t="shared" si="42"/>
        <v>13111.300545138889</v>
      </c>
      <c r="EE21" s="209">
        <f t="shared" si="43"/>
        <v>3.807274205484977E-2</v>
      </c>
      <c r="EG21" s="228">
        <f t="shared" si="44"/>
        <v>0</v>
      </c>
      <c r="EH21" s="208">
        <f t="shared" si="45"/>
        <v>0</v>
      </c>
      <c r="EI21" s="209">
        <f t="shared" si="46"/>
        <v>0</v>
      </c>
      <c r="EJ21" s="209"/>
      <c r="EK21" s="228">
        <f t="shared" si="47"/>
        <v>100000000</v>
      </c>
      <c r="EL21" s="228">
        <f t="shared" si="48"/>
        <v>0</v>
      </c>
      <c r="EM21" s="228">
        <f t="shared" si="49"/>
        <v>10555.555555555555</v>
      </c>
      <c r="EN21" s="209">
        <f t="shared" si="50"/>
        <v>3.7999999999999999E-2</v>
      </c>
      <c r="EP21" s="208"/>
    </row>
    <row r="22" spans="1:146" x14ac:dyDescent="0.25">
      <c r="A22" s="222">
        <f t="shared" si="51"/>
        <v>46093</v>
      </c>
      <c r="B22" s="208">
        <v>38950000</v>
      </c>
      <c r="C22" s="209">
        <v>3.8164200000000002E-2</v>
      </c>
      <c r="D22" s="208">
        <f t="shared" si="0"/>
        <v>4129.1544166666672</v>
      </c>
      <c r="G22" s="208">
        <f t="shared" si="1"/>
        <v>0</v>
      </c>
      <c r="J22" s="208">
        <f t="shared" si="2"/>
        <v>0</v>
      </c>
      <c r="M22" s="208">
        <f t="shared" si="3"/>
        <v>0</v>
      </c>
      <c r="P22" s="208">
        <f t="shared" si="4"/>
        <v>0</v>
      </c>
      <c r="S22" s="208">
        <f t="shared" si="5"/>
        <v>0</v>
      </c>
      <c r="V22" s="208">
        <f t="shared" si="6"/>
        <v>0</v>
      </c>
      <c r="Y22" s="208">
        <f t="shared" si="7"/>
        <v>0</v>
      </c>
      <c r="AB22" s="208">
        <f t="shared" si="8"/>
        <v>0</v>
      </c>
      <c r="AE22" s="208">
        <v>0</v>
      </c>
      <c r="AH22" s="208">
        <v>0</v>
      </c>
      <c r="AI22" s="223">
        <f>75000000+9375000</f>
        <v>84375000</v>
      </c>
      <c r="AJ22" s="224">
        <v>3.7999999999999999E-2</v>
      </c>
      <c r="AK22" s="208">
        <f t="shared" si="9"/>
        <v>8906.25</v>
      </c>
      <c r="AL22" s="223"/>
      <c r="AM22" s="224"/>
      <c r="AN22" s="208">
        <f t="shared" si="10"/>
        <v>0</v>
      </c>
      <c r="AO22" s="223"/>
      <c r="AP22" s="224"/>
      <c r="AQ22" s="208">
        <f t="shared" si="11"/>
        <v>0</v>
      </c>
      <c r="AR22" s="223"/>
      <c r="AS22" s="224"/>
      <c r="AT22" s="208">
        <f t="shared" si="12"/>
        <v>0</v>
      </c>
      <c r="AW22" s="208">
        <f t="shared" si="13"/>
        <v>0</v>
      </c>
      <c r="AZ22" s="208">
        <f t="shared" si="14"/>
        <v>0</v>
      </c>
      <c r="BC22" s="208">
        <f t="shared" si="15"/>
        <v>0</v>
      </c>
      <c r="BF22" s="208">
        <f t="shared" si="16"/>
        <v>0</v>
      </c>
      <c r="BI22" s="208">
        <f t="shared" si="17"/>
        <v>0</v>
      </c>
      <c r="BL22" s="208">
        <f t="shared" si="18"/>
        <v>0</v>
      </c>
      <c r="BO22" s="208">
        <f t="shared" si="19"/>
        <v>0</v>
      </c>
      <c r="BR22" s="208">
        <f t="shared" si="20"/>
        <v>0</v>
      </c>
      <c r="BU22" s="208">
        <f t="shared" si="21"/>
        <v>0</v>
      </c>
      <c r="BX22" s="208">
        <f t="shared" si="22"/>
        <v>0</v>
      </c>
      <c r="CA22" s="208">
        <f t="shared" si="23"/>
        <v>0</v>
      </c>
      <c r="CD22" s="208">
        <f t="shared" si="24"/>
        <v>0</v>
      </c>
      <c r="CG22" s="208">
        <f t="shared" si="25"/>
        <v>0</v>
      </c>
      <c r="CJ22" s="208">
        <f t="shared" si="26"/>
        <v>0</v>
      </c>
      <c r="CM22" s="208">
        <f t="shared" si="27"/>
        <v>0</v>
      </c>
      <c r="CP22" s="208">
        <f t="shared" si="28"/>
        <v>0</v>
      </c>
      <c r="CS22" s="208">
        <f t="shared" si="29"/>
        <v>0</v>
      </c>
      <c r="CV22" s="208">
        <f t="shared" si="30"/>
        <v>0</v>
      </c>
      <c r="CY22" s="208">
        <f t="shared" si="31"/>
        <v>0</v>
      </c>
      <c r="DB22" s="208">
        <f t="shared" si="32"/>
        <v>0</v>
      </c>
      <c r="DE22" s="208">
        <f t="shared" si="33"/>
        <v>0</v>
      </c>
      <c r="DH22" s="208">
        <f t="shared" si="34"/>
        <v>0</v>
      </c>
      <c r="DK22" s="208">
        <f t="shared" si="35"/>
        <v>0</v>
      </c>
      <c r="DN22" s="208">
        <f t="shared" si="36"/>
        <v>0</v>
      </c>
      <c r="DQ22" s="208">
        <f t="shared" si="37"/>
        <v>0</v>
      </c>
      <c r="DT22" s="208">
        <f t="shared" si="38"/>
        <v>0</v>
      </c>
      <c r="DW22" s="208">
        <f t="shared" si="39"/>
        <v>0</v>
      </c>
      <c r="DZ22" s="208"/>
      <c r="EA22" s="208"/>
      <c r="EB22" s="228">
        <f t="shared" si="40"/>
        <v>123325000</v>
      </c>
      <c r="EC22" s="228">
        <f t="shared" si="41"/>
        <v>38950000</v>
      </c>
      <c r="ED22" s="208">
        <f t="shared" si="42"/>
        <v>13035.404416666668</v>
      </c>
      <c r="EE22" s="209">
        <f t="shared" si="43"/>
        <v>3.8051859639164812E-2</v>
      </c>
      <c r="EG22" s="228">
        <f t="shared" si="44"/>
        <v>0</v>
      </c>
      <c r="EH22" s="208">
        <f t="shared" si="45"/>
        <v>0</v>
      </c>
      <c r="EI22" s="209">
        <f t="shared" si="46"/>
        <v>0</v>
      </c>
      <c r="EJ22" s="209"/>
      <c r="EK22" s="228">
        <f t="shared" si="47"/>
        <v>84375000</v>
      </c>
      <c r="EL22" s="228">
        <f t="shared" si="48"/>
        <v>0</v>
      </c>
      <c r="EM22" s="228">
        <f t="shared" si="49"/>
        <v>8906.25</v>
      </c>
      <c r="EN22" s="209">
        <f t="shared" si="50"/>
        <v>3.7999999999999999E-2</v>
      </c>
      <c r="EP22" s="208"/>
    </row>
    <row r="23" spans="1:146" x14ac:dyDescent="0.25">
      <c r="A23" s="222">
        <f t="shared" si="51"/>
        <v>46094</v>
      </c>
      <c r="B23" s="208">
        <v>0</v>
      </c>
      <c r="C23" s="209">
        <v>3.8640509999999996E-2</v>
      </c>
      <c r="D23" s="208">
        <f t="shared" si="0"/>
        <v>0</v>
      </c>
      <c r="G23" s="208">
        <f t="shared" si="1"/>
        <v>0</v>
      </c>
      <c r="J23" s="208">
        <f t="shared" si="2"/>
        <v>0</v>
      </c>
      <c r="M23" s="208">
        <f t="shared" si="3"/>
        <v>0</v>
      </c>
      <c r="P23" s="208">
        <f t="shared" si="4"/>
        <v>0</v>
      </c>
      <c r="S23" s="208">
        <f t="shared" si="5"/>
        <v>0</v>
      </c>
      <c r="V23" s="208">
        <f t="shared" si="6"/>
        <v>0</v>
      </c>
      <c r="Y23" s="208">
        <f t="shared" si="7"/>
        <v>0</v>
      </c>
      <c r="AB23" s="208">
        <f t="shared" si="8"/>
        <v>0</v>
      </c>
      <c r="AE23" s="208">
        <v>0</v>
      </c>
      <c r="AH23" s="208">
        <v>0</v>
      </c>
      <c r="AI23" s="223">
        <f>75000000+116350000</f>
        <v>191350000</v>
      </c>
      <c r="AJ23" s="224">
        <v>3.7999999999999999E-2</v>
      </c>
      <c r="AK23" s="208">
        <f t="shared" si="9"/>
        <v>20198.055555555555</v>
      </c>
      <c r="AL23" s="223"/>
      <c r="AM23" s="224"/>
      <c r="AN23" s="208">
        <f t="shared" si="10"/>
        <v>0</v>
      </c>
      <c r="AO23" s="223"/>
      <c r="AP23" s="224"/>
      <c r="AQ23" s="208">
        <f t="shared" si="11"/>
        <v>0</v>
      </c>
      <c r="AR23" s="223"/>
      <c r="AS23" s="224"/>
      <c r="AT23" s="208">
        <f t="shared" si="12"/>
        <v>0</v>
      </c>
      <c r="AW23" s="208">
        <f t="shared" si="13"/>
        <v>0</v>
      </c>
      <c r="AZ23" s="208">
        <f t="shared" si="14"/>
        <v>0</v>
      </c>
      <c r="BC23" s="208">
        <f t="shared" si="15"/>
        <v>0</v>
      </c>
      <c r="BF23" s="208">
        <f t="shared" si="16"/>
        <v>0</v>
      </c>
      <c r="BI23" s="208">
        <f t="shared" si="17"/>
        <v>0</v>
      </c>
      <c r="BL23" s="208">
        <f t="shared" si="18"/>
        <v>0</v>
      </c>
      <c r="BO23" s="208">
        <f t="shared" si="19"/>
        <v>0</v>
      </c>
      <c r="BR23" s="208">
        <f t="shared" si="20"/>
        <v>0</v>
      </c>
      <c r="BU23" s="208">
        <f t="shared" si="21"/>
        <v>0</v>
      </c>
      <c r="BX23" s="208">
        <f t="shared" si="22"/>
        <v>0</v>
      </c>
      <c r="CA23" s="208">
        <f t="shared" si="23"/>
        <v>0</v>
      </c>
      <c r="CD23" s="208">
        <f t="shared" si="24"/>
        <v>0</v>
      </c>
      <c r="CG23" s="208">
        <f t="shared" si="25"/>
        <v>0</v>
      </c>
      <c r="CJ23" s="208">
        <f t="shared" si="26"/>
        <v>0</v>
      </c>
      <c r="CM23" s="208">
        <f t="shared" si="27"/>
        <v>0</v>
      </c>
      <c r="CP23" s="208">
        <f t="shared" si="28"/>
        <v>0</v>
      </c>
      <c r="CS23" s="208">
        <f t="shared" si="29"/>
        <v>0</v>
      </c>
      <c r="CV23" s="208">
        <f t="shared" si="30"/>
        <v>0</v>
      </c>
      <c r="CY23" s="208">
        <f t="shared" si="31"/>
        <v>0</v>
      </c>
      <c r="DB23" s="208">
        <f t="shared" si="32"/>
        <v>0</v>
      </c>
      <c r="DE23" s="208">
        <f t="shared" si="33"/>
        <v>0</v>
      </c>
      <c r="DH23" s="208">
        <f t="shared" si="34"/>
        <v>0</v>
      </c>
      <c r="DK23" s="208">
        <f t="shared" si="35"/>
        <v>0</v>
      </c>
      <c r="DN23" s="208">
        <f t="shared" si="36"/>
        <v>0</v>
      </c>
      <c r="DQ23" s="208">
        <f t="shared" si="37"/>
        <v>0</v>
      </c>
      <c r="DT23" s="208">
        <f t="shared" si="38"/>
        <v>0</v>
      </c>
      <c r="DW23" s="208">
        <f t="shared" si="39"/>
        <v>0</v>
      </c>
      <c r="DZ23" s="208"/>
      <c r="EA23" s="208"/>
      <c r="EB23" s="228">
        <f t="shared" si="40"/>
        <v>191350000</v>
      </c>
      <c r="EC23" s="228">
        <f t="shared" si="41"/>
        <v>0</v>
      </c>
      <c r="ED23" s="208">
        <f t="shared" si="42"/>
        <v>20198.055555555555</v>
      </c>
      <c r="EE23" s="209">
        <f t="shared" si="43"/>
        <v>3.7999999999999999E-2</v>
      </c>
      <c r="EG23" s="228">
        <f t="shared" si="44"/>
        <v>0</v>
      </c>
      <c r="EH23" s="208">
        <f t="shared" si="45"/>
        <v>0</v>
      </c>
      <c r="EI23" s="209">
        <f t="shared" si="46"/>
        <v>0</v>
      </c>
      <c r="EJ23" s="209"/>
      <c r="EK23" s="228">
        <f t="shared" si="47"/>
        <v>191350000</v>
      </c>
      <c r="EL23" s="228">
        <f t="shared" si="48"/>
        <v>0</v>
      </c>
      <c r="EM23" s="228">
        <f t="shared" si="49"/>
        <v>20198.055555555555</v>
      </c>
      <c r="EN23" s="209">
        <f t="shared" si="50"/>
        <v>3.7999999999999999E-2</v>
      </c>
      <c r="EP23" s="208"/>
    </row>
    <row r="24" spans="1:146" x14ac:dyDescent="0.25">
      <c r="A24" s="222">
        <f t="shared" si="51"/>
        <v>46095</v>
      </c>
      <c r="B24" s="208">
        <v>0</v>
      </c>
      <c r="C24" s="209">
        <v>3.8640509999999996E-2</v>
      </c>
      <c r="D24" s="208">
        <f t="shared" si="0"/>
        <v>0</v>
      </c>
      <c r="G24" s="208">
        <f t="shared" si="1"/>
        <v>0</v>
      </c>
      <c r="J24" s="208">
        <f t="shared" si="2"/>
        <v>0</v>
      </c>
      <c r="M24" s="208">
        <f t="shared" si="3"/>
        <v>0</v>
      </c>
      <c r="P24" s="208">
        <f t="shared" si="4"/>
        <v>0</v>
      </c>
      <c r="S24" s="208">
        <f t="shared" si="5"/>
        <v>0</v>
      </c>
      <c r="V24" s="208">
        <f t="shared" si="6"/>
        <v>0</v>
      </c>
      <c r="Y24" s="208">
        <f t="shared" si="7"/>
        <v>0</v>
      </c>
      <c r="AB24" s="208">
        <f t="shared" si="8"/>
        <v>0</v>
      </c>
      <c r="AE24" s="208">
        <v>0</v>
      </c>
      <c r="AH24" s="208">
        <v>0</v>
      </c>
      <c r="AI24" s="223">
        <f>75000000+116350000</f>
        <v>191350000</v>
      </c>
      <c r="AJ24" s="224">
        <v>3.7999999999999999E-2</v>
      </c>
      <c r="AK24" s="208">
        <f t="shared" si="9"/>
        <v>20198.055555555555</v>
      </c>
      <c r="AL24" s="223"/>
      <c r="AM24" s="224"/>
      <c r="AN24" s="208">
        <f t="shared" si="10"/>
        <v>0</v>
      </c>
      <c r="AO24" s="223"/>
      <c r="AP24" s="224"/>
      <c r="AQ24" s="208">
        <f t="shared" si="11"/>
        <v>0</v>
      </c>
      <c r="AR24" s="223"/>
      <c r="AS24" s="224"/>
      <c r="AT24" s="208">
        <f t="shared" si="12"/>
        <v>0</v>
      </c>
      <c r="AW24" s="208">
        <f t="shared" si="13"/>
        <v>0</v>
      </c>
      <c r="AZ24" s="208">
        <f t="shared" si="14"/>
        <v>0</v>
      </c>
      <c r="BC24" s="208">
        <f t="shared" si="15"/>
        <v>0</v>
      </c>
      <c r="BF24" s="208">
        <f t="shared" si="16"/>
        <v>0</v>
      </c>
      <c r="BI24" s="208">
        <f t="shared" si="17"/>
        <v>0</v>
      </c>
      <c r="BL24" s="208">
        <f t="shared" si="18"/>
        <v>0</v>
      </c>
      <c r="BO24" s="208">
        <f t="shared" si="19"/>
        <v>0</v>
      </c>
      <c r="BR24" s="208">
        <f t="shared" si="20"/>
        <v>0</v>
      </c>
      <c r="BU24" s="208">
        <f t="shared" si="21"/>
        <v>0</v>
      </c>
      <c r="BX24" s="208">
        <f t="shared" si="22"/>
        <v>0</v>
      </c>
      <c r="CA24" s="208">
        <f t="shared" si="23"/>
        <v>0</v>
      </c>
      <c r="CD24" s="208">
        <f t="shared" si="24"/>
        <v>0</v>
      </c>
      <c r="CG24" s="208">
        <f t="shared" si="25"/>
        <v>0</v>
      </c>
      <c r="CJ24" s="208">
        <f t="shared" si="26"/>
        <v>0</v>
      </c>
      <c r="CM24" s="208">
        <f t="shared" si="27"/>
        <v>0</v>
      </c>
      <c r="CP24" s="208">
        <f t="shared" si="28"/>
        <v>0</v>
      </c>
      <c r="CS24" s="208">
        <f t="shared" si="29"/>
        <v>0</v>
      </c>
      <c r="CV24" s="208">
        <f t="shared" si="30"/>
        <v>0</v>
      </c>
      <c r="CY24" s="208">
        <f t="shared" si="31"/>
        <v>0</v>
      </c>
      <c r="DB24" s="208">
        <f t="shared" si="32"/>
        <v>0</v>
      </c>
      <c r="DE24" s="208">
        <f t="shared" si="33"/>
        <v>0</v>
      </c>
      <c r="DH24" s="208">
        <f t="shared" si="34"/>
        <v>0</v>
      </c>
      <c r="DK24" s="208">
        <f t="shared" si="35"/>
        <v>0</v>
      </c>
      <c r="DN24" s="208">
        <f t="shared" si="36"/>
        <v>0</v>
      </c>
      <c r="DQ24" s="208">
        <f t="shared" si="37"/>
        <v>0</v>
      </c>
      <c r="DT24" s="208">
        <f t="shared" si="38"/>
        <v>0</v>
      </c>
      <c r="DW24" s="208">
        <f t="shared" si="39"/>
        <v>0</v>
      </c>
      <c r="DZ24" s="208"/>
      <c r="EA24" s="208"/>
      <c r="EB24" s="228">
        <f t="shared" si="40"/>
        <v>191350000</v>
      </c>
      <c r="EC24" s="228">
        <f t="shared" si="41"/>
        <v>0</v>
      </c>
      <c r="ED24" s="208">
        <f t="shared" si="42"/>
        <v>20198.055555555555</v>
      </c>
      <c r="EE24" s="209">
        <f t="shared" si="43"/>
        <v>3.7999999999999999E-2</v>
      </c>
      <c r="EG24" s="228">
        <f t="shared" si="44"/>
        <v>0</v>
      </c>
      <c r="EH24" s="208">
        <f t="shared" si="45"/>
        <v>0</v>
      </c>
      <c r="EI24" s="209">
        <f t="shared" si="46"/>
        <v>0</v>
      </c>
      <c r="EJ24" s="209"/>
      <c r="EK24" s="228">
        <f t="shared" si="47"/>
        <v>191350000</v>
      </c>
      <c r="EL24" s="228">
        <f t="shared" si="48"/>
        <v>0</v>
      </c>
      <c r="EM24" s="228">
        <f t="shared" si="49"/>
        <v>20198.055555555555</v>
      </c>
      <c r="EN24" s="209">
        <f t="shared" si="50"/>
        <v>3.7999999999999999E-2</v>
      </c>
      <c r="EP24" s="208"/>
    </row>
    <row r="25" spans="1:146" x14ac:dyDescent="0.25">
      <c r="A25" s="222">
        <f t="shared" si="51"/>
        <v>46096</v>
      </c>
      <c r="B25" s="208">
        <v>0</v>
      </c>
      <c r="C25" s="209">
        <v>3.8640509999999996E-2</v>
      </c>
      <c r="D25" s="208">
        <f t="shared" si="0"/>
        <v>0</v>
      </c>
      <c r="G25" s="208">
        <f t="shared" si="1"/>
        <v>0</v>
      </c>
      <c r="J25" s="208">
        <f t="shared" si="2"/>
        <v>0</v>
      </c>
      <c r="M25" s="208">
        <f t="shared" si="3"/>
        <v>0</v>
      </c>
      <c r="P25" s="208">
        <f t="shared" si="4"/>
        <v>0</v>
      </c>
      <c r="S25" s="208">
        <f t="shared" si="5"/>
        <v>0</v>
      </c>
      <c r="V25" s="208">
        <f t="shared" si="6"/>
        <v>0</v>
      </c>
      <c r="Y25" s="208">
        <f t="shared" si="7"/>
        <v>0</v>
      </c>
      <c r="AB25" s="208">
        <f t="shared" si="8"/>
        <v>0</v>
      </c>
      <c r="AE25" s="208">
        <v>0</v>
      </c>
      <c r="AH25" s="208">
        <v>0</v>
      </c>
      <c r="AI25" s="223">
        <f>75000000+116350000</f>
        <v>191350000</v>
      </c>
      <c r="AJ25" s="224">
        <v>3.7999999999999999E-2</v>
      </c>
      <c r="AK25" s="208">
        <f t="shared" si="9"/>
        <v>20198.055555555555</v>
      </c>
      <c r="AL25" s="223"/>
      <c r="AM25" s="224"/>
      <c r="AN25" s="208">
        <f t="shared" si="10"/>
        <v>0</v>
      </c>
      <c r="AO25" s="223"/>
      <c r="AP25" s="224"/>
      <c r="AQ25" s="208">
        <f t="shared" si="11"/>
        <v>0</v>
      </c>
      <c r="AR25" s="223"/>
      <c r="AS25" s="224"/>
      <c r="AT25" s="208">
        <f t="shared" si="12"/>
        <v>0</v>
      </c>
      <c r="AW25" s="208">
        <f t="shared" si="13"/>
        <v>0</v>
      </c>
      <c r="AZ25" s="208">
        <f t="shared" si="14"/>
        <v>0</v>
      </c>
      <c r="BC25" s="208">
        <f t="shared" si="15"/>
        <v>0</v>
      </c>
      <c r="BF25" s="208">
        <f t="shared" si="16"/>
        <v>0</v>
      </c>
      <c r="BI25" s="208">
        <f t="shared" si="17"/>
        <v>0</v>
      </c>
      <c r="BL25" s="208">
        <f t="shared" si="18"/>
        <v>0</v>
      </c>
      <c r="BO25" s="208">
        <f t="shared" si="19"/>
        <v>0</v>
      </c>
      <c r="BR25" s="208">
        <f t="shared" si="20"/>
        <v>0</v>
      </c>
      <c r="BU25" s="208">
        <f t="shared" si="21"/>
        <v>0</v>
      </c>
      <c r="BX25" s="208">
        <f t="shared" si="22"/>
        <v>0</v>
      </c>
      <c r="CA25" s="208">
        <f t="shared" si="23"/>
        <v>0</v>
      </c>
      <c r="CD25" s="208">
        <f t="shared" si="24"/>
        <v>0</v>
      </c>
      <c r="CG25" s="208">
        <f t="shared" si="25"/>
        <v>0</v>
      </c>
      <c r="CJ25" s="208">
        <f t="shared" si="26"/>
        <v>0</v>
      </c>
      <c r="CM25" s="208">
        <f t="shared" si="27"/>
        <v>0</v>
      </c>
      <c r="CP25" s="208">
        <f t="shared" si="28"/>
        <v>0</v>
      </c>
      <c r="CS25" s="208">
        <f t="shared" si="29"/>
        <v>0</v>
      </c>
      <c r="CV25" s="208">
        <f t="shared" si="30"/>
        <v>0</v>
      </c>
      <c r="CY25" s="208">
        <f t="shared" si="31"/>
        <v>0</v>
      </c>
      <c r="DB25" s="208">
        <f t="shared" si="32"/>
        <v>0</v>
      </c>
      <c r="DE25" s="208">
        <f t="shared" si="33"/>
        <v>0</v>
      </c>
      <c r="DH25" s="208">
        <f t="shared" si="34"/>
        <v>0</v>
      </c>
      <c r="DK25" s="208">
        <f t="shared" si="35"/>
        <v>0</v>
      </c>
      <c r="DN25" s="208">
        <f t="shared" si="36"/>
        <v>0</v>
      </c>
      <c r="DQ25" s="208">
        <f t="shared" si="37"/>
        <v>0</v>
      </c>
      <c r="DT25" s="208">
        <f t="shared" si="38"/>
        <v>0</v>
      </c>
      <c r="DW25" s="208">
        <f t="shared" si="39"/>
        <v>0</v>
      </c>
      <c r="DZ25" s="208"/>
      <c r="EA25" s="208"/>
      <c r="EB25" s="228">
        <f t="shared" si="40"/>
        <v>191350000</v>
      </c>
      <c r="EC25" s="228">
        <f t="shared" si="41"/>
        <v>0</v>
      </c>
      <c r="ED25" s="208">
        <f t="shared" si="42"/>
        <v>20198.055555555555</v>
      </c>
      <c r="EE25" s="209">
        <f t="shared" si="43"/>
        <v>3.7999999999999999E-2</v>
      </c>
      <c r="EG25" s="228">
        <f t="shared" si="44"/>
        <v>0</v>
      </c>
      <c r="EH25" s="208">
        <f t="shared" si="45"/>
        <v>0</v>
      </c>
      <c r="EI25" s="209">
        <f t="shared" si="46"/>
        <v>0</v>
      </c>
      <c r="EJ25" s="209"/>
      <c r="EK25" s="228">
        <f t="shared" si="47"/>
        <v>191350000</v>
      </c>
      <c r="EL25" s="228">
        <f t="shared" si="48"/>
        <v>0</v>
      </c>
      <c r="EM25" s="228">
        <f t="shared" si="49"/>
        <v>20198.055555555555</v>
      </c>
      <c r="EN25" s="209">
        <f t="shared" si="50"/>
        <v>3.7999999999999999E-2</v>
      </c>
      <c r="EP25" s="208"/>
    </row>
    <row r="26" spans="1:146" x14ac:dyDescent="0.25">
      <c r="A26" s="222">
        <f t="shared" si="51"/>
        <v>46097</v>
      </c>
      <c r="B26" s="208">
        <v>0</v>
      </c>
      <c r="C26" s="209">
        <v>3.8884509999999997E-2</v>
      </c>
      <c r="D26" s="208">
        <f t="shared" si="0"/>
        <v>0</v>
      </c>
      <c r="G26" s="208">
        <f t="shared" si="1"/>
        <v>0</v>
      </c>
      <c r="J26" s="208">
        <f t="shared" si="2"/>
        <v>0</v>
      </c>
      <c r="M26" s="208">
        <f t="shared" si="3"/>
        <v>0</v>
      </c>
      <c r="P26" s="208">
        <f t="shared" si="4"/>
        <v>0</v>
      </c>
      <c r="S26" s="208">
        <f t="shared" si="5"/>
        <v>0</v>
      </c>
      <c r="V26" s="208">
        <f t="shared" si="6"/>
        <v>0</v>
      </c>
      <c r="Y26" s="208">
        <f t="shared" si="7"/>
        <v>0</v>
      </c>
      <c r="AB26" s="208">
        <f t="shared" si="8"/>
        <v>0</v>
      </c>
      <c r="AE26" s="208">
        <v>0</v>
      </c>
      <c r="AH26" s="208">
        <v>0</v>
      </c>
      <c r="AI26" s="223">
        <v>65000000</v>
      </c>
      <c r="AJ26" s="224">
        <v>3.7999999999999999E-2</v>
      </c>
      <c r="AK26" s="208">
        <f t="shared" si="9"/>
        <v>6861.1111111111113</v>
      </c>
      <c r="AL26" s="223">
        <v>72075000</v>
      </c>
      <c r="AM26" s="224">
        <v>3.85E-2</v>
      </c>
      <c r="AN26" s="208">
        <f t="shared" si="10"/>
        <v>7708.020833333333</v>
      </c>
      <c r="AO26" s="223">
        <v>135000000</v>
      </c>
      <c r="AP26" s="224">
        <v>0.04</v>
      </c>
      <c r="AQ26" s="208">
        <f t="shared" si="11"/>
        <v>15000</v>
      </c>
      <c r="AR26" s="223"/>
      <c r="AS26" s="224"/>
      <c r="AT26" s="208">
        <f t="shared" si="12"/>
        <v>0</v>
      </c>
      <c r="AW26" s="208">
        <f t="shared" si="13"/>
        <v>0</v>
      </c>
      <c r="AZ26" s="208">
        <f t="shared" si="14"/>
        <v>0</v>
      </c>
      <c r="BC26" s="208">
        <f t="shared" si="15"/>
        <v>0</v>
      </c>
      <c r="BF26" s="208">
        <f t="shared" si="16"/>
        <v>0</v>
      </c>
      <c r="BI26" s="208">
        <f t="shared" si="17"/>
        <v>0</v>
      </c>
      <c r="BL26" s="208">
        <f t="shared" si="18"/>
        <v>0</v>
      </c>
      <c r="BO26" s="208">
        <f t="shared" si="19"/>
        <v>0</v>
      </c>
      <c r="BR26" s="208">
        <f t="shared" si="20"/>
        <v>0</v>
      </c>
      <c r="BU26" s="208">
        <f t="shared" si="21"/>
        <v>0</v>
      </c>
      <c r="BX26" s="208">
        <f t="shared" si="22"/>
        <v>0</v>
      </c>
      <c r="CA26" s="208">
        <f t="shared" si="23"/>
        <v>0</v>
      </c>
      <c r="CD26" s="208">
        <f t="shared" si="24"/>
        <v>0</v>
      </c>
      <c r="CG26" s="208">
        <f t="shared" si="25"/>
        <v>0</v>
      </c>
      <c r="CJ26" s="208">
        <f t="shared" si="26"/>
        <v>0</v>
      </c>
      <c r="CM26" s="208">
        <f t="shared" si="27"/>
        <v>0</v>
      </c>
      <c r="CP26" s="208">
        <f t="shared" si="28"/>
        <v>0</v>
      </c>
      <c r="CS26" s="208">
        <f t="shared" si="29"/>
        <v>0</v>
      </c>
      <c r="CV26" s="208">
        <f t="shared" si="30"/>
        <v>0</v>
      </c>
      <c r="CY26" s="208">
        <f t="shared" si="31"/>
        <v>0</v>
      </c>
      <c r="DB26" s="208">
        <f t="shared" si="32"/>
        <v>0</v>
      </c>
      <c r="DE26" s="208">
        <f t="shared" si="33"/>
        <v>0</v>
      </c>
      <c r="DH26" s="208">
        <f t="shared" si="34"/>
        <v>0</v>
      </c>
      <c r="DK26" s="208">
        <f t="shared" si="35"/>
        <v>0</v>
      </c>
      <c r="DN26" s="208">
        <f t="shared" si="36"/>
        <v>0</v>
      </c>
      <c r="DQ26" s="208">
        <f t="shared" si="37"/>
        <v>0</v>
      </c>
      <c r="DT26" s="208">
        <f t="shared" si="38"/>
        <v>0</v>
      </c>
      <c r="DW26" s="208">
        <f t="shared" si="39"/>
        <v>0</v>
      </c>
      <c r="DZ26" s="208"/>
      <c r="EA26" s="208"/>
      <c r="EB26" s="228">
        <f t="shared" si="40"/>
        <v>272075000</v>
      </c>
      <c r="EC26" s="228">
        <f t="shared" si="41"/>
        <v>0</v>
      </c>
      <c r="ED26" s="208">
        <f t="shared" si="42"/>
        <v>29569.131944444445</v>
      </c>
      <c r="EE26" s="209">
        <f t="shared" si="43"/>
        <v>3.91248277129468E-2</v>
      </c>
      <c r="EG26" s="228">
        <f t="shared" si="44"/>
        <v>0</v>
      </c>
      <c r="EH26" s="208">
        <f t="shared" si="45"/>
        <v>0</v>
      </c>
      <c r="EI26" s="209">
        <f t="shared" si="46"/>
        <v>0</v>
      </c>
      <c r="EJ26" s="209"/>
      <c r="EK26" s="228">
        <f t="shared" si="47"/>
        <v>272075000</v>
      </c>
      <c r="EL26" s="228">
        <f t="shared" si="48"/>
        <v>0</v>
      </c>
      <c r="EM26" s="228">
        <f t="shared" si="49"/>
        <v>29569.131944444445</v>
      </c>
      <c r="EN26" s="209">
        <f t="shared" si="50"/>
        <v>3.91248277129468E-2</v>
      </c>
      <c r="EP26" s="208"/>
    </row>
    <row r="27" spans="1:146" x14ac:dyDescent="0.25">
      <c r="A27" s="222">
        <f t="shared" si="51"/>
        <v>46098</v>
      </c>
      <c r="B27" s="208">
        <v>0</v>
      </c>
      <c r="C27" s="209">
        <v>3.902071E-2</v>
      </c>
      <c r="D27" s="208">
        <f t="shared" si="0"/>
        <v>0</v>
      </c>
      <c r="G27" s="208">
        <f t="shared" si="1"/>
        <v>0</v>
      </c>
      <c r="J27" s="208">
        <f t="shared" si="2"/>
        <v>0</v>
      </c>
      <c r="M27" s="208">
        <f t="shared" si="3"/>
        <v>0</v>
      </c>
      <c r="P27" s="208">
        <f t="shared" si="4"/>
        <v>0</v>
      </c>
      <c r="S27" s="208">
        <f t="shared" si="5"/>
        <v>0</v>
      </c>
      <c r="V27" s="208">
        <f t="shared" si="6"/>
        <v>0</v>
      </c>
      <c r="Y27" s="208">
        <f t="shared" si="7"/>
        <v>0</v>
      </c>
      <c r="AB27" s="208">
        <f t="shared" si="8"/>
        <v>0</v>
      </c>
      <c r="AE27" s="208">
        <v>0</v>
      </c>
      <c r="AH27" s="208">
        <v>0</v>
      </c>
      <c r="AI27" s="223">
        <f>80400000+160000000</f>
        <v>240400000</v>
      </c>
      <c r="AJ27" s="224">
        <v>0.04</v>
      </c>
      <c r="AK27" s="208">
        <f t="shared" si="9"/>
        <v>26711.111111111109</v>
      </c>
      <c r="AL27" s="223"/>
      <c r="AM27" s="224"/>
      <c r="AN27" s="208">
        <f t="shared" si="10"/>
        <v>0</v>
      </c>
      <c r="AO27" s="223"/>
      <c r="AP27" s="224"/>
      <c r="AQ27" s="208">
        <f t="shared" si="11"/>
        <v>0</v>
      </c>
      <c r="AR27" s="223">
        <v>15000000</v>
      </c>
      <c r="AS27" s="224">
        <v>4.0500000000000001E-2</v>
      </c>
      <c r="AT27" s="208">
        <f t="shared" si="12"/>
        <v>1687.5</v>
      </c>
      <c r="AW27" s="208">
        <f t="shared" si="13"/>
        <v>0</v>
      </c>
      <c r="AZ27" s="208">
        <f t="shared" si="14"/>
        <v>0</v>
      </c>
      <c r="BC27" s="208">
        <f t="shared" si="15"/>
        <v>0</v>
      </c>
      <c r="BF27" s="208">
        <f t="shared" si="16"/>
        <v>0</v>
      </c>
      <c r="BI27" s="208">
        <f t="shared" si="17"/>
        <v>0</v>
      </c>
      <c r="BL27" s="208">
        <f t="shared" si="18"/>
        <v>0</v>
      </c>
      <c r="BO27" s="208">
        <f t="shared" si="19"/>
        <v>0</v>
      </c>
      <c r="BR27" s="208">
        <f t="shared" si="20"/>
        <v>0</v>
      </c>
      <c r="BU27" s="208">
        <f t="shared" si="21"/>
        <v>0</v>
      </c>
      <c r="BX27" s="208">
        <f t="shared" si="22"/>
        <v>0</v>
      </c>
      <c r="CA27" s="208">
        <f t="shared" si="23"/>
        <v>0</v>
      </c>
      <c r="CD27" s="208">
        <f t="shared" si="24"/>
        <v>0</v>
      </c>
      <c r="CG27" s="208">
        <f t="shared" si="25"/>
        <v>0</v>
      </c>
      <c r="CJ27" s="208">
        <f t="shared" si="26"/>
        <v>0</v>
      </c>
      <c r="CM27" s="208">
        <f t="shared" si="27"/>
        <v>0</v>
      </c>
      <c r="CP27" s="208">
        <f t="shared" si="28"/>
        <v>0</v>
      </c>
      <c r="CS27" s="208">
        <f t="shared" si="29"/>
        <v>0</v>
      </c>
      <c r="CV27" s="208">
        <f t="shared" si="30"/>
        <v>0</v>
      </c>
      <c r="CY27" s="208">
        <f t="shared" si="31"/>
        <v>0</v>
      </c>
      <c r="DB27" s="208">
        <f t="shared" si="32"/>
        <v>0</v>
      </c>
      <c r="DE27" s="208">
        <f t="shared" si="33"/>
        <v>0</v>
      </c>
      <c r="DH27" s="208">
        <f t="shared" si="34"/>
        <v>0</v>
      </c>
      <c r="DK27" s="208">
        <f t="shared" si="35"/>
        <v>0</v>
      </c>
      <c r="DN27" s="208">
        <f t="shared" si="36"/>
        <v>0</v>
      </c>
      <c r="DQ27" s="208">
        <f t="shared" si="37"/>
        <v>0</v>
      </c>
      <c r="DT27" s="208">
        <f t="shared" si="38"/>
        <v>0</v>
      </c>
      <c r="DW27" s="208">
        <f t="shared" si="39"/>
        <v>0</v>
      </c>
      <c r="DZ27" s="208"/>
      <c r="EA27" s="208"/>
      <c r="EB27" s="228">
        <f t="shared" si="40"/>
        <v>255400000</v>
      </c>
      <c r="EC27" s="228">
        <f t="shared" si="41"/>
        <v>0</v>
      </c>
      <c r="ED27" s="208">
        <f t="shared" si="42"/>
        <v>28398.611111111109</v>
      </c>
      <c r="EE27" s="209">
        <f t="shared" si="43"/>
        <v>4.0029365700861394E-2</v>
      </c>
      <c r="EG27" s="228">
        <f t="shared" si="44"/>
        <v>0</v>
      </c>
      <c r="EH27" s="208">
        <f t="shared" si="45"/>
        <v>0</v>
      </c>
      <c r="EI27" s="209">
        <f t="shared" si="46"/>
        <v>0</v>
      </c>
      <c r="EJ27" s="209"/>
      <c r="EK27" s="228">
        <f t="shared" si="47"/>
        <v>255400000</v>
      </c>
      <c r="EL27" s="228">
        <f t="shared" si="48"/>
        <v>0</v>
      </c>
      <c r="EM27" s="228">
        <f t="shared" si="49"/>
        <v>28398.611111111109</v>
      </c>
      <c r="EN27" s="209">
        <f t="shared" si="50"/>
        <v>4.0029365700861394E-2</v>
      </c>
      <c r="EP27" s="208"/>
    </row>
    <row r="28" spans="1:146" x14ac:dyDescent="0.25">
      <c r="A28" s="222">
        <f t="shared" si="51"/>
        <v>46099</v>
      </c>
      <c r="B28" s="208">
        <v>7350000</v>
      </c>
      <c r="C28" s="209">
        <v>3.9026140000000001E-2</v>
      </c>
      <c r="D28" s="208">
        <f t="shared" si="0"/>
        <v>796.78369166666675</v>
      </c>
      <c r="G28" s="208">
        <f t="shared" si="1"/>
        <v>0</v>
      </c>
      <c r="J28" s="208">
        <f t="shared" si="2"/>
        <v>0</v>
      </c>
      <c r="M28" s="208">
        <f t="shared" si="3"/>
        <v>0</v>
      </c>
      <c r="P28" s="208">
        <f t="shared" si="4"/>
        <v>0</v>
      </c>
      <c r="S28" s="208">
        <f t="shared" si="5"/>
        <v>0</v>
      </c>
      <c r="V28" s="208">
        <f t="shared" si="6"/>
        <v>0</v>
      </c>
      <c r="Y28" s="208">
        <f t="shared" si="7"/>
        <v>0</v>
      </c>
      <c r="AB28" s="208">
        <f t="shared" si="8"/>
        <v>0</v>
      </c>
      <c r="AE28" s="208">
        <v>0</v>
      </c>
      <c r="AH28" s="208">
        <v>0</v>
      </c>
      <c r="AI28" s="223">
        <f>150000000+84300000</f>
        <v>234300000</v>
      </c>
      <c r="AJ28" s="224">
        <v>3.95E-2</v>
      </c>
      <c r="AK28" s="208">
        <f t="shared" si="9"/>
        <v>25707.916666666668</v>
      </c>
      <c r="AL28" s="223"/>
      <c r="AM28" s="224"/>
      <c r="AN28" s="208">
        <f t="shared" si="10"/>
        <v>0</v>
      </c>
      <c r="AO28" s="223"/>
      <c r="AP28" s="224"/>
      <c r="AQ28" s="208">
        <f t="shared" si="11"/>
        <v>0</v>
      </c>
      <c r="AR28" s="223"/>
      <c r="AS28" s="224"/>
      <c r="AT28" s="208">
        <f t="shared" si="12"/>
        <v>0</v>
      </c>
      <c r="AW28" s="208">
        <f t="shared" si="13"/>
        <v>0</v>
      </c>
      <c r="AZ28" s="208">
        <f t="shared" si="14"/>
        <v>0</v>
      </c>
      <c r="BC28" s="208">
        <f t="shared" si="15"/>
        <v>0</v>
      </c>
      <c r="BF28" s="208">
        <f t="shared" si="16"/>
        <v>0</v>
      </c>
      <c r="BI28" s="208">
        <f t="shared" si="17"/>
        <v>0</v>
      </c>
      <c r="BL28" s="208">
        <f t="shared" si="18"/>
        <v>0</v>
      </c>
      <c r="BO28" s="208">
        <f t="shared" si="19"/>
        <v>0</v>
      </c>
      <c r="BR28" s="208">
        <f t="shared" si="20"/>
        <v>0</v>
      </c>
      <c r="BU28" s="208">
        <f t="shared" si="21"/>
        <v>0</v>
      </c>
      <c r="BX28" s="208">
        <f t="shared" si="22"/>
        <v>0</v>
      </c>
      <c r="CA28" s="208">
        <f t="shared" si="23"/>
        <v>0</v>
      </c>
      <c r="CD28" s="208">
        <f t="shared" si="24"/>
        <v>0</v>
      </c>
      <c r="CG28" s="208">
        <f t="shared" si="25"/>
        <v>0</v>
      </c>
      <c r="CJ28" s="208">
        <f t="shared" si="26"/>
        <v>0</v>
      </c>
      <c r="CM28" s="208">
        <f t="shared" si="27"/>
        <v>0</v>
      </c>
      <c r="CP28" s="208">
        <f t="shared" si="28"/>
        <v>0</v>
      </c>
      <c r="CS28" s="208">
        <f t="shared" si="29"/>
        <v>0</v>
      </c>
      <c r="CV28" s="208">
        <f t="shared" si="30"/>
        <v>0</v>
      </c>
      <c r="CY28" s="208">
        <f t="shared" si="31"/>
        <v>0</v>
      </c>
      <c r="DB28" s="208">
        <f t="shared" si="32"/>
        <v>0</v>
      </c>
      <c r="DE28" s="208">
        <f t="shared" si="33"/>
        <v>0</v>
      </c>
      <c r="DH28" s="208">
        <f t="shared" si="34"/>
        <v>0</v>
      </c>
      <c r="DK28" s="208">
        <f t="shared" si="35"/>
        <v>0</v>
      </c>
      <c r="DN28" s="208">
        <f t="shared" si="36"/>
        <v>0</v>
      </c>
      <c r="DQ28" s="208">
        <f t="shared" si="37"/>
        <v>0</v>
      </c>
      <c r="DT28" s="208">
        <f t="shared" si="38"/>
        <v>0</v>
      </c>
      <c r="DW28" s="208">
        <f t="shared" si="39"/>
        <v>0</v>
      </c>
      <c r="DZ28" s="208"/>
      <c r="EA28" s="208"/>
      <c r="EB28" s="228">
        <f t="shared" si="40"/>
        <v>241650000</v>
      </c>
      <c r="EC28" s="228">
        <f t="shared" si="41"/>
        <v>7350000</v>
      </c>
      <c r="ED28" s="208">
        <f t="shared" si="42"/>
        <v>26504.700358333335</v>
      </c>
      <c r="EE28" s="209">
        <f t="shared" si="43"/>
        <v>3.9485587126008692E-2</v>
      </c>
      <c r="EG28" s="228">
        <f t="shared" si="44"/>
        <v>0</v>
      </c>
      <c r="EH28" s="208">
        <f t="shared" si="45"/>
        <v>0</v>
      </c>
      <c r="EI28" s="209">
        <f t="shared" si="46"/>
        <v>0</v>
      </c>
      <c r="EJ28" s="209"/>
      <c r="EK28" s="228">
        <f t="shared" si="47"/>
        <v>234300000</v>
      </c>
      <c r="EL28" s="228">
        <f t="shared" si="48"/>
        <v>0</v>
      </c>
      <c r="EM28" s="228">
        <f t="shared" si="49"/>
        <v>25707.916666666668</v>
      </c>
      <c r="EN28" s="209">
        <f t="shared" si="50"/>
        <v>3.95E-2</v>
      </c>
      <c r="EP28" s="208"/>
    </row>
    <row r="29" spans="1:146" x14ac:dyDescent="0.25">
      <c r="A29" s="222">
        <f t="shared" si="51"/>
        <v>46100</v>
      </c>
      <c r="B29" s="208">
        <v>15825000</v>
      </c>
      <c r="C29" s="209">
        <v>3.8885209999999996E-2</v>
      </c>
      <c r="D29" s="208">
        <f t="shared" si="0"/>
        <v>1709.3290229166664</v>
      </c>
      <c r="G29" s="208">
        <f t="shared" si="1"/>
        <v>0</v>
      </c>
      <c r="J29" s="208">
        <f t="shared" si="2"/>
        <v>0</v>
      </c>
      <c r="M29" s="208">
        <f t="shared" si="3"/>
        <v>0</v>
      </c>
      <c r="P29" s="208">
        <f t="shared" si="4"/>
        <v>0</v>
      </c>
      <c r="S29" s="208">
        <f t="shared" si="5"/>
        <v>0</v>
      </c>
      <c r="V29" s="208">
        <f t="shared" si="6"/>
        <v>0</v>
      </c>
      <c r="Y29" s="208">
        <f t="shared" si="7"/>
        <v>0</v>
      </c>
      <c r="AB29" s="208">
        <f t="shared" si="8"/>
        <v>0</v>
      </c>
      <c r="AE29" s="208">
        <v>0</v>
      </c>
      <c r="AH29" s="208">
        <v>0</v>
      </c>
      <c r="AI29" s="223">
        <f>150000000+71825000</f>
        <v>221825000</v>
      </c>
      <c r="AJ29" s="224">
        <v>3.95E-2</v>
      </c>
      <c r="AK29" s="208">
        <f t="shared" si="9"/>
        <v>24339.131944444445</v>
      </c>
      <c r="AL29" s="223"/>
      <c r="AM29" s="224"/>
      <c r="AN29" s="208">
        <f t="shared" si="10"/>
        <v>0</v>
      </c>
      <c r="AO29" s="223"/>
      <c r="AP29" s="224"/>
      <c r="AQ29" s="208">
        <f t="shared" si="11"/>
        <v>0</v>
      </c>
      <c r="AR29" s="223"/>
      <c r="AS29" s="224"/>
      <c r="AT29" s="208">
        <f t="shared" si="12"/>
        <v>0</v>
      </c>
      <c r="AW29" s="208">
        <f t="shared" si="13"/>
        <v>0</v>
      </c>
      <c r="AZ29" s="208">
        <f t="shared" si="14"/>
        <v>0</v>
      </c>
      <c r="BC29" s="208">
        <f t="shared" si="15"/>
        <v>0</v>
      </c>
      <c r="BF29" s="208">
        <f t="shared" si="16"/>
        <v>0</v>
      </c>
      <c r="BI29" s="208">
        <f t="shared" si="17"/>
        <v>0</v>
      </c>
      <c r="BL29" s="208">
        <f t="shared" si="18"/>
        <v>0</v>
      </c>
      <c r="BO29" s="208">
        <f t="shared" si="19"/>
        <v>0</v>
      </c>
      <c r="BR29" s="208">
        <f t="shared" si="20"/>
        <v>0</v>
      </c>
      <c r="BU29" s="208">
        <f t="shared" si="21"/>
        <v>0</v>
      </c>
      <c r="BX29" s="208">
        <f t="shared" si="22"/>
        <v>0</v>
      </c>
      <c r="CA29" s="208">
        <f t="shared" si="23"/>
        <v>0</v>
      </c>
      <c r="CD29" s="208">
        <f t="shared" si="24"/>
        <v>0</v>
      </c>
      <c r="CG29" s="208">
        <f t="shared" si="25"/>
        <v>0</v>
      </c>
      <c r="CJ29" s="208">
        <f t="shared" si="26"/>
        <v>0</v>
      </c>
      <c r="CM29" s="208">
        <f t="shared" si="27"/>
        <v>0</v>
      </c>
      <c r="CP29" s="208">
        <f t="shared" si="28"/>
        <v>0</v>
      </c>
      <c r="CS29" s="208">
        <f t="shared" si="29"/>
        <v>0</v>
      </c>
      <c r="CV29" s="208">
        <f t="shared" si="30"/>
        <v>0</v>
      </c>
      <c r="CY29" s="208">
        <f t="shared" si="31"/>
        <v>0</v>
      </c>
      <c r="DB29" s="208">
        <f t="shared" si="32"/>
        <v>0</v>
      </c>
      <c r="DE29" s="208">
        <f t="shared" si="33"/>
        <v>0</v>
      </c>
      <c r="DH29" s="208">
        <f t="shared" si="34"/>
        <v>0</v>
      </c>
      <c r="DK29" s="208">
        <f t="shared" si="35"/>
        <v>0</v>
      </c>
      <c r="DN29" s="208">
        <f t="shared" si="36"/>
        <v>0</v>
      </c>
      <c r="DQ29" s="208">
        <f t="shared" si="37"/>
        <v>0</v>
      </c>
      <c r="DT29" s="208">
        <f t="shared" si="38"/>
        <v>0</v>
      </c>
      <c r="DW29" s="208">
        <f t="shared" si="39"/>
        <v>0</v>
      </c>
      <c r="DZ29" s="208"/>
      <c r="EA29" s="208"/>
      <c r="EB29" s="228">
        <f t="shared" si="40"/>
        <v>237650000</v>
      </c>
      <c r="EC29" s="228">
        <f t="shared" si="41"/>
        <v>15825000</v>
      </c>
      <c r="ED29" s="208">
        <f t="shared" si="42"/>
        <v>26048.460967361112</v>
      </c>
      <c r="EE29" s="209">
        <f t="shared" si="43"/>
        <v>3.9459061427519461E-2</v>
      </c>
      <c r="EG29" s="228">
        <f t="shared" si="44"/>
        <v>0</v>
      </c>
      <c r="EH29" s="208">
        <f t="shared" si="45"/>
        <v>0</v>
      </c>
      <c r="EI29" s="209">
        <f t="shared" si="46"/>
        <v>0</v>
      </c>
      <c r="EJ29" s="209"/>
      <c r="EK29" s="228">
        <f t="shared" si="47"/>
        <v>221825000</v>
      </c>
      <c r="EL29" s="228">
        <f t="shared" si="48"/>
        <v>0</v>
      </c>
      <c r="EM29" s="228">
        <f t="shared" si="49"/>
        <v>24339.131944444445</v>
      </c>
      <c r="EN29" s="209">
        <f t="shared" si="50"/>
        <v>3.95E-2</v>
      </c>
      <c r="EP29" s="208"/>
    </row>
    <row r="30" spans="1:146" x14ac:dyDescent="0.25">
      <c r="A30" s="222">
        <f t="shared" si="51"/>
        <v>46101</v>
      </c>
      <c r="B30" s="208">
        <v>0</v>
      </c>
      <c r="C30" s="209">
        <v>3.9155860000000001E-2</v>
      </c>
      <c r="D30" s="208">
        <f t="shared" si="0"/>
        <v>0</v>
      </c>
      <c r="G30" s="208">
        <f t="shared" si="1"/>
        <v>0</v>
      </c>
      <c r="J30" s="208">
        <f t="shared" si="2"/>
        <v>0</v>
      </c>
      <c r="M30" s="208">
        <f t="shared" si="3"/>
        <v>0</v>
      </c>
      <c r="P30" s="208">
        <f t="shared" si="4"/>
        <v>0</v>
      </c>
      <c r="S30" s="208">
        <f t="shared" si="5"/>
        <v>0</v>
      </c>
      <c r="V30" s="208">
        <f t="shared" si="6"/>
        <v>0</v>
      </c>
      <c r="Y30" s="208">
        <f t="shared" si="7"/>
        <v>0</v>
      </c>
      <c r="AB30" s="208">
        <f t="shared" si="8"/>
        <v>0</v>
      </c>
      <c r="AE30" s="208">
        <v>0</v>
      </c>
      <c r="AH30" s="208">
        <v>0</v>
      </c>
      <c r="AI30" s="223">
        <f>58925000+175000000</f>
        <v>233925000</v>
      </c>
      <c r="AJ30" s="224">
        <v>3.95E-2</v>
      </c>
      <c r="AK30" s="208">
        <f t="shared" si="9"/>
        <v>25666.770833333332</v>
      </c>
      <c r="AL30" s="223"/>
      <c r="AM30" s="224"/>
      <c r="AN30" s="208">
        <f t="shared" si="10"/>
        <v>0</v>
      </c>
      <c r="AO30" s="223"/>
      <c r="AP30" s="224"/>
      <c r="AQ30" s="208">
        <f t="shared" si="11"/>
        <v>0</v>
      </c>
      <c r="AR30" s="223"/>
      <c r="AS30" s="224"/>
      <c r="AT30" s="208">
        <f t="shared" si="12"/>
        <v>0</v>
      </c>
      <c r="AW30" s="208">
        <f t="shared" si="13"/>
        <v>0</v>
      </c>
      <c r="AZ30" s="208">
        <f t="shared" si="14"/>
        <v>0</v>
      </c>
      <c r="BC30" s="208">
        <f t="shared" si="15"/>
        <v>0</v>
      </c>
      <c r="BF30" s="208">
        <f t="shared" si="16"/>
        <v>0</v>
      </c>
      <c r="BI30" s="208">
        <f t="shared" si="17"/>
        <v>0</v>
      </c>
      <c r="BL30" s="208">
        <f t="shared" si="18"/>
        <v>0</v>
      </c>
      <c r="BO30" s="208">
        <f t="shared" si="19"/>
        <v>0</v>
      </c>
      <c r="BR30" s="208">
        <f t="shared" si="20"/>
        <v>0</v>
      </c>
      <c r="BU30" s="208">
        <f t="shared" si="21"/>
        <v>0</v>
      </c>
      <c r="BX30" s="208">
        <f t="shared" si="22"/>
        <v>0</v>
      </c>
      <c r="CA30" s="208">
        <f t="shared" si="23"/>
        <v>0</v>
      </c>
      <c r="CD30" s="208">
        <f t="shared" si="24"/>
        <v>0</v>
      </c>
      <c r="CG30" s="208">
        <f t="shared" si="25"/>
        <v>0</v>
      </c>
      <c r="CJ30" s="208">
        <f t="shared" si="26"/>
        <v>0</v>
      </c>
      <c r="CM30" s="208">
        <f t="shared" si="27"/>
        <v>0</v>
      </c>
      <c r="CP30" s="208">
        <f t="shared" si="28"/>
        <v>0</v>
      </c>
      <c r="CS30" s="208">
        <f t="shared" si="29"/>
        <v>0</v>
      </c>
      <c r="CV30" s="208">
        <f t="shared" si="30"/>
        <v>0</v>
      </c>
      <c r="CY30" s="208">
        <f t="shared" si="31"/>
        <v>0</v>
      </c>
      <c r="DB30" s="208">
        <f t="shared" si="32"/>
        <v>0</v>
      </c>
      <c r="DE30" s="208">
        <f t="shared" si="33"/>
        <v>0</v>
      </c>
      <c r="DH30" s="208">
        <f t="shared" si="34"/>
        <v>0</v>
      </c>
      <c r="DK30" s="208">
        <f t="shared" si="35"/>
        <v>0</v>
      </c>
      <c r="DN30" s="208">
        <f t="shared" si="36"/>
        <v>0</v>
      </c>
      <c r="DQ30" s="208">
        <f t="shared" si="37"/>
        <v>0</v>
      </c>
      <c r="DT30" s="208">
        <f t="shared" si="38"/>
        <v>0</v>
      </c>
      <c r="DW30" s="208">
        <f t="shared" si="39"/>
        <v>0</v>
      </c>
      <c r="DZ30" s="208"/>
      <c r="EA30" s="208"/>
      <c r="EB30" s="228">
        <f t="shared" si="40"/>
        <v>233925000</v>
      </c>
      <c r="EC30" s="228">
        <f t="shared" si="41"/>
        <v>0</v>
      </c>
      <c r="ED30" s="208">
        <f t="shared" si="42"/>
        <v>25666.770833333332</v>
      </c>
      <c r="EE30" s="209">
        <f t="shared" si="43"/>
        <v>3.95E-2</v>
      </c>
      <c r="EG30" s="228">
        <f t="shared" si="44"/>
        <v>0</v>
      </c>
      <c r="EH30" s="208">
        <f t="shared" si="45"/>
        <v>0</v>
      </c>
      <c r="EI30" s="209">
        <f t="shared" si="46"/>
        <v>0</v>
      </c>
      <c r="EJ30" s="209"/>
      <c r="EK30" s="228">
        <f t="shared" si="47"/>
        <v>233925000</v>
      </c>
      <c r="EL30" s="228">
        <f t="shared" si="48"/>
        <v>0</v>
      </c>
      <c r="EM30" s="228">
        <f t="shared" si="49"/>
        <v>25666.770833333332</v>
      </c>
      <c r="EN30" s="209">
        <f t="shared" si="50"/>
        <v>3.95E-2</v>
      </c>
      <c r="EP30" s="208"/>
    </row>
    <row r="31" spans="1:146" x14ac:dyDescent="0.25">
      <c r="A31" s="222">
        <f t="shared" si="51"/>
        <v>46102</v>
      </c>
      <c r="B31" s="208">
        <v>0</v>
      </c>
      <c r="C31" s="209">
        <v>3.9155860000000001E-2</v>
      </c>
      <c r="D31" s="208">
        <f t="shared" si="0"/>
        <v>0</v>
      </c>
      <c r="G31" s="208">
        <f t="shared" si="1"/>
        <v>0</v>
      </c>
      <c r="J31" s="208">
        <f t="shared" si="2"/>
        <v>0</v>
      </c>
      <c r="M31" s="208">
        <f t="shared" si="3"/>
        <v>0</v>
      </c>
      <c r="P31" s="208">
        <f t="shared" si="4"/>
        <v>0</v>
      </c>
      <c r="S31" s="208">
        <f t="shared" si="5"/>
        <v>0</v>
      </c>
      <c r="V31" s="208">
        <f t="shared" si="6"/>
        <v>0</v>
      </c>
      <c r="Y31" s="208">
        <f t="shared" si="7"/>
        <v>0</v>
      </c>
      <c r="AB31" s="208">
        <f t="shared" si="8"/>
        <v>0</v>
      </c>
      <c r="AE31" s="208">
        <v>0</v>
      </c>
      <c r="AH31" s="208">
        <v>0</v>
      </c>
      <c r="AI31" s="223">
        <f>58925000+175000000</f>
        <v>233925000</v>
      </c>
      <c r="AJ31" s="224">
        <v>3.95E-2</v>
      </c>
      <c r="AK31" s="208">
        <f t="shared" si="9"/>
        <v>25666.770833333332</v>
      </c>
      <c r="AL31" s="223"/>
      <c r="AM31" s="224"/>
      <c r="AN31" s="208">
        <f t="shared" si="10"/>
        <v>0</v>
      </c>
      <c r="AO31" s="223"/>
      <c r="AP31" s="224"/>
      <c r="AQ31" s="208">
        <f t="shared" si="11"/>
        <v>0</v>
      </c>
      <c r="AR31" s="223"/>
      <c r="AS31" s="224"/>
      <c r="AT31" s="208">
        <f t="shared" si="12"/>
        <v>0</v>
      </c>
      <c r="AW31" s="208">
        <f t="shared" si="13"/>
        <v>0</v>
      </c>
      <c r="AZ31" s="208">
        <f t="shared" si="14"/>
        <v>0</v>
      </c>
      <c r="BC31" s="208">
        <f t="shared" si="15"/>
        <v>0</v>
      </c>
      <c r="BF31" s="208">
        <f t="shared" si="16"/>
        <v>0</v>
      </c>
      <c r="BI31" s="208">
        <f t="shared" si="17"/>
        <v>0</v>
      </c>
      <c r="BL31" s="208">
        <f t="shared" si="18"/>
        <v>0</v>
      </c>
      <c r="BO31" s="208">
        <f t="shared" si="19"/>
        <v>0</v>
      </c>
      <c r="BR31" s="208">
        <f t="shared" si="20"/>
        <v>0</v>
      </c>
      <c r="BU31" s="208">
        <f t="shared" si="21"/>
        <v>0</v>
      </c>
      <c r="BX31" s="208">
        <f t="shared" si="22"/>
        <v>0</v>
      </c>
      <c r="CA31" s="208">
        <f t="shared" si="23"/>
        <v>0</v>
      </c>
      <c r="CD31" s="208">
        <f t="shared" si="24"/>
        <v>0</v>
      </c>
      <c r="CG31" s="208">
        <f t="shared" si="25"/>
        <v>0</v>
      </c>
      <c r="CJ31" s="208">
        <f t="shared" si="26"/>
        <v>0</v>
      </c>
      <c r="CM31" s="208">
        <f t="shared" si="27"/>
        <v>0</v>
      </c>
      <c r="CP31" s="208">
        <f t="shared" si="28"/>
        <v>0</v>
      </c>
      <c r="CS31" s="208">
        <f t="shared" si="29"/>
        <v>0</v>
      </c>
      <c r="CV31" s="208">
        <f t="shared" si="30"/>
        <v>0</v>
      </c>
      <c r="CY31" s="208">
        <f t="shared" si="31"/>
        <v>0</v>
      </c>
      <c r="DB31" s="208">
        <f t="shared" si="32"/>
        <v>0</v>
      </c>
      <c r="DE31" s="208">
        <f t="shared" si="33"/>
        <v>0</v>
      </c>
      <c r="DH31" s="208">
        <f t="shared" si="34"/>
        <v>0</v>
      </c>
      <c r="DK31" s="208">
        <f t="shared" si="35"/>
        <v>0</v>
      </c>
      <c r="DN31" s="208">
        <f t="shared" si="36"/>
        <v>0</v>
      </c>
      <c r="DQ31" s="208">
        <f t="shared" si="37"/>
        <v>0</v>
      </c>
      <c r="DT31" s="208">
        <f t="shared" si="38"/>
        <v>0</v>
      </c>
      <c r="DW31" s="208">
        <f t="shared" si="39"/>
        <v>0</v>
      </c>
      <c r="DZ31" s="208"/>
      <c r="EA31" s="208"/>
      <c r="EB31" s="228">
        <f t="shared" si="40"/>
        <v>233925000</v>
      </c>
      <c r="EC31" s="228">
        <f t="shared" si="41"/>
        <v>0</v>
      </c>
      <c r="ED31" s="208">
        <f t="shared" si="42"/>
        <v>25666.770833333332</v>
      </c>
      <c r="EE31" s="209">
        <f t="shared" si="43"/>
        <v>3.95E-2</v>
      </c>
      <c r="EG31" s="228">
        <f t="shared" si="44"/>
        <v>0</v>
      </c>
      <c r="EH31" s="208">
        <f t="shared" si="45"/>
        <v>0</v>
      </c>
      <c r="EI31" s="209">
        <f t="shared" si="46"/>
        <v>0</v>
      </c>
      <c r="EJ31" s="209"/>
      <c r="EK31" s="228">
        <f t="shared" si="47"/>
        <v>233925000</v>
      </c>
      <c r="EL31" s="228">
        <f t="shared" si="48"/>
        <v>0</v>
      </c>
      <c r="EM31" s="228">
        <f t="shared" si="49"/>
        <v>25666.770833333332</v>
      </c>
      <c r="EN31" s="209">
        <f t="shared" si="50"/>
        <v>3.95E-2</v>
      </c>
      <c r="EP31" s="208"/>
    </row>
    <row r="32" spans="1:146" x14ac:dyDescent="0.25">
      <c r="A32" s="222">
        <f t="shared" si="51"/>
        <v>46103</v>
      </c>
      <c r="B32" s="208">
        <v>0</v>
      </c>
      <c r="C32" s="209">
        <v>3.9155860000000001E-2</v>
      </c>
      <c r="D32" s="208">
        <f t="shared" si="0"/>
        <v>0</v>
      </c>
      <c r="G32" s="208">
        <f t="shared" si="1"/>
        <v>0</v>
      </c>
      <c r="J32" s="208">
        <f t="shared" si="2"/>
        <v>0</v>
      </c>
      <c r="M32" s="208">
        <f t="shared" si="3"/>
        <v>0</v>
      </c>
      <c r="P32" s="208">
        <f t="shared" si="4"/>
        <v>0</v>
      </c>
      <c r="S32" s="208">
        <f t="shared" si="5"/>
        <v>0</v>
      </c>
      <c r="V32" s="208">
        <f t="shared" si="6"/>
        <v>0</v>
      </c>
      <c r="Y32" s="208">
        <f t="shared" si="7"/>
        <v>0</v>
      </c>
      <c r="AB32" s="208">
        <f t="shared" si="8"/>
        <v>0</v>
      </c>
      <c r="AE32" s="208">
        <v>0</v>
      </c>
      <c r="AH32" s="208">
        <v>0</v>
      </c>
      <c r="AI32" s="223">
        <f>58925000+175000000</f>
        <v>233925000</v>
      </c>
      <c r="AJ32" s="224">
        <v>3.95E-2</v>
      </c>
      <c r="AK32" s="208">
        <f t="shared" si="9"/>
        <v>25666.770833333332</v>
      </c>
      <c r="AL32" s="223"/>
      <c r="AM32" s="224"/>
      <c r="AN32" s="208">
        <f t="shared" si="10"/>
        <v>0</v>
      </c>
      <c r="AO32" s="223"/>
      <c r="AP32" s="224"/>
      <c r="AQ32" s="208">
        <f t="shared" si="11"/>
        <v>0</v>
      </c>
      <c r="AR32" s="223"/>
      <c r="AS32" s="224"/>
      <c r="AT32" s="208">
        <f t="shared" si="12"/>
        <v>0</v>
      </c>
      <c r="AW32" s="208">
        <f t="shared" si="13"/>
        <v>0</v>
      </c>
      <c r="AZ32" s="208">
        <f t="shared" si="14"/>
        <v>0</v>
      </c>
      <c r="BC32" s="208">
        <f t="shared" si="15"/>
        <v>0</v>
      </c>
      <c r="BF32" s="208">
        <f t="shared" si="16"/>
        <v>0</v>
      </c>
      <c r="BI32" s="208">
        <f t="shared" si="17"/>
        <v>0</v>
      </c>
      <c r="BL32" s="208">
        <f t="shared" si="18"/>
        <v>0</v>
      </c>
      <c r="BO32" s="208">
        <f t="shared" si="19"/>
        <v>0</v>
      </c>
      <c r="BR32" s="208">
        <f t="shared" si="20"/>
        <v>0</v>
      </c>
      <c r="BU32" s="208">
        <f t="shared" si="21"/>
        <v>0</v>
      </c>
      <c r="BX32" s="208">
        <f t="shared" si="22"/>
        <v>0</v>
      </c>
      <c r="CA32" s="208">
        <f t="shared" si="23"/>
        <v>0</v>
      </c>
      <c r="CD32" s="208">
        <f t="shared" si="24"/>
        <v>0</v>
      </c>
      <c r="CG32" s="208">
        <f t="shared" si="25"/>
        <v>0</v>
      </c>
      <c r="CJ32" s="208">
        <f t="shared" si="26"/>
        <v>0</v>
      </c>
      <c r="CM32" s="208">
        <f t="shared" si="27"/>
        <v>0</v>
      </c>
      <c r="CP32" s="208">
        <f t="shared" si="28"/>
        <v>0</v>
      </c>
      <c r="CS32" s="208">
        <f t="shared" si="29"/>
        <v>0</v>
      </c>
      <c r="CV32" s="208">
        <f t="shared" si="30"/>
        <v>0</v>
      </c>
      <c r="CY32" s="208">
        <f t="shared" si="31"/>
        <v>0</v>
      </c>
      <c r="DB32" s="208">
        <f t="shared" si="32"/>
        <v>0</v>
      </c>
      <c r="DE32" s="208">
        <f t="shared" si="33"/>
        <v>0</v>
      </c>
      <c r="DH32" s="208">
        <f t="shared" si="34"/>
        <v>0</v>
      </c>
      <c r="DK32" s="208">
        <f t="shared" si="35"/>
        <v>0</v>
      </c>
      <c r="DN32" s="208">
        <f t="shared" si="36"/>
        <v>0</v>
      </c>
      <c r="DQ32" s="208">
        <f t="shared" si="37"/>
        <v>0</v>
      </c>
      <c r="DT32" s="208">
        <f t="shared" si="38"/>
        <v>0</v>
      </c>
      <c r="DW32" s="208">
        <f t="shared" si="39"/>
        <v>0</v>
      </c>
      <c r="DZ32" s="208"/>
      <c r="EA32" s="208"/>
      <c r="EB32" s="228">
        <f t="shared" si="40"/>
        <v>233925000</v>
      </c>
      <c r="EC32" s="228">
        <f t="shared" si="41"/>
        <v>0</v>
      </c>
      <c r="ED32" s="208">
        <f t="shared" si="42"/>
        <v>25666.770833333332</v>
      </c>
      <c r="EE32" s="209">
        <f t="shared" si="43"/>
        <v>3.95E-2</v>
      </c>
      <c r="EG32" s="228">
        <f t="shared" si="44"/>
        <v>0</v>
      </c>
      <c r="EH32" s="208">
        <f t="shared" si="45"/>
        <v>0</v>
      </c>
      <c r="EI32" s="209">
        <f t="shared" si="46"/>
        <v>0</v>
      </c>
      <c r="EJ32" s="209"/>
      <c r="EK32" s="228">
        <f t="shared" si="47"/>
        <v>233925000</v>
      </c>
      <c r="EL32" s="228">
        <f t="shared" si="48"/>
        <v>0</v>
      </c>
      <c r="EM32" s="228">
        <f t="shared" si="49"/>
        <v>25666.770833333332</v>
      </c>
      <c r="EN32" s="209">
        <f t="shared" si="50"/>
        <v>3.95E-2</v>
      </c>
      <c r="EP32" s="208"/>
    </row>
    <row r="33" spans="1:146" x14ac:dyDescent="0.25">
      <c r="A33" s="222">
        <f t="shared" si="51"/>
        <v>46104</v>
      </c>
      <c r="B33" s="208">
        <v>0</v>
      </c>
      <c r="C33" s="209">
        <v>3.9267299999999998E-2</v>
      </c>
      <c r="D33" s="208">
        <f t="shared" si="0"/>
        <v>0</v>
      </c>
      <c r="G33" s="208">
        <f t="shared" si="1"/>
        <v>0</v>
      </c>
      <c r="J33" s="208">
        <f t="shared" si="2"/>
        <v>0</v>
      </c>
      <c r="M33" s="208">
        <f t="shared" si="3"/>
        <v>0</v>
      </c>
      <c r="P33" s="208">
        <f t="shared" si="4"/>
        <v>0</v>
      </c>
      <c r="S33" s="208">
        <f t="shared" si="5"/>
        <v>0</v>
      </c>
      <c r="V33" s="208">
        <f t="shared" si="6"/>
        <v>0</v>
      </c>
      <c r="Y33" s="208">
        <f t="shared" si="7"/>
        <v>0</v>
      </c>
      <c r="AB33" s="208">
        <f t="shared" si="8"/>
        <v>0</v>
      </c>
      <c r="AE33" s="208">
        <v>0</v>
      </c>
      <c r="AH33" s="208">
        <v>0</v>
      </c>
      <c r="AI33" s="223">
        <f>175000000+54100000</f>
        <v>229100000</v>
      </c>
      <c r="AJ33" s="224">
        <v>3.95E-2</v>
      </c>
      <c r="AK33" s="208">
        <f t="shared" si="9"/>
        <v>25137.361111111109</v>
      </c>
      <c r="AL33" s="223"/>
      <c r="AM33" s="224"/>
      <c r="AN33" s="208">
        <f t="shared" si="10"/>
        <v>0</v>
      </c>
      <c r="AO33" s="223"/>
      <c r="AP33" s="224"/>
      <c r="AQ33" s="208">
        <f t="shared" si="11"/>
        <v>0</v>
      </c>
      <c r="AR33" s="223"/>
      <c r="AS33" s="224"/>
      <c r="AT33" s="208">
        <f t="shared" si="12"/>
        <v>0</v>
      </c>
      <c r="AW33" s="208">
        <f t="shared" si="13"/>
        <v>0</v>
      </c>
      <c r="AZ33" s="208">
        <f t="shared" si="14"/>
        <v>0</v>
      </c>
      <c r="BC33" s="208">
        <f t="shared" si="15"/>
        <v>0</v>
      </c>
      <c r="BF33" s="208">
        <f t="shared" si="16"/>
        <v>0</v>
      </c>
      <c r="BI33" s="208">
        <f t="shared" si="17"/>
        <v>0</v>
      </c>
      <c r="BL33" s="208">
        <f t="shared" si="18"/>
        <v>0</v>
      </c>
      <c r="BO33" s="208">
        <f t="shared" si="19"/>
        <v>0</v>
      </c>
      <c r="BR33" s="208">
        <f t="shared" si="20"/>
        <v>0</v>
      </c>
      <c r="BU33" s="208">
        <f t="shared" si="21"/>
        <v>0</v>
      </c>
      <c r="BX33" s="208">
        <f t="shared" si="22"/>
        <v>0</v>
      </c>
      <c r="CA33" s="208">
        <f t="shared" si="23"/>
        <v>0</v>
      </c>
      <c r="CD33" s="208">
        <f t="shared" si="24"/>
        <v>0</v>
      </c>
      <c r="CG33" s="208">
        <f t="shared" si="25"/>
        <v>0</v>
      </c>
      <c r="CJ33" s="208">
        <f t="shared" si="26"/>
        <v>0</v>
      </c>
      <c r="CM33" s="208">
        <f t="shared" si="27"/>
        <v>0</v>
      </c>
      <c r="CP33" s="208">
        <f t="shared" si="28"/>
        <v>0</v>
      </c>
      <c r="CS33" s="208">
        <f t="shared" si="29"/>
        <v>0</v>
      </c>
      <c r="CV33" s="208">
        <f t="shared" si="30"/>
        <v>0</v>
      </c>
      <c r="CY33" s="208">
        <f t="shared" si="31"/>
        <v>0</v>
      </c>
      <c r="DB33" s="208">
        <f t="shared" si="32"/>
        <v>0</v>
      </c>
      <c r="DE33" s="208">
        <f t="shared" si="33"/>
        <v>0</v>
      </c>
      <c r="DH33" s="208">
        <f t="shared" si="34"/>
        <v>0</v>
      </c>
      <c r="DK33" s="208">
        <f t="shared" si="35"/>
        <v>0</v>
      </c>
      <c r="DN33" s="208">
        <f t="shared" si="36"/>
        <v>0</v>
      </c>
      <c r="DQ33" s="208">
        <f t="shared" si="37"/>
        <v>0</v>
      </c>
      <c r="DT33" s="208">
        <f t="shared" si="38"/>
        <v>0</v>
      </c>
      <c r="DW33" s="208">
        <f t="shared" si="39"/>
        <v>0</v>
      </c>
      <c r="DZ33" s="208"/>
      <c r="EA33" s="208"/>
      <c r="EB33" s="228">
        <f t="shared" si="40"/>
        <v>229100000</v>
      </c>
      <c r="EC33" s="228">
        <f t="shared" si="41"/>
        <v>0</v>
      </c>
      <c r="ED33" s="208">
        <f t="shared" si="42"/>
        <v>25137.361111111109</v>
      </c>
      <c r="EE33" s="209">
        <f t="shared" si="43"/>
        <v>3.9499999999999993E-2</v>
      </c>
      <c r="EG33" s="228">
        <f t="shared" si="44"/>
        <v>0</v>
      </c>
      <c r="EH33" s="208">
        <f t="shared" si="45"/>
        <v>0</v>
      </c>
      <c r="EI33" s="209">
        <f t="shared" si="46"/>
        <v>0</v>
      </c>
      <c r="EJ33" s="209"/>
      <c r="EK33" s="228">
        <f t="shared" si="47"/>
        <v>229100000</v>
      </c>
      <c r="EL33" s="228">
        <f t="shared" si="48"/>
        <v>0</v>
      </c>
      <c r="EM33" s="228">
        <f t="shared" si="49"/>
        <v>25137.361111111109</v>
      </c>
      <c r="EN33" s="209">
        <f t="shared" si="50"/>
        <v>3.9499999999999993E-2</v>
      </c>
      <c r="EP33" s="208"/>
    </row>
    <row r="34" spans="1:146" x14ac:dyDescent="0.25">
      <c r="A34" s="222">
        <f t="shared" si="51"/>
        <v>46105</v>
      </c>
      <c r="B34" s="208">
        <v>0</v>
      </c>
      <c r="C34" s="209">
        <v>3.9306260000000003E-2</v>
      </c>
      <c r="D34" s="208">
        <f t="shared" si="0"/>
        <v>0</v>
      </c>
      <c r="G34" s="208">
        <f t="shared" si="1"/>
        <v>0</v>
      </c>
      <c r="J34" s="208">
        <f t="shared" si="2"/>
        <v>0</v>
      </c>
      <c r="M34" s="208">
        <f t="shared" si="3"/>
        <v>0</v>
      </c>
      <c r="P34" s="208">
        <f t="shared" si="4"/>
        <v>0</v>
      </c>
      <c r="S34" s="208">
        <f t="shared" si="5"/>
        <v>0</v>
      </c>
      <c r="V34" s="208">
        <f t="shared" si="6"/>
        <v>0</v>
      </c>
      <c r="Y34" s="208">
        <f t="shared" si="7"/>
        <v>0</v>
      </c>
      <c r="AB34" s="208">
        <f t="shared" si="8"/>
        <v>0</v>
      </c>
      <c r="AE34" s="208">
        <v>0</v>
      </c>
      <c r="AH34" s="208">
        <v>0</v>
      </c>
      <c r="AI34" s="223">
        <f>50000000+150000000+13800000</f>
        <v>213800000</v>
      </c>
      <c r="AJ34" s="224">
        <v>3.95E-2</v>
      </c>
      <c r="AK34" s="208">
        <f t="shared" si="9"/>
        <v>23458.611111111109</v>
      </c>
      <c r="AL34" s="223"/>
      <c r="AM34" s="224"/>
      <c r="AN34" s="208">
        <f t="shared" si="10"/>
        <v>0</v>
      </c>
      <c r="AO34" s="223"/>
      <c r="AP34" s="224"/>
      <c r="AQ34" s="208">
        <f t="shared" si="11"/>
        <v>0</v>
      </c>
      <c r="AR34" s="223"/>
      <c r="AS34" s="224"/>
      <c r="AT34" s="208">
        <f t="shared" si="12"/>
        <v>0</v>
      </c>
      <c r="AW34" s="208">
        <f t="shared" si="13"/>
        <v>0</v>
      </c>
      <c r="AZ34" s="208">
        <f t="shared" si="14"/>
        <v>0</v>
      </c>
      <c r="BC34" s="208">
        <f t="shared" si="15"/>
        <v>0</v>
      </c>
      <c r="BF34" s="208">
        <f t="shared" si="16"/>
        <v>0</v>
      </c>
      <c r="BI34" s="208">
        <f t="shared" si="17"/>
        <v>0</v>
      </c>
      <c r="BL34" s="208">
        <f t="shared" si="18"/>
        <v>0</v>
      </c>
      <c r="BO34" s="208">
        <f t="shared" si="19"/>
        <v>0</v>
      </c>
      <c r="BR34" s="208">
        <f t="shared" si="20"/>
        <v>0</v>
      </c>
      <c r="BU34" s="208">
        <f t="shared" si="21"/>
        <v>0</v>
      </c>
      <c r="BX34" s="208">
        <f t="shared" si="22"/>
        <v>0</v>
      </c>
      <c r="CA34" s="208">
        <f t="shared" si="23"/>
        <v>0</v>
      </c>
      <c r="CD34" s="208">
        <f t="shared" si="24"/>
        <v>0</v>
      </c>
      <c r="CG34" s="208">
        <f t="shared" si="25"/>
        <v>0</v>
      </c>
      <c r="CJ34" s="208">
        <f t="shared" si="26"/>
        <v>0</v>
      </c>
      <c r="CM34" s="208">
        <f t="shared" si="27"/>
        <v>0</v>
      </c>
      <c r="CP34" s="208">
        <f t="shared" si="28"/>
        <v>0</v>
      </c>
      <c r="CS34" s="208">
        <f t="shared" si="29"/>
        <v>0</v>
      </c>
      <c r="CV34" s="208">
        <f t="shared" si="30"/>
        <v>0</v>
      </c>
      <c r="CY34" s="208">
        <f t="shared" si="31"/>
        <v>0</v>
      </c>
      <c r="DB34" s="208">
        <f t="shared" si="32"/>
        <v>0</v>
      </c>
      <c r="DE34" s="208">
        <f t="shared" si="33"/>
        <v>0</v>
      </c>
      <c r="DH34" s="208">
        <f t="shared" si="34"/>
        <v>0</v>
      </c>
      <c r="DK34" s="208">
        <f t="shared" si="35"/>
        <v>0</v>
      </c>
      <c r="DN34" s="208">
        <f t="shared" si="36"/>
        <v>0</v>
      </c>
      <c r="DQ34" s="208">
        <f t="shared" si="37"/>
        <v>0</v>
      </c>
      <c r="DT34" s="208">
        <f t="shared" si="38"/>
        <v>0</v>
      </c>
      <c r="DW34" s="208">
        <f t="shared" si="39"/>
        <v>0</v>
      </c>
      <c r="DZ34" s="208"/>
      <c r="EA34" s="208"/>
      <c r="EB34" s="228">
        <f t="shared" si="40"/>
        <v>213800000</v>
      </c>
      <c r="EC34" s="228">
        <f t="shared" si="41"/>
        <v>0</v>
      </c>
      <c r="ED34" s="208">
        <f t="shared" si="42"/>
        <v>23458.611111111109</v>
      </c>
      <c r="EE34" s="209">
        <f t="shared" si="43"/>
        <v>3.9499999999999993E-2</v>
      </c>
      <c r="EG34" s="228">
        <f t="shared" si="44"/>
        <v>0</v>
      </c>
      <c r="EH34" s="208">
        <f t="shared" si="45"/>
        <v>0</v>
      </c>
      <c r="EI34" s="209">
        <f t="shared" si="46"/>
        <v>0</v>
      </c>
      <c r="EJ34" s="209"/>
      <c r="EK34" s="228">
        <f t="shared" si="47"/>
        <v>213800000</v>
      </c>
      <c r="EL34" s="228">
        <f t="shared" si="48"/>
        <v>0</v>
      </c>
      <c r="EM34" s="228">
        <f t="shared" si="49"/>
        <v>23458.611111111109</v>
      </c>
      <c r="EN34" s="209">
        <f t="shared" si="50"/>
        <v>3.9499999999999993E-2</v>
      </c>
      <c r="EP34" s="208"/>
    </row>
    <row r="35" spans="1:146" x14ac:dyDescent="0.25">
      <c r="A35" s="222">
        <f t="shared" si="51"/>
        <v>46106</v>
      </c>
      <c r="B35" s="208">
        <v>0</v>
      </c>
      <c r="C35" s="209">
        <v>3.93096E-2</v>
      </c>
      <c r="D35" s="208">
        <f t="shared" si="0"/>
        <v>0</v>
      </c>
      <c r="G35" s="208">
        <f t="shared" si="1"/>
        <v>0</v>
      </c>
      <c r="J35" s="208">
        <f t="shared" si="2"/>
        <v>0</v>
      </c>
      <c r="M35" s="208">
        <f t="shared" si="3"/>
        <v>0</v>
      </c>
      <c r="P35" s="208">
        <f t="shared" si="4"/>
        <v>0</v>
      </c>
      <c r="S35" s="208">
        <f t="shared" si="5"/>
        <v>0</v>
      </c>
      <c r="V35" s="208">
        <f t="shared" si="6"/>
        <v>0</v>
      </c>
      <c r="Y35" s="208">
        <f t="shared" si="7"/>
        <v>0</v>
      </c>
      <c r="AB35" s="208">
        <f t="shared" si="8"/>
        <v>0</v>
      </c>
      <c r="AE35" s="208">
        <v>0</v>
      </c>
      <c r="AH35" s="208">
        <v>0</v>
      </c>
      <c r="AI35" s="223">
        <f>84894000+14900000+115106000</f>
        <v>214900000</v>
      </c>
      <c r="AJ35" s="224">
        <v>3.95E-2</v>
      </c>
      <c r="AK35" s="208">
        <f t="shared" si="9"/>
        <v>23579.305555555555</v>
      </c>
      <c r="AL35" s="223"/>
      <c r="AM35" s="224"/>
      <c r="AN35" s="208">
        <f t="shared" si="10"/>
        <v>0</v>
      </c>
      <c r="AO35" s="223"/>
      <c r="AP35" s="224"/>
      <c r="AQ35" s="208">
        <f t="shared" si="11"/>
        <v>0</v>
      </c>
      <c r="AR35" s="223"/>
      <c r="AS35" s="224"/>
      <c r="AT35" s="208">
        <f t="shared" si="12"/>
        <v>0</v>
      </c>
      <c r="AW35" s="208">
        <f t="shared" si="13"/>
        <v>0</v>
      </c>
      <c r="AZ35" s="208">
        <f t="shared" si="14"/>
        <v>0</v>
      </c>
      <c r="BC35" s="208">
        <f t="shared" si="15"/>
        <v>0</v>
      </c>
      <c r="BF35" s="208">
        <f t="shared" si="16"/>
        <v>0</v>
      </c>
      <c r="BI35" s="208">
        <f t="shared" si="17"/>
        <v>0</v>
      </c>
      <c r="BL35" s="208">
        <f t="shared" si="18"/>
        <v>0</v>
      </c>
      <c r="BO35" s="208">
        <f t="shared" si="19"/>
        <v>0</v>
      </c>
      <c r="BR35" s="208">
        <f t="shared" si="20"/>
        <v>0</v>
      </c>
      <c r="BU35" s="208">
        <f t="shared" si="21"/>
        <v>0</v>
      </c>
      <c r="BX35" s="208">
        <f t="shared" si="22"/>
        <v>0</v>
      </c>
      <c r="CA35" s="208">
        <f t="shared" si="23"/>
        <v>0</v>
      </c>
      <c r="CD35" s="208">
        <f t="shared" si="24"/>
        <v>0</v>
      </c>
      <c r="CG35" s="208">
        <f t="shared" si="25"/>
        <v>0</v>
      </c>
      <c r="CJ35" s="208">
        <f t="shared" si="26"/>
        <v>0</v>
      </c>
      <c r="CM35" s="208">
        <f t="shared" si="27"/>
        <v>0</v>
      </c>
      <c r="CP35" s="208">
        <f t="shared" si="28"/>
        <v>0</v>
      </c>
      <c r="CS35" s="208">
        <f t="shared" si="29"/>
        <v>0</v>
      </c>
      <c r="CV35" s="208">
        <f t="shared" si="30"/>
        <v>0</v>
      </c>
      <c r="CY35" s="208">
        <f t="shared" si="31"/>
        <v>0</v>
      </c>
      <c r="DB35" s="208">
        <f t="shared" si="32"/>
        <v>0</v>
      </c>
      <c r="DE35" s="208">
        <f t="shared" si="33"/>
        <v>0</v>
      </c>
      <c r="DH35" s="208">
        <f t="shared" si="34"/>
        <v>0</v>
      </c>
      <c r="DK35" s="208">
        <f t="shared" si="35"/>
        <v>0</v>
      </c>
      <c r="DN35" s="208">
        <f t="shared" si="36"/>
        <v>0</v>
      </c>
      <c r="DQ35" s="208">
        <f t="shared" si="37"/>
        <v>0</v>
      </c>
      <c r="DT35" s="208">
        <f t="shared" si="38"/>
        <v>0</v>
      </c>
      <c r="DW35" s="208">
        <f t="shared" si="39"/>
        <v>0</v>
      </c>
      <c r="DZ35" s="208"/>
      <c r="EA35" s="208"/>
      <c r="EB35" s="228">
        <f t="shared" si="40"/>
        <v>214900000</v>
      </c>
      <c r="EC35" s="228">
        <f t="shared" si="41"/>
        <v>0</v>
      </c>
      <c r="ED35" s="208">
        <f t="shared" si="42"/>
        <v>23579.305555555555</v>
      </c>
      <c r="EE35" s="209">
        <f t="shared" si="43"/>
        <v>3.95E-2</v>
      </c>
      <c r="EG35" s="228">
        <f t="shared" si="44"/>
        <v>0</v>
      </c>
      <c r="EH35" s="208">
        <f t="shared" si="45"/>
        <v>0</v>
      </c>
      <c r="EI35" s="209">
        <f t="shared" si="46"/>
        <v>0</v>
      </c>
      <c r="EJ35" s="209"/>
      <c r="EK35" s="228">
        <f t="shared" si="47"/>
        <v>214900000</v>
      </c>
      <c r="EL35" s="228">
        <f t="shared" si="48"/>
        <v>0</v>
      </c>
      <c r="EM35" s="228">
        <f t="shared" si="49"/>
        <v>23579.305555555555</v>
      </c>
      <c r="EN35" s="209">
        <f t="shared" si="50"/>
        <v>3.95E-2</v>
      </c>
      <c r="EP35" s="208"/>
    </row>
    <row r="36" spans="1:146" x14ac:dyDescent="0.25">
      <c r="A36" s="222">
        <f t="shared" si="51"/>
        <v>46107</v>
      </c>
      <c r="B36" s="208">
        <v>0</v>
      </c>
      <c r="C36" s="209">
        <v>3.931432E-2</v>
      </c>
      <c r="D36" s="208">
        <f t="shared" si="0"/>
        <v>0</v>
      </c>
      <c r="G36" s="208">
        <f t="shared" si="1"/>
        <v>0</v>
      </c>
      <c r="J36" s="208">
        <f t="shared" si="2"/>
        <v>0</v>
      </c>
      <c r="M36" s="208">
        <f t="shared" si="3"/>
        <v>0</v>
      </c>
      <c r="P36" s="208">
        <f t="shared" si="4"/>
        <v>0</v>
      </c>
      <c r="S36" s="208">
        <f t="shared" si="5"/>
        <v>0</v>
      </c>
      <c r="V36" s="208">
        <f t="shared" si="6"/>
        <v>0</v>
      </c>
      <c r="Y36" s="208">
        <f t="shared" si="7"/>
        <v>0</v>
      </c>
      <c r="AB36" s="208">
        <f t="shared" si="8"/>
        <v>0</v>
      </c>
      <c r="AE36" s="208">
        <v>0</v>
      </c>
      <c r="AH36" s="208">
        <v>0</v>
      </c>
      <c r="AI36" s="223">
        <f>150000000+50000000+28200000</f>
        <v>228200000</v>
      </c>
      <c r="AJ36" s="224">
        <v>3.95E-2</v>
      </c>
      <c r="AK36" s="208">
        <f t="shared" si="9"/>
        <v>25038.611111111109</v>
      </c>
      <c r="AL36" s="223"/>
      <c r="AM36" s="224"/>
      <c r="AN36" s="208">
        <f t="shared" si="10"/>
        <v>0</v>
      </c>
      <c r="AO36" s="223"/>
      <c r="AP36" s="224"/>
      <c r="AQ36" s="208">
        <f t="shared" si="11"/>
        <v>0</v>
      </c>
      <c r="AR36" s="223"/>
      <c r="AS36" s="224"/>
      <c r="AT36" s="208">
        <f t="shared" si="12"/>
        <v>0</v>
      </c>
      <c r="AW36" s="208">
        <f t="shared" si="13"/>
        <v>0</v>
      </c>
      <c r="AZ36" s="208">
        <f t="shared" si="14"/>
        <v>0</v>
      </c>
      <c r="BC36" s="208">
        <f t="shared" si="15"/>
        <v>0</v>
      </c>
      <c r="BF36" s="208">
        <f t="shared" si="16"/>
        <v>0</v>
      </c>
      <c r="BI36" s="208">
        <f t="shared" si="17"/>
        <v>0</v>
      </c>
      <c r="BL36" s="208">
        <f t="shared" si="18"/>
        <v>0</v>
      </c>
      <c r="BO36" s="208">
        <f t="shared" si="19"/>
        <v>0</v>
      </c>
      <c r="BR36" s="208">
        <f t="shared" si="20"/>
        <v>0</v>
      </c>
      <c r="BU36" s="208">
        <f t="shared" si="21"/>
        <v>0</v>
      </c>
      <c r="BX36" s="208">
        <f t="shared" si="22"/>
        <v>0</v>
      </c>
      <c r="CA36" s="208">
        <f t="shared" si="23"/>
        <v>0</v>
      </c>
      <c r="CD36" s="208">
        <f t="shared" si="24"/>
        <v>0</v>
      </c>
      <c r="CG36" s="208">
        <f t="shared" si="25"/>
        <v>0</v>
      </c>
      <c r="CJ36" s="208">
        <f t="shared" si="26"/>
        <v>0</v>
      </c>
      <c r="CM36" s="208">
        <f t="shared" si="27"/>
        <v>0</v>
      </c>
      <c r="CP36" s="208">
        <f t="shared" si="28"/>
        <v>0</v>
      </c>
      <c r="CS36" s="208">
        <f t="shared" si="29"/>
        <v>0</v>
      </c>
      <c r="CV36" s="208">
        <f t="shared" si="30"/>
        <v>0</v>
      </c>
      <c r="CY36" s="208">
        <f t="shared" si="31"/>
        <v>0</v>
      </c>
      <c r="DB36" s="208">
        <f t="shared" si="32"/>
        <v>0</v>
      </c>
      <c r="DE36" s="208">
        <f t="shared" si="33"/>
        <v>0</v>
      </c>
      <c r="DH36" s="208">
        <f t="shared" si="34"/>
        <v>0</v>
      </c>
      <c r="DK36" s="208">
        <f t="shared" si="35"/>
        <v>0</v>
      </c>
      <c r="DN36" s="208">
        <f t="shared" si="36"/>
        <v>0</v>
      </c>
      <c r="DQ36" s="208">
        <f t="shared" si="37"/>
        <v>0</v>
      </c>
      <c r="DT36" s="208">
        <f t="shared" si="38"/>
        <v>0</v>
      </c>
      <c r="DW36" s="208">
        <f t="shared" si="39"/>
        <v>0</v>
      </c>
      <c r="DZ36" s="208"/>
      <c r="EA36" s="208"/>
      <c r="EB36" s="228">
        <f t="shared" si="40"/>
        <v>228200000</v>
      </c>
      <c r="EC36" s="228">
        <f t="shared" si="41"/>
        <v>0</v>
      </c>
      <c r="ED36" s="208">
        <f t="shared" si="42"/>
        <v>25038.611111111109</v>
      </c>
      <c r="EE36" s="209">
        <f t="shared" si="43"/>
        <v>3.9499999999999993E-2</v>
      </c>
      <c r="EG36" s="228">
        <f t="shared" si="44"/>
        <v>0</v>
      </c>
      <c r="EH36" s="208">
        <f t="shared" si="45"/>
        <v>0</v>
      </c>
      <c r="EI36" s="209">
        <f t="shared" si="46"/>
        <v>0</v>
      </c>
      <c r="EJ36" s="209"/>
      <c r="EK36" s="228">
        <f t="shared" si="47"/>
        <v>228200000</v>
      </c>
      <c r="EL36" s="228">
        <f t="shared" si="48"/>
        <v>0</v>
      </c>
      <c r="EM36" s="228">
        <f t="shared" si="49"/>
        <v>25038.611111111109</v>
      </c>
      <c r="EN36" s="209">
        <f t="shared" si="50"/>
        <v>3.9499999999999993E-2</v>
      </c>
      <c r="EP36" s="208"/>
    </row>
    <row r="37" spans="1:146" x14ac:dyDescent="0.25">
      <c r="A37" s="222">
        <f t="shared" si="51"/>
        <v>46108</v>
      </c>
      <c r="B37" s="208">
        <v>0</v>
      </c>
      <c r="C37" s="209">
        <v>3.931544E-2</v>
      </c>
      <c r="D37" s="208">
        <f t="shared" si="0"/>
        <v>0</v>
      </c>
      <c r="G37" s="208">
        <f t="shared" si="1"/>
        <v>0</v>
      </c>
      <c r="J37" s="208">
        <f t="shared" si="2"/>
        <v>0</v>
      </c>
      <c r="M37" s="208">
        <f t="shared" si="3"/>
        <v>0</v>
      </c>
      <c r="P37" s="208">
        <f t="shared" si="4"/>
        <v>0</v>
      </c>
      <c r="S37" s="208">
        <f t="shared" si="5"/>
        <v>0</v>
      </c>
      <c r="V37" s="208">
        <f t="shared" si="6"/>
        <v>0</v>
      </c>
      <c r="Y37" s="208">
        <f t="shared" si="7"/>
        <v>0</v>
      </c>
      <c r="AB37" s="208">
        <f t="shared" si="8"/>
        <v>0</v>
      </c>
      <c r="AE37" s="208">
        <v>0</v>
      </c>
      <c r="AH37" s="208">
        <v>0</v>
      </c>
      <c r="AI37" s="223">
        <f>200000000+48525000</f>
        <v>248525000</v>
      </c>
      <c r="AJ37" s="224">
        <v>3.95E-2</v>
      </c>
      <c r="AK37" s="208">
        <f t="shared" si="9"/>
        <v>27268.715277777777</v>
      </c>
      <c r="AL37" s="223"/>
      <c r="AM37" s="224"/>
      <c r="AN37" s="208">
        <f t="shared" si="10"/>
        <v>0</v>
      </c>
      <c r="AO37" s="223"/>
      <c r="AP37" s="224"/>
      <c r="AQ37" s="208">
        <f t="shared" si="11"/>
        <v>0</v>
      </c>
      <c r="AR37" s="223"/>
      <c r="AS37" s="224"/>
      <c r="AT37" s="208">
        <f t="shared" si="12"/>
        <v>0</v>
      </c>
      <c r="AW37" s="208">
        <f t="shared" si="13"/>
        <v>0</v>
      </c>
      <c r="AZ37" s="208">
        <f t="shared" si="14"/>
        <v>0</v>
      </c>
      <c r="BC37" s="208">
        <f t="shared" si="15"/>
        <v>0</v>
      </c>
      <c r="BF37" s="208">
        <f t="shared" si="16"/>
        <v>0</v>
      </c>
      <c r="BI37" s="208">
        <f t="shared" si="17"/>
        <v>0</v>
      </c>
      <c r="BL37" s="208">
        <f t="shared" si="18"/>
        <v>0</v>
      </c>
      <c r="BO37" s="208">
        <f t="shared" si="19"/>
        <v>0</v>
      </c>
      <c r="BR37" s="208">
        <f t="shared" si="20"/>
        <v>0</v>
      </c>
      <c r="BU37" s="208">
        <f t="shared" si="21"/>
        <v>0</v>
      </c>
      <c r="BX37" s="208">
        <f t="shared" si="22"/>
        <v>0</v>
      </c>
      <c r="CA37" s="208">
        <f t="shared" si="23"/>
        <v>0</v>
      </c>
      <c r="CD37" s="208">
        <f t="shared" si="24"/>
        <v>0</v>
      </c>
      <c r="CG37" s="208">
        <f t="shared" si="25"/>
        <v>0</v>
      </c>
      <c r="CJ37" s="208">
        <f t="shared" si="26"/>
        <v>0</v>
      </c>
      <c r="CM37" s="208">
        <f t="shared" si="27"/>
        <v>0</v>
      </c>
      <c r="CP37" s="208">
        <f t="shared" si="28"/>
        <v>0</v>
      </c>
      <c r="CS37" s="208">
        <f t="shared" si="29"/>
        <v>0</v>
      </c>
      <c r="CV37" s="208">
        <f t="shared" si="30"/>
        <v>0</v>
      </c>
      <c r="CY37" s="208">
        <f t="shared" si="31"/>
        <v>0</v>
      </c>
      <c r="DB37" s="208">
        <f t="shared" si="32"/>
        <v>0</v>
      </c>
      <c r="DE37" s="208">
        <f t="shared" si="33"/>
        <v>0</v>
      </c>
      <c r="DH37" s="208">
        <f t="shared" si="34"/>
        <v>0</v>
      </c>
      <c r="DK37" s="208">
        <f t="shared" si="35"/>
        <v>0</v>
      </c>
      <c r="DN37" s="208">
        <f t="shared" si="36"/>
        <v>0</v>
      </c>
      <c r="DQ37" s="208">
        <f t="shared" si="37"/>
        <v>0</v>
      </c>
      <c r="DT37" s="208">
        <f t="shared" si="38"/>
        <v>0</v>
      </c>
      <c r="DW37" s="208">
        <f t="shared" si="39"/>
        <v>0</v>
      </c>
      <c r="DZ37" s="208"/>
      <c r="EA37" s="208"/>
      <c r="EB37" s="228">
        <f t="shared" si="40"/>
        <v>248525000</v>
      </c>
      <c r="EC37" s="228">
        <f t="shared" si="41"/>
        <v>0</v>
      </c>
      <c r="ED37" s="208">
        <f t="shared" si="42"/>
        <v>27268.715277777777</v>
      </c>
      <c r="EE37" s="209">
        <f t="shared" si="43"/>
        <v>3.95E-2</v>
      </c>
      <c r="EG37" s="228">
        <f t="shared" si="44"/>
        <v>0</v>
      </c>
      <c r="EH37" s="208">
        <f t="shared" si="45"/>
        <v>0</v>
      </c>
      <c r="EI37" s="209">
        <f t="shared" si="46"/>
        <v>0</v>
      </c>
      <c r="EJ37" s="209"/>
      <c r="EK37" s="228">
        <f t="shared" si="47"/>
        <v>248525000</v>
      </c>
      <c r="EL37" s="228">
        <f t="shared" si="48"/>
        <v>0</v>
      </c>
      <c r="EM37" s="228">
        <f t="shared" si="49"/>
        <v>27268.715277777777</v>
      </c>
      <c r="EN37" s="209">
        <f t="shared" si="50"/>
        <v>3.95E-2</v>
      </c>
      <c r="EP37" s="208"/>
    </row>
    <row r="38" spans="1:146" x14ac:dyDescent="0.25">
      <c r="A38" s="222">
        <f t="shared" si="51"/>
        <v>46109</v>
      </c>
      <c r="B38" s="208">
        <v>0</v>
      </c>
      <c r="C38" s="209">
        <v>3.931544E-2</v>
      </c>
      <c r="D38" s="208">
        <f t="shared" si="0"/>
        <v>0</v>
      </c>
      <c r="G38" s="208">
        <f t="shared" si="1"/>
        <v>0</v>
      </c>
      <c r="J38" s="208">
        <f t="shared" si="2"/>
        <v>0</v>
      </c>
      <c r="M38" s="208">
        <f t="shared" si="3"/>
        <v>0</v>
      </c>
      <c r="P38" s="208">
        <f t="shared" si="4"/>
        <v>0</v>
      </c>
      <c r="S38" s="208">
        <f t="shared" si="5"/>
        <v>0</v>
      </c>
      <c r="V38" s="208">
        <f t="shared" si="6"/>
        <v>0</v>
      </c>
      <c r="Y38" s="208">
        <f t="shared" si="7"/>
        <v>0</v>
      </c>
      <c r="AB38" s="208">
        <f t="shared" si="8"/>
        <v>0</v>
      </c>
      <c r="AE38" s="208">
        <v>0</v>
      </c>
      <c r="AH38" s="208">
        <v>0</v>
      </c>
      <c r="AI38" s="223">
        <f>200000000+48525000</f>
        <v>248525000</v>
      </c>
      <c r="AJ38" s="224">
        <v>3.95E-2</v>
      </c>
      <c r="AK38" s="208">
        <f t="shared" si="9"/>
        <v>27268.715277777777</v>
      </c>
      <c r="AL38" s="223"/>
      <c r="AM38" s="224"/>
      <c r="AN38" s="208">
        <f t="shared" si="10"/>
        <v>0</v>
      </c>
      <c r="AO38" s="223"/>
      <c r="AP38" s="224"/>
      <c r="AQ38" s="208">
        <f t="shared" si="11"/>
        <v>0</v>
      </c>
      <c r="AR38" s="223"/>
      <c r="AS38" s="224"/>
      <c r="AT38" s="208">
        <f t="shared" si="12"/>
        <v>0</v>
      </c>
      <c r="AW38" s="208">
        <f t="shared" si="13"/>
        <v>0</v>
      </c>
      <c r="AZ38" s="208">
        <f t="shared" si="14"/>
        <v>0</v>
      </c>
      <c r="BC38" s="208">
        <f t="shared" si="15"/>
        <v>0</v>
      </c>
      <c r="BF38" s="208">
        <f t="shared" si="16"/>
        <v>0</v>
      </c>
      <c r="BI38" s="208">
        <f t="shared" si="17"/>
        <v>0</v>
      </c>
      <c r="BL38" s="208">
        <f t="shared" si="18"/>
        <v>0</v>
      </c>
      <c r="BO38" s="208">
        <f t="shared" si="19"/>
        <v>0</v>
      </c>
      <c r="BR38" s="208">
        <f t="shared" si="20"/>
        <v>0</v>
      </c>
      <c r="BU38" s="208">
        <f t="shared" si="21"/>
        <v>0</v>
      </c>
      <c r="BX38" s="208">
        <f t="shared" si="22"/>
        <v>0</v>
      </c>
      <c r="CA38" s="208">
        <f t="shared" si="23"/>
        <v>0</v>
      </c>
      <c r="CD38" s="208">
        <f t="shared" si="24"/>
        <v>0</v>
      </c>
      <c r="CG38" s="208">
        <f t="shared" si="25"/>
        <v>0</v>
      </c>
      <c r="CJ38" s="208">
        <f t="shared" si="26"/>
        <v>0</v>
      </c>
      <c r="CM38" s="208">
        <f t="shared" si="27"/>
        <v>0</v>
      </c>
      <c r="CP38" s="208">
        <f t="shared" si="28"/>
        <v>0</v>
      </c>
      <c r="CS38" s="208">
        <f t="shared" si="29"/>
        <v>0</v>
      </c>
      <c r="CV38" s="208">
        <f t="shared" si="30"/>
        <v>0</v>
      </c>
      <c r="CY38" s="208">
        <f t="shared" si="31"/>
        <v>0</v>
      </c>
      <c r="DB38" s="208">
        <f t="shared" si="32"/>
        <v>0</v>
      </c>
      <c r="DE38" s="208">
        <f t="shared" si="33"/>
        <v>0</v>
      </c>
      <c r="DH38" s="208">
        <f t="shared" si="34"/>
        <v>0</v>
      </c>
      <c r="DK38" s="208">
        <f t="shared" si="35"/>
        <v>0</v>
      </c>
      <c r="DN38" s="208">
        <f t="shared" si="36"/>
        <v>0</v>
      </c>
      <c r="DQ38" s="208">
        <f t="shared" si="37"/>
        <v>0</v>
      </c>
      <c r="DT38" s="208">
        <f t="shared" si="38"/>
        <v>0</v>
      </c>
      <c r="DW38" s="208">
        <f t="shared" si="39"/>
        <v>0</v>
      </c>
      <c r="DZ38" s="208"/>
      <c r="EA38" s="208"/>
      <c r="EB38" s="228">
        <f t="shared" si="40"/>
        <v>248525000</v>
      </c>
      <c r="EC38" s="228">
        <f t="shared" si="41"/>
        <v>0</v>
      </c>
      <c r="ED38" s="208">
        <f t="shared" si="42"/>
        <v>27268.715277777777</v>
      </c>
      <c r="EE38" s="209">
        <f t="shared" si="43"/>
        <v>3.95E-2</v>
      </c>
      <c r="EG38" s="228">
        <f t="shared" si="44"/>
        <v>0</v>
      </c>
      <c r="EH38" s="208">
        <f t="shared" si="45"/>
        <v>0</v>
      </c>
      <c r="EI38" s="209">
        <f t="shared" si="46"/>
        <v>0</v>
      </c>
      <c r="EJ38" s="209"/>
      <c r="EK38" s="228">
        <f t="shared" si="47"/>
        <v>248525000</v>
      </c>
      <c r="EL38" s="228">
        <f t="shared" si="48"/>
        <v>0</v>
      </c>
      <c r="EM38" s="228">
        <f t="shared" si="49"/>
        <v>27268.715277777777</v>
      </c>
      <c r="EN38" s="209">
        <f t="shared" si="50"/>
        <v>3.95E-2</v>
      </c>
      <c r="EP38" s="208"/>
    </row>
    <row r="39" spans="1:146" x14ac:dyDescent="0.25">
      <c r="A39" s="222">
        <f t="shared" si="51"/>
        <v>46110</v>
      </c>
      <c r="B39" s="208">
        <v>0</v>
      </c>
      <c r="C39" s="209">
        <v>3.931544E-2</v>
      </c>
      <c r="D39" s="208">
        <f t="shared" si="0"/>
        <v>0</v>
      </c>
      <c r="G39" s="208">
        <f t="shared" si="1"/>
        <v>0</v>
      </c>
      <c r="J39" s="208">
        <f t="shared" si="2"/>
        <v>0</v>
      </c>
      <c r="M39" s="208">
        <f t="shared" si="3"/>
        <v>0</v>
      </c>
      <c r="P39" s="208">
        <f t="shared" si="4"/>
        <v>0</v>
      </c>
      <c r="S39" s="208">
        <f t="shared" si="5"/>
        <v>0</v>
      </c>
      <c r="V39" s="208">
        <f t="shared" si="6"/>
        <v>0</v>
      </c>
      <c r="Y39" s="208">
        <f t="shared" si="7"/>
        <v>0</v>
      </c>
      <c r="AB39" s="208">
        <f t="shared" si="8"/>
        <v>0</v>
      </c>
      <c r="AE39" s="208">
        <v>0</v>
      </c>
      <c r="AH39" s="208">
        <v>0</v>
      </c>
      <c r="AI39" s="223">
        <f>200000000+48525000</f>
        <v>248525000</v>
      </c>
      <c r="AJ39" s="224">
        <v>3.95E-2</v>
      </c>
      <c r="AK39" s="208">
        <f t="shared" si="9"/>
        <v>27268.715277777777</v>
      </c>
      <c r="AL39" s="223"/>
      <c r="AM39" s="224"/>
      <c r="AN39" s="208">
        <f t="shared" si="10"/>
        <v>0</v>
      </c>
      <c r="AO39" s="223"/>
      <c r="AP39" s="224"/>
      <c r="AQ39" s="208">
        <f t="shared" si="11"/>
        <v>0</v>
      </c>
      <c r="AR39" s="223"/>
      <c r="AS39" s="224"/>
      <c r="AT39" s="208">
        <f t="shared" si="12"/>
        <v>0</v>
      </c>
      <c r="AW39" s="208">
        <f t="shared" si="13"/>
        <v>0</v>
      </c>
      <c r="AZ39" s="208">
        <f t="shared" si="14"/>
        <v>0</v>
      </c>
      <c r="BC39" s="208">
        <f t="shared" si="15"/>
        <v>0</v>
      </c>
      <c r="BF39" s="208">
        <f t="shared" si="16"/>
        <v>0</v>
      </c>
      <c r="BI39" s="208">
        <f t="shared" si="17"/>
        <v>0</v>
      </c>
      <c r="BL39" s="208">
        <f t="shared" si="18"/>
        <v>0</v>
      </c>
      <c r="BO39" s="208">
        <f t="shared" si="19"/>
        <v>0</v>
      </c>
      <c r="BR39" s="208">
        <f t="shared" si="20"/>
        <v>0</v>
      </c>
      <c r="BU39" s="208">
        <f t="shared" si="21"/>
        <v>0</v>
      </c>
      <c r="BX39" s="208">
        <f t="shared" si="22"/>
        <v>0</v>
      </c>
      <c r="CA39" s="208">
        <f t="shared" si="23"/>
        <v>0</v>
      </c>
      <c r="CD39" s="208">
        <f t="shared" si="24"/>
        <v>0</v>
      </c>
      <c r="CG39" s="208">
        <f t="shared" si="25"/>
        <v>0</v>
      </c>
      <c r="CJ39" s="208">
        <f t="shared" si="26"/>
        <v>0</v>
      </c>
      <c r="CM39" s="208">
        <f t="shared" si="27"/>
        <v>0</v>
      </c>
      <c r="CP39" s="208">
        <f t="shared" si="28"/>
        <v>0</v>
      </c>
      <c r="CS39" s="208">
        <f t="shared" si="29"/>
        <v>0</v>
      </c>
      <c r="CV39" s="208">
        <f t="shared" si="30"/>
        <v>0</v>
      </c>
      <c r="CY39" s="208">
        <f t="shared" si="31"/>
        <v>0</v>
      </c>
      <c r="DB39" s="208">
        <f t="shared" si="32"/>
        <v>0</v>
      </c>
      <c r="DE39" s="208">
        <f t="shared" si="33"/>
        <v>0</v>
      </c>
      <c r="DH39" s="208">
        <f t="shared" si="34"/>
        <v>0</v>
      </c>
      <c r="DK39" s="208">
        <f t="shared" si="35"/>
        <v>0</v>
      </c>
      <c r="DN39" s="208">
        <f t="shared" si="36"/>
        <v>0</v>
      </c>
      <c r="DQ39" s="208">
        <f t="shared" si="37"/>
        <v>0</v>
      </c>
      <c r="DT39" s="208">
        <f t="shared" si="38"/>
        <v>0</v>
      </c>
      <c r="DW39" s="208">
        <f t="shared" si="39"/>
        <v>0</v>
      </c>
      <c r="DZ39" s="208"/>
      <c r="EA39" s="208"/>
      <c r="EB39" s="228">
        <f t="shared" si="40"/>
        <v>248525000</v>
      </c>
      <c r="EC39" s="228">
        <f t="shared" si="41"/>
        <v>0</v>
      </c>
      <c r="ED39" s="208">
        <f t="shared" si="42"/>
        <v>27268.715277777777</v>
      </c>
      <c r="EE39" s="209">
        <f t="shared" si="43"/>
        <v>3.95E-2</v>
      </c>
      <c r="EG39" s="228">
        <f t="shared" si="44"/>
        <v>0</v>
      </c>
      <c r="EH39" s="208">
        <f t="shared" si="45"/>
        <v>0</v>
      </c>
      <c r="EI39" s="209">
        <f t="shared" si="46"/>
        <v>0</v>
      </c>
      <c r="EJ39" s="209"/>
      <c r="EK39" s="228">
        <f t="shared" si="47"/>
        <v>248525000</v>
      </c>
      <c r="EL39" s="228">
        <f t="shared" si="48"/>
        <v>0</v>
      </c>
      <c r="EM39" s="228">
        <f t="shared" si="49"/>
        <v>27268.715277777777</v>
      </c>
      <c r="EN39" s="209">
        <f t="shared" si="50"/>
        <v>3.95E-2</v>
      </c>
      <c r="EP39" s="208"/>
    </row>
    <row r="40" spans="1:146" x14ac:dyDescent="0.25">
      <c r="A40" s="222">
        <f t="shared" si="51"/>
        <v>46111</v>
      </c>
      <c r="B40" s="208">
        <v>0</v>
      </c>
      <c r="C40" s="209">
        <v>3.9296049999999999E-2</v>
      </c>
      <c r="D40" s="208">
        <f t="shared" si="0"/>
        <v>0</v>
      </c>
      <c r="G40" s="208">
        <f t="shared" si="1"/>
        <v>0</v>
      </c>
      <c r="J40" s="208">
        <f t="shared" si="2"/>
        <v>0</v>
      </c>
      <c r="M40" s="208">
        <f t="shared" si="3"/>
        <v>0</v>
      </c>
      <c r="P40" s="208">
        <f t="shared" si="4"/>
        <v>0</v>
      </c>
      <c r="S40" s="208">
        <f t="shared" si="5"/>
        <v>0</v>
      </c>
      <c r="V40" s="208">
        <f t="shared" si="6"/>
        <v>0</v>
      </c>
      <c r="Y40" s="208">
        <f t="shared" si="7"/>
        <v>0</v>
      </c>
      <c r="AB40" s="208">
        <f t="shared" si="8"/>
        <v>0</v>
      </c>
      <c r="AE40" s="208">
        <v>0</v>
      </c>
      <c r="AH40" s="208">
        <v>0</v>
      </c>
      <c r="AI40" s="223">
        <f>67575000+225000000</f>
        <v>292575000</v>
      </c>
      <c r="AJ40" s="224">
        <v>3.95E-2</v>
      </c>
      <c r="AK40" s="208">
        <f t="shared" si="9"/>
        <v>32101.979166666668</v>
      </c>
      <c r="AL40" s="223"/>
      <c r="AM40" s="224"/>
      <c r="AN40" s="208">
        <f t="shared" si="10"/>
        <v>0</v>
      </c>
      <c r="AO40" s="223"/>
      <c r="AP40" s="224"/>
      <c r="AQ40" s="208">
        <f t="shared" si="11"/>
        <v>0</v>
      </c>
      <c r="AR40" s="223"/>
      <c r="AS40" s="224"/>
      <c r="AT40" s="208">
        <f t="shared" si="12"/>
        <v>0</v>
      </c>
      <c r="AW40" s="208">
        <f t="shared" si="13"/>
        <v>0</v>
      </c>
      <c r="AZ40" s="208">
        <f t="shared" si="14"/>
        <v>0</v>
      </c>
      <c r="BC40" s="208">
        <f t="shared" si="15"/>
        <v>0</v>
      </c>
      <c r="BF40" s="208">
        <f t="shared" si="16"/>
        <v>0</v>
      </c>
      <c r="BI40" s="208">
        <f t="shared" si="17"/>
        <v>0</v>
      </c>
      <c r="BL40" s="208">
        <f t="shared" si="18"/>
        <v>0</v>
      </c>
      <c r="BO40" s="208">
        <f t="shared" si="19"/>
        <v>0</v>
      </c>
      <c r="BR40" s="208">
        <f t="shared" si="20"/>
        <v>0</v>
      </c>
      <c r="BU40" s="208">
        <f t="shared" si="21"/>
        <v>0</v>
      </c>
      <c r="BX40" s="208">
        <f t="shared" si="22"/>
        <v>0</v>
      </c>
      <c r="CA40" s="208">
        <f t="shared" si="23"/>
        <v>0</v>
      </c>
      <c r="CD40" s="208">
        <f t="shared" si="24"/>
        <v>0</v>
      </c>
      <c r="CG40" s="208">
        <f t="shared" si="25"/>
        <v>0</v>
      </c>
      <c r="CJ40" s="208">
        <f t="shared" si="26"/>
        <v>0</v>
      </c>
      <c r="CM40" s="208">
        <f t="shared" si="27"/>
        <v>0</v>
      </c>
      <c r="CP40" s="208">
        <f t="shared" si="28"/>
        <v>0</v>
      </c>
      <c r="CS40" s="208">
        <f t="shared" si="29"/>
        <v>0</v>
      </c>
      <c r="CV40" s="208">
        <f t="shared" si="30"/>
        <v>0</v>
      </c>
      <c r="CY40" s="208">
        <f t="shared" si="31"/>
        <v>0</v>
      </c>
      <c r="DB40" s="208">
        <f t="shared" si="32"/>
        <v>0</v>
      </c>
      <c r="DE40" s="208">
        <f t="shared" si="33"/>
        <v>0</v>
      </c>
      <c r="DH40" s="208">
        <f t="shared" si="34"/>
        <v>0</v>
      </c>
      <c r="DK40" s="208">
        <f t="shared" si="35"/>
        <v>0</v>
      </c>
      <c r="DN40" s="208">
        <f t="shared" si="36"/>
        <v>0</v>
      </c>
      <c r="DQ40" s="208">
        <f t="shared" si="37"/>
        <v>0</v>
      </c>
      <c r="DT40" s="208">
        <f t="shared" si="38"/>
        <v>0</v>
      </c>
      <c r="DW40" s="208">
        <f t="shared" si="39"/>
        <v>0</v>
      </c>
      <c r="DZ40" s="208"/>
      <c r="EA40" s="208"/>
      <c r="EB40" s="228">
        <f t="shared" si="40"/>
        <v>292575000</v>
      </c>
      <c r="EC40" s="228">
        <f t="shared" si="41"/>
        <v>0</v>
      </c>
      <c r="ED40" s="208">
        <f t="shared" si="42"/>
        <v>32101.979166666668</v>
      </c>
      <c r="EE40" s="209">
        <f t="shared" si="43"/>
        <v>3.95E-2</v>
      </c>
      <c r="EG40" s="228">
        <f t="shared" si="44"/>
        <v>0</v>
      </c>
      <c r="EH40" s="208">
        <f t="shared" si="45"/>
        <v>0</v>
      </c>
      <c r="EI40" s="209">
        <f t="shared" si="46"/>
        <v>0</v>
      </c>
      <c r="EJ40" s="209"/>
      <c r="EK40" s="228">
        <f t="shared" si="47"/>
        <v>292575000</v>
      </c>
      <c r="EL40" s="228">
        <f t="shared" si="48"/>
        <v>0</v>
      </c>
      <c r="EM40" s="228">
        <f t="shared" si="49"/>
        <v>32101.979166666668</v>
      </c>
      <c r="EN40" s="209">
        <f t="shared" si="50"/>
        <v>3.95E-2</v>
      </c>
      <c r="EP40" s="208"/>
    </row>
    <row r="41" spans="1:146" x14ac:dyDescent="0.25">
      <c r="A41" s="222">
        <f t="shared" si="51"/>
        <v>46112</v>
      </c>
      <c r="B41" s="208">
        <v>0</v>
      </c>
      <c r="C41" s="209">
        <v>3.9348179999999996E-2</v>
      </c>
      <c r="D41" s="249">
        <f t="shared" si="0"/>
        <v>0</v>
      </c>
      <c r="G41" s="249">
        <f t="shared" si="1"/>
        <v>0</v>
      </c>
      <c r="J41" s="225">
        <f t="shared" si="2"/>
        <v>0</v>
      </c>
      <c r="M41" s="225">
        <f t="shared" si="3"/>
        <v>0</v>
      </c>
      <c r="P41" s="225">
        <f t="shared" si="4"/>
        <v>0</v>
      </c>
      <c r="S41" s="225">
        <f t="shared" si="5"/>
        <v>0</v>
      </c>
      <c r="V41" s="225">
        <f t="shared" si="6"/>
        <v>0</v>
      </c>
      <c r="Y41" s="225">
        <f t="shared" si="7"/>
        <v>0</v>
      </c>
      <c r="AB41" s="225">
        <f t="shared" si="8"/>
        <v>0</v>
      </c>
      <c r="AE41" s="225">
        <v>0</v>
      </c>
      <c r="AH41" s="225">
        <v>0</v>
      </c>
      <c r="AI41" s="208">
        <f>225000000+54700000</f>
        <v>279700000</v>
      </c>
      <c r="AJ41" s="209">
        <v>3.95E-2</v>
      </c>
      <c r="AK41" s="249">
        <f t="shared" si="9"/>
        <v>30689.305555555555</v>
      </c>
      <c r="AN41" s="249">
        <f t="shared" si="10"/>
        <v>0</v>
      </c>
      <c r="AQ41" s="249">
        <f t="shared" si="11"/>
        <v>0</v>
      </c>
      <c r="AT41" s="249">
        <f t="shared" si="12"/>
        <v>0</v>
      </c>
      <c r="AW41" s="249">
        <f t="shared" si="13"/>
        <v>0</v>
      </c>
      <c r="AZ41" s="249">
        <f t="shared" si="14"/>
        <v>0</v>
      </c>
      <c r="BC41" s="249">
        <f t="shared" si="15"/>
        <v>0</v>
      </c>
      <c r="BF41" s="249">
        <f t="shared" si="16"/>
        <v>0</v>
      </c>
      <c r="BI41" s="249">
        <f t="shared" si="17"/>
        <v>0</v>
      </c>
      <c r="BL41" s="249">
        <f t="shared" si="18"/>
        <v>0</v>
      </c>
      <c r="BO41" s="225">
        <f t="shared" si="19"/>
        <v>0</v>
      </c>
      <c r="BR41" s="225">
        <f t="shared" si="20"/>
        <v>0</v>
      </c>
      <c r="BU41" s="225">
        <f t="shared" si="21"/>
        <v>0</v>
      </c>
      <c r="BX41" s="225">
        <f t="shared" si="22"/>
        <v>0</v>
      </c>
      <c r="CA41" s="225">
        <f t="shared" si="23"/>
        <v>0</v>
      </c>
      <c r="CD41" s="225">
        <f t="shared" si="24"/>
        <v>0</v>
      </c>
      <c r="CG41" s="225">
        <f t="shared" si="25"/>
        <v>0</v>
      </c>
      <c r="CJ41" s="225">
        <f t="shared" si="26"/>
        <v>0</v>
      </c>
      <c r="CM41" s="225">
        <f t="shared" si="27"/>
        <v>0</v>
      </c>
      <c r="CP41" s="225">
        <f t="shared" si="28"/>
        <v>0</v>
      </c>
      <c r="CS41" s="225">
        <f t="shared" si="29"/>
        <v>0</v>
      </c>
      <c r="CV41" s="225">
        <f t="shared" si="30"/>
        <v>0</v>
      </c>
      <c r="CY41" s="225">
        <f t="shared" si="31"/>
        <v>0</v>
      </c>
      <c r="DB41" s="225">
        <f t="shared" si="32"/>
        <v>0</v>
      </c>
      <c r="DE41" s="225">
        <f t="shared" si="33"/>
        <v>0</v>
      </c>
      <c r="DH41" s="225">
        <f t="shared" si="34"/>
        <v>0</v>
      </c>
      <c r="DK41" s="225">
        <f t="shared" si="35"/>
        <v>0</v>
      </c>
      <c r="DN41" s="225">
        <f t="shared" si="36"/>
        <v>0</v>
      </c>
      <c r="DQ41" s="225">
        <f t="shared" si="37"/>
        <v>0</v>
      </c>
      <c r="DT41" s="225">
        <f t="shared" si="38"/>
        <v>0</v>
      </c>
      <c r="DW41" s="225">
        <f t="shared" si="39"/>
        <v>0</v>
      </c>
      <c r="DZ41" s="208"/>
      <c r="EA41" s="208"/>
      <c r="EB41" s="208">
        <f t="shared" si="40"/>
        <v>279700000</v>
      </c>
      <c r="EC41" s="208">
        <f t="shared" si="41"/>
        <v>0</v>
      </c>
      <c r="ED41" s="249">
        <f t="shared" si="42"/>
        <v>30689.305555555555</v>
      </c>
      <c r="EE41" s="209">
        <f t="shared" si="43"/>
        <v>3.95E-2</v>
      </c>
      <c r="EG41" s="208">
        <f t="shared" si="44"/>
        <v>0</v>
      </c>
      <c r="EH41" s="225">
        <f t="shared" si="45"/>
        <v>0</v>
      </c>
      <c r="EI41" s="209">
        <f t="shared" si="46"/>
        <v>0</v>
      </c>
      <c r="EJ41" s="209"/>
      <c r="EK41" s="208">
        <f t="shared" si="47"/>
        <v>279700000</v>
      </c>
      <c r="EL41" s="208">
        <f t="shared" si="48"/>
        <v>0</v>
      </c>
      <c r="EM41" s="249">
        <f t="shared" si="49"/>
        <v>30689.305555555555</v>
      </c>
      <c r="EN41" s="209">
        <f t="shared" si="50"/>
        <v>3.95E-2</v>
      </c>
    </row>
    <row r="42" spans="1:146" x14ac:dyDescent="0.25">
      <c r="A42" s="166" t="s">
        <v>35</v>
      </c>
      <c r="D42" s="208">
        <f>SUM(D11:D41)</f>
        <v>12924.322588888892</v>
      </c>
      <c r="F42" s="208"/>
      <c r="G42" s="208">
        <f>SUM(G11:G41)</f>
        <v>0</v>
      </c>
      <c r="I42" s="208"/>
      <c r="J42" s="208">
        <f>SUM(J11:J41)</f>
        <v>0</v>
      </c>
      <c r="L42" s="208"/>
      <c r="M42" s="208">
        <f>SUM(M11:M41)</f>
        <v>0</v>
      </c>
      <c r="O42" s="208"/>
      <c r="P42" s="208">
        <f>SUM(P11:P41)</f>
        <v>0</v>
      </c>
      <c r="R42" s="208"/>
      <c r="S42" s="208">
        <f>SUM(S11:S41)</f>
        <v>0</v>
      </c>
      <c r="U42" s="208"/>
      <c r="V42" s="208">
        <f>SUM(V11:V41)</f>
        <v>0</v>
      </c>
      <c r="X42" s="208"/>
      <c r="Y42" s="208">
        <f>SUM(Y11:Y41)</f>
        <v>0</v>
      </c>
      <c r="AA42" s="208"/>
      <c r="AB42" s="208">
        <f>SUM(AB11:AB41)</f>
        <v>0</v>
      </c>
      <c r="AD42" s="208"/>
      <c r="AE42" s="208">
        <f>SUM(AE11:AE41)</f>
        <v>0</v>
      </c>
      <c r="AG42" s="208"/>
      <c r="AH42" s="208">
        <f>SUM(AH11:AH41)</f>
        <v>0</v>
      </c>
      <c r="AJ42" s="208"/>
      <c r="AK42" s="208">
        <f>SUM(AK11:AK41)</f>
        <v>633939.82638888876</v>
      </c>
      <c r="AM42" s="208"/>
      <c r="AN42" s="208">
        <f>SUM(AN11:AN41)</f>
        <v>7708.020833333333</v>
      </c>
      <c r="AP42" s="208"/>
      <c r="AQ42" s="208">
        <f>SUM(AQ11:AQ41)</f>
        <v>15000</v>
      </c>
      <c r="AS42" s="208"/>
      <c r="AT42" s="208">
        <f>SUM(AT11:AT41)</f>
        <v>1687.5</v>
      </c>
      <c r="AV42" s="208"/>
      <c r="AW42" s="208">
        <f>SUM(AW11:AW41)</f>
        <v>0</v>
      </c>
      <c r="AY42" s="208"/>
      <c r="AZ42" s="208">
        <f>SUM(AZ11:AZ41)</f>
        <v>0</v>
      </c>
      <c r="BB42" s="208"/>
      <c r="BC42" s="208">
        <f>SUM(BC11:BC41)</f>
        <v>0</v>
      </c>
      <c r="BE42" s="208"/>
      <c r="BF42" s="208">
        <f>SUM(BF11:BF41)</f>
        <v>0</v>
      </c>
      <c r="BH42" s="208"/>
      <c r="BI42" s="208">
        <f>SUM(BI11:BI41)</f>
        <v>0</v>
      </c>
      <c r="BK42" s="208"/>
      <c r="BL42" s="208">
        <f>SUM(BL11:BL41)</f>
        <v>0</v>
      </c>
      <c r="BN42" s="208"/>
      <c r="BO42" s="208">
        <f>SUM(BO11:BO41)</f>
        <v>0</v>
      </c>
      <c r="BQ42" s="208"/>
      <c r="BR42" s="208">
        <f>SUM(BR11:BR41)</f>
        <v>0</v>
      </c>
      <c r="BT42" s="208"/>
      <c r="BU42" s="208">
        <f>SUM(BU11:BU41)</f>
        <v>0</v>
      </c>
      <c r="BW42" s="208"/>
      <c r="BX42" s="208">
        <f>SUM(BX11:BX41)</f>
        <v>0</v>
      </c>
      <c r="BZ42" s="208"/>
      <c r="CA42" s="208">
        <f>SUM(CA11:CA41)</f>
        <v>0</v>
      </c>
      <c r="CC42" s="208"/>
      <c r="CD42" s="208">
        <f>SUM(CD11:CD41)</f>
        <v>0</v>
      </c>
      <c r="CF42" s="208"/>
      <c r="CG42" s="208">
        <f>SUM(CG11:CG41)</f>
        <v>0</v>
      </c>
      <c r="CI42" s="208"/>
      <c r="CJ42" s="208">
        <f>SUM(CJ11:CJ41)</f>
        <v>0</v>
      </c>
      <c r="CL42" s="208"/>
      <c r="CM42" s="208">
        <f>SUM(CM11:CM41)</f>
        <v>0</v>
      </c>
      <c r="CO42" s="208"/>
      <c r="CP42" s="208">
        <f>SUM(CP11:CP41)</f>
        <v>0</v>
      </c>
      <c r="CR42" s="208"/>
      <c r="CS42" s="208">
        <f>SUM(CS11:CS41)</f>
        <v>0</v>
      </c>
      <c r="CU42" s="208"/>
      <c r="CV42" s="208">
        <f>SUM(CV11:CV41)</f>
        <v>0</v>
      </c>
      <c r="CX42" s="208"/>
      <c r="CY42" s="208">
        <f>SUM(CY11:CY41)</f>
        <v>0</v>
      </c>
      <c r="DA42" s="208"/>
      <c r="DB42" s="208">
        <f>SUM(DB11:DB41)</f>
        <v>0</v>
      </c>
      <c r="DD42" s="208"/>
      <c r="DE42" s="208">
        <f>SUM(DE11:DE41)</f>
        <v>0</v>
      </c>
      <c r="DG42" s="208"/>
      <c r="DH42" s="208">
        <f>SUM(DH11:DH41)</f>
        <v>0</v>
      </c>
      <c r="DJ42" s="208"/>
      <c r="DK42" s="208">
        <f>SUM(DK11:DK41)</f>
        <v>0</v>
      </c>
      <c r="DM42" s="208"/>
      <c r="DN42" s="208">
        <f>SUM(DN11:DN41)</f>
        <v>0</v>
      </c>
      <c r="DP42" s="208"/>
      <c r="DQ42" s="208">
        <f>SUM(DQ11:DQ41)</f>
        <v>0</v>
      </c>
      <c r="DS42" s="208"/>
      <c r="DT42" s="208">
        <f>SUM(DT11:DT41)</f>
        <v>0</v>
      </c>
      <c r="DV42" s="208"/>
      <c r="DW42" s="208">
        <f>SUM(DW11:DW41)</f>
        <v>0</v>
      </c>
      <c r="DY42" s="208"/>
      <c r="DZ42" s="208"/>
      <c r="EA42" s="208"/>
      <c r="EB42" s="208"/>
      <c r="EC42" s="208"/>
      <c r="ED42" s="208">
        <f>SUM(ED11:ED41)</f>
        <v>671259.66981111094</v>
      </c>
      <c r="EE42" s="208"/>
      <c r="EF42" s="208"/>
      <c r="EG42" s="208"/>
      <c r="EH42" s="208">
        <f>SUM(EH11:EH41)</f>
        <v>0</v>
      </c>
      <c r="EI42" s="208"/>
      <c r="EJ42" s="208"/>
      <c r="EK42" s="208"/>
      <c r="EL42" s="208"/>
      <c r="EM42" s="208">
        <f>SUM(EM11:EM41)</f>
        <v>658335.34722222213</v>
      </c>
      <c r="EN42" s="208"/>
    </row>
    <row r="43" spans="1:146" x14ac:dyDescent="0.25">
      <c r="EM43" s="226"/>
    </row>
    <row r="44" spans="1:146" x14ac:dyDescent="0.25">
      <c r="EM44" s="208"/>
    </row>
    <row r="45" spans="1:146" x14ac:dyDescent="0.25">
      <c r="EM45" s="208"/>
    </row>
    <row r="47" spans="1:146" x14ac:dyDescent="0.25">
      <c r="EM47" s="208"/>
    </row>
  </sheetData>
  <pageMargins left="0.7" right="0.7" top="0.75" bottom="0.75" header="0.3" footer="0.3"/>
  <pageSetup scale="60" orientation="portrait" r:id="rId1"/>
  <headerFooter>
    <oddFooter>&amp;CSchedule RL-1</oddFooter>
  </headerFooter>
  <colBreaks count="5" manualBreakCount="5">
    <brk id="7" max="1048575" man="1"/>
    <brk id="43" max="1048575" man="1"/>
    <brk id="52" max="41" man="1"/>
    <brk id="130" max="1048575" man="1"/>
    <brk id="14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7"/>
  <dimension ref="A1:EQ47"/>
  <sheetViews>
    <sheetView zoomScaleNormal="100" workbookViewId="0">
      <selection activeCell="B1" sqref="B1"/>
    </sheetView>
  </sheetViews>
  <sheetFormatPr defaultRowHeight="15" x14ac:dyDescent="0.25"/>
  <cols>
    <col min="1" max="1" width="14.5703125" style="166" bestFit="1" customWidth="1"/>
    <col min="2" max="2" width="15.5703125" style="208" bestFit="1" customWidth="1"/>
    <col min="3" max="3" width="15.42578125" style="209" bestFit="1" customWidth="1"/>
    <col min="4" max="4" width="15.42578125" style="166" bestFit="1" customWidth="1"/>
    <col min="5" max="5" width="15.5703125" style="208" bestFit="1" customWidth="1"/>
    <col min="6" max="6" width="12.28515625" style="209" bestFit="1" customWidth="1"/>
    <col min="7" max="7" width="18.42578125" style="166" bestFit="1" customWidth="1"/>
    <col min="8" max="8" width="15.42578125" style="208" hidden="1" customWidth="1"/>
    <col min="9" max="9" width="10.28515625" style="209" hidden="1" customWidth="1"/>
    <col min="10" max="10" width="13.42578125" style="166" hidden="1" customWidth="1"/>
    <col min="11" max="11" width="14.42578125" style="208" hidden="1" customWidth="1"/>
    <col min="12" max="12" width="10.28515625" style="209" hidden="1" customWidth="1"/>
    <col min="13" max="13" width="11.7109375" style="166" hidden="1" customWidth="1"/>
    <col min="14" max="14" width="14.42578125" style="208" hidden="1" customWidth="1"/>
    <col min="15" max="15" width="10.28515625" style="209" hidden="1" customWidth="1"/>
    <col min="16" max="16" width="11.7109375" style="166" hidden="1" customWidth="1"/>
    <col min="17" max="17" width="15.42578125" style="208" hidden="1" customWidth="1"/>
    <col min="18" max="18" width="10.28515625" style="209" hidden="1" customWidth="1"/>
    <col min="19" max="19" width="11.7109375" style="166" hidden="1" customWidth="1"/>
    <col min="20" max="20" width="15.42578125" style="208" hidden="1" customWidth="1"/>
    <col min="21" max="21" width="10.28515625" style="209" hidden="1" customWidth="1"/>
    <col min="22" max="22" width="11.7109375" style="166" hidden="1" customWidth="1"/>
    <col min="23" max="23" width="15.42578125" style="208" hidden="1" customWidth="1"/>
    <col min="24" max="24" width="10.28515625" style="209" hidden="1" customWidth="1"/>
    <col min="25" max="25" width="11.7109375" style="166" hidden="1" customWidth="1"/>
    <col min="26" max="26" width="15.42578125" style="208" hidden="1" customWidth="1"/>
    <col min="27" max="27" width="10.28515625" style="209" hidden="1" customWidth="1"/>
    <col min="28" max="28" width="11.7109375" style="166" hidden="1" customWidth="1"/>
    <col min="29" max="29" width="15.42578125" style="208" hidden="1" customWidth="1"/>
    <col min="30" max="30" width="10.28515625" style="209" hidden="1" customWidth="1"/>
    <col min="31" max="31" width="11.7109375" style="166" hidden="1" customWidth="1"/>
    <col min="32" max="32" width="14.42578125" style="208" hidden="1" customWidth="1"/>
    <col min="33" max="33" width="10.28515625" style="209" hidden="1" customWidth="1"/>
    <col min="34" max="34" width="10.7109375" style="166" hidden="1" customWidth="1"/>
    <col min="35" max="35" width="14.42578125" style="208" customWidth="1"/>
    <col min="36" max="36" width="11.7109375" style="209" customWidth="1"/>
    <col min="37" max="37" width="13.7109375" style="166" bestFit="1" customWidth="1"/>
    <col min="38" max="38" width="14.42578125" style="208" customWidth="1"/>
    <col min="39" max="39" width="13.140625" style="209" customWidth="1"/>
    <col min="40" max="40" width="13.7109375" style="166" bestFit="1" customWidth="1"/>
    <col min="41" max="41" width="15.42578125" style="208" bestFit="1" customWidth="1"/>
    <col min="42" max="42" width="12.28515625" style="209" bestFit="1" customWidth="1"/>
    <col min="43" max="43" width="12.5703125" style="166" bestFit="1" customWidth="1"/>
    <col min="44" max="44" width="15.42578125" style="208" bestFit="1" customWidth="1"/>
    <col min="45" max="45" width="11.7109375" style="209" customWidth="1"/>
    <col min="46" max="46" width="13.85546875" style="166" customWidth="1"/>
    <col min="47" max="47" width="14.42578125" style="208" customWidth="1"/>
    <col min="48" max="48" width="10.28515625" style="209" customWidth="1"/>
    <col min="49" max="49" width="10.7109375" style="166" customWidth="1"/>
    <col min="50" max="50" width="14.42578125" style="208" customWidth="1"/>
    <col min="51" max="51" width="10.28515625" style="209" customWidth="1"/>
    <col min="52" max="52" width="10.7109375" style="166" customWidth="1"/>
    <col min="53" max="53" width="14.42578125" style="208" customWidth="1"/>
    <col min="54" max="54" width="10.28515625" style="209" customWidth="1"/>
    <col min="55" max="55" width="10.7109375" style="166" customWidth="1"/>
    <col min="56" max="56" width="14.42578125" style="208" customWidth="1"/>
    <col min="57" max="57" width="10.28515625" style="209" customWidth="1"/>
    <col min="58" max="58" width="10.7109375" style="166" customWidth="1"/>
    <col min="59" max="59" width="14.42578125" style="208" customWidth="1"/>
    <col min="60" max="60" width="10.28515625" style="209" customWidth="1"/>
    <col min="61" max="61" width="10.7109375" style="166" customWidth="1"/>
    <col min="62" max="62" width="14.42578125" style="208" customWidth="1"/>
    <col min="63" max="63" width="10.28515625" style="209" customWidth="1"/>
    <col min="64" max="64" width="10.7109375" style="166" customWidth="1"/>
    <col min="65" max="65" width="14.42578125" style="208" hidden="1" customWidth="1"/>
    <col min="66" max="66" width="10.28515625" style="209" hidden="1" customWidth="1"/>
    <col min="67" max="67" width="10.7109375" style="166" hidden="1" customWidth="1"/>
    <col min="68" max="68" width="14.42578125" style="208" hidden="1" customWidth="1"/>
    <col min="69" max="69" width="10.28515625" style="209" hidden="1" customWidth="1"/>
    <col min="70" max="70" width="10.7109375" style="166" hidden="1" customWidth="1"/>
    <col min="71" max="71" width="14.42578125" style="208" hidden="1" customWidth="1"/>
    <col min="72" max="72" width="10.28515625" style="209" hidden="1" customWidth="1"/>
    <col min="73" max="73" width="10.7109375" style="166" hidden="1" customWidth="1"/>
    <col min="74" max="74" width="14.42578125" style="208" hidden="1" customWidth="1"/>
    <col min="75" max="75" width="10.28515625" style="209" hidden="1" customWidth="1"/>
    <col min="76" max="76" width="10.7109375" style="166" hidden="1" customWidth="1"/>
    <col min="77" max="77" width="14.42578125" style="208" hidden="1" customWidth="1"/>
    <col min="78" max="78" width="10.28515625" style="209" hidden="1" customWidth="1"/>
    <col min="79" max="79" width="10.7109375" style="166" hidden="1" customWidth="1"/>
    <col min="80" max="80" width="14.42578125" style="208" hidden="1" customWidth="1"/>
    <col min="81" max="81" width="10.28515625" style="209" hidden="1" customWidth="1"/>
    <col min="82" max="82" width="10.7109375" style="166" hidden="1" customWidth="1"/>
    <col min="83" max="83" width="14.42578125" style="208" hidden="1" customWidth="1"/>
    <col min="84" max="84" width="10.28515625" style="209" hidden="1" customWidth="1"/>
    <col min="85" max="85" width="10.7109375" style="166" hidden="1" customWidth="1"/>
    <col min="86" max="86" width="14.42578125" style="208" hidden="1" customWidth="1"/>
    <col min="87" max="87" width="10.28515625" style="209" hidden="1" customWidth="1"/>
    <col min="88" max="88" width="10.7109375" style="166" hidden="1" customWidth="1"/>
    <col min="89" max="89" width="14.42578125" style="208" hidden="1" customWidth="1"/>
    <col min="90" max="90" width="10.28515625" style="209" hidden="1" customWidth="1"/>
    <col min="91" max="91" width="10.7109375" style="166" hidden="1" customWidth="1"/>
    <col min="92" max="92" width="14.42578125" style="208" hidden="1" customWidth="1"/>
    <col min="93" max="93" width="10.28515625" style="209" hidden="1" customWidth="1"/>
    <col min="94" max="94" width="10.7109375" style="166" hidden="1" customWidth="1"/>
    <col min="95" max="95" width="14.42578125" style="208" hidden="1" customWidth="1"/>
    <col min="96" max="96" width="10.28515625" style="209" hidden="1" customWidth="1"/>
    <col min="97" max="97" width="10.7109375" style="166" hidden="1" customWidth="1"/>
    <col min="98" max="98" width="14.42578125" style="208" hidden="1" customWidth="1"/>
    <col min="99" max="99" width="10.28515625" style="209" hidden="1" customWidth="1"/>
    <col min="100" max="100" width="10.7109375" style="166" hidden="1" customWidth="1"/>
    <col min="101" max="101" width="14.42578125" style="208" hidden="1" customWidth="1"/>
    <col min="102" max="102" width="10.28515625" style="209" hidden="1" customWidth="1"/>
    <col min="103" max="103" width="10.7109375" style="166" hidden="1" customWidth="1"/>
    <col min="104" max="104" width="14.42578125" style="208" hidden="1" customWidth="1"/>
    <col min="105" max="105" width="10.28515625" style="209" hidden="1" customWidth="1"/>
    <col min="106" max="106" width="10.7109375" style="166" hidden="1" customWidth="1"/>
    <col min="107" max="107" width="14.42578125" style="208" hidden="1" customWidth="1"/>
    <col min="108" max="108" width="10.28515625" style="209" hidden="1" customWidth="1"/>
    <col min="109" max="109" width="10.7109375" style="166" hidden="1" customWidth="1"/>
    <col min="110" max="110" width="14.42578125" style="208" hidden="1" customWidth="1"/>
    <col min="111" max="111" width="10.28515625" style="209" hidden="1" customWidth="1"/>
    <col min="112" max="112" width="10.7109375" style="166" hidden="1" customWidth="1"/>
    <col min="113" max="113" width="14.42578125" style="208" hidden="1" customWidth="1"/>
    <col min="114" max="114" width="10.28515625" style="209" hidden="1" customWidth="1"/>
    <col min="115" max="115" width="10.7109375" style="166" hidden="1" customWidth="1"/>
    <col min="116" max="116" width="14.42578125" style="208" hidden="1" customWidth="1"/>
    <col min="117" max="117" width="10.28515625" style="209" hidden="1" customWidth="1"/>
    <col min="118" max="118" width="10.7109375" style="166" hidden="1" customWidth="1"/>
    <col min="119" max="119" width="14.42578125" style="208" hidden="1" customWidth="1"/>
    <col min="120" max="120" width="10.28515625" style="209" hidden="1" customWidth="1"/>
    <col min="121" max="121" width="10.7109375" style="166" hidden="1" customWidth="1"/>
    <col min="122" max="122" width="14.42578125" style="208" hidden="1" customWidth="1"/>
    <col min="123" max="123" width="10.28515625" style="209" hidden="1" customWidth="1"/>
    <col min="124" max="124" width="10.7109375" style="166" hidden="1" customWidth="1"/>
    <col min="125" max="125" width="14.42578125" style="208" hidden="1" customWidth="1"/>
    <col min="126" max="126" width="10.28515625" style="209" hidden="1" customWidth="1"/>
    <col min="127" max="127" width="10.7109375" style="166" hidden="1" customWidth="1"/>
    <col min="128" max="128" width="14.42578125" style="208" hidden="1" customWidth="1"/>
    <col min="129" max="129" width="10.28515625" style="209" hidden="1" customWidth="1"/>
    <col min="130" max="130" width="10.7109375" style="166" hidden="1" customWidth="1"/>
    <col min="131" max="131" width="2.7109375" style="166" customWidth="1"/>
    <col min="132" max="132" width="18.7109375" style="166" customWidth="1"/>
    <col min="133" max="133" width="15.42578125" style="166" hidden="1" customWidth="1"/>
    <col min="134" max="134" width="14.42578125" style="166" bestFit="1" customWidth="1"/>
    <col min="135" max="135" width="20.140625" style="166" customWidth="1"/>
    <col min="136" max="136" width="2.7109375" style="166" customWidth="1"/>
    <col min="137" max="137" width="15.42578125" style="166" hidden="1" customWidth="1"/>
    <col min="138" max="138" width="14.42578125" style="166" hidden="1" customWidth="1"/>
    <col min="139" max="139" width="12.42578125" style="166" hidden="1" customWidth="1"/>
    <col min="140" max="140" width="2.7109375" style="166" hidden="1" customWidth="1"/>
    <col min="141" max="141" width="18.5703125" style="166" customWidth="1"/>
    <col min="142" max="142" width="15.42578125" style="166" hidden="1" customWidth="1"/>
    <col min="143" max="143" width="14.42578125" style="166" bestFit="1" customWidth="1"/>
    <col min="144" max="144" width="18.42578125" style="166" bestFit="1" customWidth="1"/>
    <col min="145" max="145" width="42.85546875" style="166" bestFit="1" customWidth="1"/>
    <col min="146" max="146" width="19.42578125" style="166" bestFit="1" customWidth="1"/>
    <col min="147" max="147" width="23.140625" style="166" bestFit="1" customWidth="1"/>
    <col min="148" max="16384" width="9.140625" style="166"/>
  </cols>
  <sheetData>
    <row r="1" spans="1:147" s="175" customFormat="1" x14ac:dyDescent="0.25">
      <c r="A1" s="227" t="s">
        <v>0</v>
      </c>
      <c r="B1" s="228"/>
      <c r="C1" s="229"/>
      <c r="E1" s="228"/>
      <c r="F1" s="229"/>
      <c r="H1" s="228"/>
      <c r="I1" s="229"/>
      <c r="K1" s="228"/>
      <c r="L1" s="229"/>
      <c r="N1" s="228"/>
      <c r="O1" s="229"/>
      <c r="Q1" s="228"/>
      <c r="R1" s="229"/>
      <c r="T1" s="228"/>
      <c r="U1" s="229"/>
      <c r="W1" s="228"/>
      <c r="X1" s="229"/>
      <c r="Z1" s="228"/>
      <c r="AA1" s="229"/>
      <c r="AC1" s="228"/>
      <c r="AD1" s="229"/>
      <c r="AF1" s="228"/>
      <c r="AG1" s="229"/>
      <c r="AI1" s="228"/>
      <c r="AJ1" s="229"/>
      <c r="AL1" s="228"/>
      <c r="AM1" s="229"/>
      <c r="AO1" s="228"/>
      <c r="AP1" s="229"/>
      <c r="AR1" s="228"/>
      <c r="AS1" s="229"/>
      <c r="AU1" s="228"/>
      <c r="AV1" s="229"/>
      <c r="AX1" s="228"/>
      <c r="AY1" s="229"/>
      <c r="BA1" s="228"/>
      <c r="BB1" s="229"/>
      <c r="BD1" s="228"/>
      <c r="BE1" s="229"/>
      <c r="BG1" s="228"/>
      <c r="BH1" s="229"/>
      <c r="BJ1" s="228"/>
      <c r="BK1" s="229"/>
      <c r="BM1" s="228"/>
      <c r="BN1" s="229"/>
      <c r="BP1" s="228"/>
      <c r="BQ1" s="229"/>
      <c r="BS1" s="228"/>
      <c r="BT1" s="229"/>
      <c r="BV1" s="228"/>
      <c r="BW1" s="229"/>
      <c r="BY1" s="228"/>
      <c r="BZ1" s="229"/>
      <c r="CB1" s="228"/>
      <c r="CC1" s="229"/>
      <c r="CE1" s="228"/>
      <c r="CF1" s="229"/>
      <c r="CH1" s="228"/>
      <c r="CI1" s="229"/>
      <c r="CK1" s="228"/>
      <c r="CL1" s="229"/>
      <c r="CN1" s="228"/>
      <c r="CO1" s="229"/>
      <c r="CQ1" s="228"/>
      <c r="CR1" s="229"/>
      <c r="CT1" s="228"/>
      <c r="CU1" s="229"/>
      <c r="CW1" s="228"/>
      <c r="CX1" s="229"/>
      <c r="CZ1" s="228"/>
      <c r="DA1" s="229"/>
      <c r="DC1" s="228"/>
      <c r="DD1" s="229"/>
      <c r="DF1" s="228"/>
      <c r="DG1" s="229"/>
      <c r="DI1" s="228"/>
      <c r="DJ1" s="229"/>
      <c r="DL1" s="228"/>
      <c r="DM1" s="229"/>
      <c r="DO1" s="228"/>
      <c r="DP1" s="229"/>
      <c r="DR1" s="228"/>
      <c r="DS1" s="229"/>
      <c r="DU1" s="228"/>
      <c r="DV1" s="229"/>
      <c r="DX1" s="228"/>
      <c r="DY1" s="229"/>
      <c r="DZ1" s="230"/>
      <c r="ED1" s="169"/>
      <c r="EE1" s="231" t="s">
        <v>37</v>
      </c>
      <c r="EI1" s="169" t="s">
        <v>38</v>
      </c>
      <c r="EM1" s="169"/>
      <c r="EN1" s="169" t="s">
        <v>39</v>
      </c>
      <c r="EO1" s="227" t="s">
        <v>40</v>
      </c>
      <c r="EP1" s="227" t="s">
        <v>41</v>
      </c>
      <c r="EQ1" s="227" t="s">
        <v>42</v>
      </c>
    </row>
    <row r="2" spans="1:147" s="175" customFormat="1" ht="15.75" thickBot="1" x14ac:dyDescent="0.3">
      <c r="A2" s="227" t="s">
        <v>43</v>
      </c>
      <c r="B2" s="228"/>
      <c r="C2" s="229"/>
      <c r="E2" s="230"/>
      <c r="F2" s="229"/>
      <c r="G2" s="169"/>
      <c r="H2" s="228"/>
      <c r="I2" s="229"/>
      <c r="K2" s="228"/>
      <c r="L2" s="229"/>
      <c r="N2" s="228"/>
      <c r="O2" s="229"/>
      <c r="Q2" s="228"/>
      <c r="R2" s="229"/>
      <c r="T2" s="228"/>
      <c r="U2" s="229"/>
      <c r="W2" s="228"/>
      <c r="X2" s="229"/>
      <c r="Z2" s="228"/>
      <c r="AA2" s="229"/>
      <c r="AC2" s="228"/>
      <c r="AD2" s="229"/>
      <c r="AF2" s="228"/>
      <c r="AG2" s="229"/>
      <c r="AI2" s="228"/>
      <c r="AJ2" s="229"/>
      <c r="AL2" s="228"/>
      <c r="AM2" s="229"/>
      <c r="AO2" s="228"/>
      <c r="AP2" s="229"/>
      <c r="AR2" s="228"/>
      <c r="AS2" s="229"/>
      <c r="AU2" s="228"/>
      <c r="AV2" s="229"/>
      <c r="AX2" s="228"/>
      <c r="AY2" s="229"/>
      <c r="BA2" s="228"/>
      <c r="BB2" s="229"/>
      <c r="BD2" s="228"/>
      <c r="BE2" s="229"/>
      <c r="BG2" s="228"/>
      <c r="BH2" s="229"/>
      <c r="BJ2" s="228"/>
      <c r="BK2" s="229"/>
      <c r="BM2" s="228"/>
      <c r="BN2" s="229"/>
      <c r="BP2" s="228"/>
      <c r="BQ2" s="229"/>
      <c r="BS2" s="228"/>
      <c r="BT2" s="229"/>
      <c r="BV2" s="228"/>
      <c r="BW2" s="229"/>
      <c r="BY2" s="228"/>
      <c r="BZ2" s="229"/>
      <c r="CB2" s="228"/>
      <c r="CC2" s="229"/>
      <c r="CE2" s="228"/>
      <c r="CF2" s="229"/>
      <c r="CH2" s="228"/>
      <c r="CI2" s="229"/>
      <c r="CK2" s="228"/>
      <c r="CL2" s="229"/>
      <c r="CN2" s="228"/>
      <c r="CO2" s="229"/>
      <c r="CQ2" s="228"/>
      <c r="CR2" s="229"/>
      <c r="CT2" s="228"/>
      <c r="CU2" s="229"/>
      <c r="CW2" s="228"/>
      <c r="CX2" s="229"/>
      <c r="CZ2" s="228"/>
      <c r="DA2" s="229"/>
      <c r="DC2" s="228"/>
      <c r="DD2" s="229"/>
      <c r="DF2" s="228"/>
      <c r="DG2" s="229"/>
      <c r="DI2" s="228"/>
      <c r="DJ2" s="229"/>
      <c r="DL2" s="228"/>
      <c r="DM2" s="229"/>
      <c r="DO2" s="228"/>
      <c r="DP2" s="229"/>
      <c r="DR2" s="228"/>
      <c r="DS2" s="229"/>
      <c r="DU2" s="228"/>
      <c r="DV2" s="229"/>
      <c r="DX2" s="228"/>
      <c r="DY2" s="229"/>
      <c r="EB2" s="166" t="s">
        <v>44</v>
      </c>
      <c r="EC2" s="166"/>
      <c r="ED2" s="208"/>
      <c r="EE2" s="208">
        <f>EB40</f>
        <v>344250000</v>
      </c>
      <c r="EI2" s="208">
        <f>EG40</f>
        <v>0</v>
      </c>
      <c r="EM2" s="208"/>
      <c r="EN2" s="208">
        <f>EK40</f>
        <v>344250000</v>
      </c>
      <c r="EO2" s="232">
        <v>-65144.72</v>
      </c>
      <c r="EP2" s="228">
        <f>EN2+EO2</f>
        <v>344184855.27999997</v>
      </c>
      <c r="EQ2" s="228">
        <f>EE2+EO2</f>
        <v>344184855.27999997</v>
      </c>
    </row>
    <row r="3" spans="1:147" ht="15.75" thickTop="1" x14ac:dyDescent="0.25">
      <c r="A3" s="233" t="s">
        <v>261</v>
      </c>
      <c r="E3" s="234" t="s">
        <v>45</v>
      </c>
      <c r="F3" s="210"/>
      <c r="G3" s="211"/>
      <c r="EB3" s="166" t="s">
        <v>46</v>
      </c>
      <c r="ED3" s="208"/>
      <c r="EE3" s="208">
        <f>AVERAGE(EB11:EB40)</f>
        <v>297513066.66666669</v>
      </c>
      <c r="EI3" s="208">
        <f>AVERAGE(EG11:EG40)</f>
        <v>0</v>
      </c>
      <c r="EM3" s="208"/>
      <c r="EN3" s="208">
        <f>AVERAGE(EK11:EK40)</f>
        <v>297496400</v>
      </c>
    </row>
    <row r="4" spans="1:147" x14ac:dyDescent="0.25">
      <c r="E4" s="212" t="s">
        <v>44</v>
      </c>
      <c r="F4" s="208"/>
      <c r="G4" s="213">
        <f>EQ2</f>
        <v>344184855.27999997</v>
      </c>
      <c r="AI4" s="227" t="s">
        <v>47</v>
      </c>
      <c r="EB4" s="166" t="s">
        <v>48</v>
      </c>
      <c r="ED4" s="209"/>
      <c r="EE4" s="209">
        <f>IF(EE3=0,0,360*(AVERAGE(ED11:ED40)/EE3))</f>
        <v>3.9457267951928603E-2</v>
      </c>
      <c r="EI4" s="209">
        <f>IF(EI3=0,0,360*(AVERAGE(EH11:EH40)/EI3))</f>
        <v>0</v>
      </c>
      <c r="EM4" s="209"/>
      <c r="EN4" s="209">
        <f>IF(EN3=0,0,360*(AVERAGE(EM11:EM40)/EN3))</f>
        <v>3.9457263426829148E-2</v>
      </c>
      <c r="EO4" s="175" t="s">
        <v>239</v>
      </c>
      <c r="EQ4" s="169" t="s">
        <v>47</v>
      </c>
    </row>
    <row r="5" spans="1:147" x14ac:dyDescent="0.25">
      <c r="E5" s="212" t="s">
        <v>46</v>
      </c>
      <c r="F5" s="208"/>
      <c r="G5" s="213">
        <f>EE3</f>
        <v>297513066.66666669</v>
      </c>
      <c r="AI5" s="235" t="s">
        <v>39</v>
      </c>
      <c r="EB5" s="166" t="s">
        <v>49</v>
      </c>
      <c r="ED5" s="208"/>
      <c r="EE5" s="208">
        <f>MAX(EB11:EB40)</f>
        <v>344250000</v>
      </c>
      <c r="EI5" s="208">
        <f>MAX(EG11:EG40)</f>
        <v>0</v>
      </c>
      <c r="EM5" s="208"/>
      <c r="EN5" s="208">
        <f>MAX(EK11:EK40)</f>
        <v>344250000</v>
      </c>
      <c r="EO5" s="166" t="s">
        <v>240</v>
      </c>
    </row>
    <row r="6" spans="1:147" x14ac:dyDescent="0.25">
      <c r="E6" s="212" t="s">
        <v>48</v>
      </c>
      <c r="F6" s="208"/>
      <c r="G6" s="214">
        <f>EE4</f>
        <v>3.9457267951928603E-2</v>
      </c>
    </row>
    <row r="7" spans="1:147" ht="15.75" thickBot="1" x14ac:dyDescent="0.3">
      <c r="E7" s="215" t="s">
        <v>49</v>
      </c>
      <c r="F7" s="216"/>
      <c r="G7" s="217">
        <f>EE5</f>
        <v>344250000</v>
      </c>
      <c r="AI7" s="235" t="s">
        <v>39</v>
      </c>
      <c r="EB7" s="236" t="s">
        <v>50</v>
      </c>
      <c r="EC7" s="236"/>
      <c r="ED7" s="218"/>
      <c r="EE7" s="218"/>
      <c r="EG7" s="236" t="s">
        <v>51</v>
      </c>
      <c r="EH7" s="218"/>
      <c r="EI7" s="218"/>
      <c r="EJ7" s="165"/>
      <c r="EK7" s="236" t="s">
        <v>52</v>
      </c>
      <c r="EL7" s="236"/>
      <c r="EM7" s="218"/>
      <c r="EN7" s="218"/>
    </row>
    <row r="8" spans="1:147" ht="15.75" thickTop="1" x14ac:dyDescent="0.25">
      <c r="AI8" s="230" t="s">
        <v>53</v>
      </c>
      <c r="AL8" s="230" t="s">
        <v>53</v>
      </c>
      <c r="AO8" s="230" t="s">
        <v>53</v>
      </c>
      <c r="AR8" s="230" t="s">
        <v>53</v>
      </c>
      <c r="AU8" s="230" t="s">
        <v>53</v>
      </c>
      <c r="AX8" s="230" t="s">
        <v>53</v>
      </c>
      <c r="BA8" s="230" t="s">
        <v>53</v>
      </c>
      <c r="BD8" s="230" t="s">
        <v>53</v>
      </c>
      <c r="BG8" s="230" t="s">
        <v>53</v>
      </c>
      <c r="BJ8" s="230" t="s">
        <v>53</v>
      </c>
      <c r="BM8" s="230" t="s">
        <v>53</v>
      </c>
      <c r="BP8" s="230" t="s">
        <v>53</v>
      </c>
      <c r="BS8" s="230" t="s">
        <v>53</v>
      </c>
      <c r="BV8" s="230" t="s">
        <v>53</v>
      </c>
      <c r="BY8" s="230" t="s">
        <v>53</v>
      </c>
      <c r="CB8" s="230" t="s">
        <v>53</v>
      </c>
      <c r="CE8" s="230" t="s">
        <v>53</v>
      </c>
      <c r="CH8" s="230" t="s">
        <v>53</v>
      </c>
      <c r="CK8" s="230" t="s">
        <v>53</v>
      </c>
      <c r="CN8" s="230" t="s">
        <v>53</v>
      </c>
      <c r="CQ8" s="230" t="s">
        <v>53</v>
      </c>
      <c r="CT8" s="230" t="s">
        <v>53</v>
      </c>
      <c r="CW8" s="230" t="s">
        <v>53</v>
      </c>
      <c r="CZ8" s="230" t="s">
        <v>53</v>
      </c>
      <c r="DC8" s="230" t="s">
        <v>53</v>
      </c>
      <c r="DF8" s="230" t="s">
        <v>53</v>
      </c>
      <c r="DI8" s="230" t="s">
        <v>53</v>
      </c>
      <c r="DL8" s="230" t="s">
        <v>53</v>
      </c>
      <c r="DO8" s="230" t="s">
        <v>53</v>
      </c>
      <c r="DR8" s="230" t="s">
        <v>53</v>
      </c>
      <c r="EB8" s="219"/>
      <c r="EC8" s="219"/>
      <c r="ED8" s="219"/>
      <c r="EE8" s="219" t="s">
        <v>54</v>
      </c>
      <c r="EG8" s="219"/>
      <c r="EH8" s="237" t="s">
        <v>38</v>
      </c>
      <c r="EI8" s="219" t="s">
        <v>54</v>
      </c>
      <c r="EJ8" s="219"/>
      <c r="EK8" s="169" t="s">
        <v>55</v>
      </c>
      <c r="EL8" s="169" t="s">
        <v>56</v>
      </c>
      <c r="EM8" s="237" t="s">
        <v>57</v>
      </c>
      <c r="EN8" s="219" t="s">
        <v>54</v>
      </c>
    </row>
    <row r="9" spans="1:147" x14ac:dyDescent="0.25">
      <c r="B9" s="220" t="s">
        <v>58</v>
      </c>
      <c r="C9" s="221"/>
      <c r="D9" s="218"/>
      <c r="E9" s="220" t="s">
        <v>59</v>
      </c>
      <c r="F9" s="221"/>
      <c r="G9" s="218"/>
      <c r="H9" s="220" t="s">
        <v>60</v>
      </c>
      <c r="I9" s="221"/>
      <c r="J9" s="218"/>
      <c r="K9" s="220" t="s">
        <v>61</v>
      </c>
      <c r="L9" s="221"/>
      <c r="M9" s="218"/>
      <c r="N9" s="220" t="s">
        <v>62</v>
      </c>
      <c r="O9" s="221"/>
      <c r="P9" s="218"/>
      <c r="Q9" s="220" t="s">
        <v>63</v>
      </c>
      <c r="R9" s="221"/>
      <c r="S9" s="218"/>
      <c r="T9" s="220" t="s">
        <v>64</v>
      </c>
      <c r="U9" s="221"/>
      <c r="V9" s="218"/>
      <c r="W9" s="220" t="s">
        <v>65</v>
      </c>
      <c r="X9" s="221"/>
      <c r="Y9" s="218"/>
      <c r="Z9" s="220" t="s">
        <v>66</v>
      </c>
      <c r="AA9" s="221"/>
      <c r="AB9" s="218"/>
      <c r="AC9" s="238" t="s">
        <v>67</v>
      </c>
      <c r="AD9" s="221"/>
      <c r="AE9" s="218"/>
      <c r="AF9" s="238" t="s">
        <v>68</v>
      </c>
      <c r="AG9" s="221"/>
      <c r="AH9" s="218"/>
      <c r="AI9" s="220" t="s">
        <v>69</v>
      </c>
      <c r="AJ9" s="221"/>
      <c r="AK9" s="218"/>
      <c r="AL9" s="220" t="s">
        <v>70</v>
      </c>
      <c r="AM9" s="221"/>
      <c r="AN9" s="218"/>
      <c r="AO9" s="220" t="s">
        <v>71</v>
      </c>
      <c r="AP9" s="221"/>
      <c r="AQ9" s="218"/>
      <c r="AR9" s="220" t="s">
        <v>72</v>
      </c>
      <c r="AS9" s="221"/>
      <c r="AT9" s="218"/>
      <c r="AU9" s="220" t="s">
        <v>73</v>
      </c>
      <c r="AV9" s="221"/>
      <c r="AW9" s="218"/>
      <c r="AX9" s="220" t="s">
        <v>74</v>
      </c>
      <c r="AY9" s="221"/>
      <c r="AZ9" s="218"/>
      <c r="BA9" s="220" t="s">
        <v>75</v>
      </c>
      <c r="BB9" s="221"/>
      <c r="BC9" s="218"/>
      <c r="BD9" s="220" t="s">
        <v>76</v>
      </c>
      <c r="BE9" s="221"/>
      <c r="BF9" s="218"/>
      <c r="BG9" s="220" t="s">
        <v>77</v>
      </c>
      <c r="BH9" s="221"/>
      <c r="BI9" s="218"/>
      <c r="BJ9" s="220" t="s">
        <v>78</v>
      </c>
      <c r="BK9" s="221"/>
      <c r="BL9" s="218"/>
      <c r="BM9" s="220" t="s">
        <v>79</v>
      </c>
      <c r="BN9" s="221"/>
      <c r="BO9" s="218"/>
      <c r="BP9" s="220" t="s">
        <v>80</v>
      </c>
      <c r="BQ9" s="221"/>
      <c r="BR9" s="218"/>
      <c r="BS9" s="220" t="s">
        <v>81</v>
      </c>
      <c r="BT9" s="221"/>
      <c r="BU9" s="218"/>
      <c r="BV9" s="220" t="s">
        <v>82</v>
      </c>
      <c r="BW9" s="221"/>
      <c r="BX9" s="218"/>
      <c r="BY9" s="220" t="s">
        <v>83</v>
      </c>
      <c r="BZ9" s="221"/>
      <c r="CA9" s="218"/>
      <c r="CB9" s="220" t="s">
        <v>84</v>
      </c>
      <c r="CC9" s="221"/>
      <c r="CD9" s="218"/>
      <c r="CE9" s="220" t="s">
        <v>85</v>
      </c>
      <c r="CF9" s="221"/>
      <c r="CG9" s="218"/>
      <c r="CH9" s="220" t="s">
        <v>86</v>
      </c>
      <c r="CI9" s="221"/>
      <c r="CJ9" s="218"/>
      <c r="CK9" s="220" t="s">
        <v>87</v>
      </c>
      <c r="CL9" s="221"/>
      <c r="CM9" s="218"/>
      <c r="CN9" s="220" t="s">
        <v>88</v>
      </c>
      <c r="CO9" s="221"/>
      <c r="CP9" s="218"/>
      <c r="CQ9" s="220" t="s">
        <v>89</v>
      </c>
      <c r="CR9" s="221"/>
      <c r="CS9" s="218"/>
      <c r="CT9" s="220" t="s">
        <v>90</v>
      </c>
      <c r="CU9" s="221"/>
      <c r="CV9" s="218"/>
      <c r="CW9" s="220" t="s">
        <v>91</v>
      </c>
      <c r="CX9" s="221"/>
      <c r="CY9" s="218"/>
      <c r="CZ9" s="220" t="s">
        <v>92</v>
      </c>
      <c r="DA9" s="221"/>
      <c r="DB9" s="218"/>
      <c r="DC9" s="220" t="s">
        <v>93</v>
      </c>
      <c r="DD9" s="221"/>
      <c r="DE9" s="218"/>
      <c r="DF9" s="220" t="s">
        <v>94</v>
      </c>
      <c r="DG9" s="221"/>
      <c r="DH9" s="218"/>
      <c r="DI9" s="220" t="s">
        <v>95</v>
      </c>
      <c r="DJ9" s="221"/>
      <c r="DK9" s="218"/>
      <c r="DL9" s="220" t="s">
        <v>96</v>
      </c>
      <c r="DM9" s="221"/>
      <c r="DN9" s="218"/>
      <c r="DO9" s="220" t="s">
        <v>97</v>
      </c>
      <c r="DP9" s="221"/>
      <c r="DQ9" s="218"/>
      <c r="DR9" s="220" t="s">
        <v>98</v>
      </c>
      <c r="DS9" s="221"/>
      <c r="DT9" s="218"/>
      <c r="DU9" s="220" t="s">
        <v>99</v>
      </c>
      <c r="DV9" s="221"/>
      <c r="DW9" s="218"/>
      <c r="DX9" s="239" t="s">
        <v>100</v>
      </c>
      <c r="DY9" s="221"/>
      <c r="DZ9" s="218"/>
      <c r="EA9" s="165"/>
      <c r="EB9" s="169" t="s">
        <v>101</v>
      </c>
      <c r="EC9" s="169" t="s">
        <v>102</v>
      </c>
      <c r="ED9" s="219" t="s">
        <v>103</v>
      </c>
      <c r="EE9" s="219" t="s">
        <v>104</v>
      </c>
      <c r="EG9" s="237" t="s">
        <v>105</v>
      </c>
      <c r="EH9" s="219" t="s">
        <v>103</v>
      </c>
      <c r="EI9" s="219" t="s">
        <v>104</v>
      </c>
      <c r="EJ9" s="219"/>
      <c r="EK9" s="237" t="s">
        <v>57</v>
      </c>
      <c r="EL9" s="237" t="s">
        <v>57</v>
      </c>
      <c r="EM9" s="219" t="s">
        <v>103</v>
      </c>
      <c r="EN9" s="219" t="s">
        <v>104</v>
      </c>
    </row>
    <row r="10" spans="1:147" x14ac:dyDescent="0.25">
      <c r="A10" s="219" t="s">
        <v>106</v>
      </c>
      <c r="B10" s="240" t="s">
        <v>107</v>
      </c>
      <c r="C10" s="241" t="s">
        <v>108</v>
      </c>
      <c r="D10" s="242" t="s">
        <v>12</v>
      </c>
      <c r="E10" s="240" t="s">
        <v>107</v>
      </c>
      <c r="F10" s="241" t="s">
        <v>108</v>
      </c>
      <c r="G10" s="242" t="s">
        <v>12</v>
      </c>
      <c r="H10" s="240" t="s">
        <v>107</v>
      </c>
      <c r="I10" s="241" t="s">
        <v>108</v>
      </c>
      <c r="J10" s="242" t="s">
        <v>12</v>
      </c>
      <c r="K10" s="240" t="s">
        <v>107</v>
      </c>
      <c r="L10" s="241" t="s">
        <v>108</v>
      </c>
      <c r="M10" s="242" t="s">
        <v>12</v>
      </c>
      <c r="N10" s="240" t="s">
        <v>107</v>
      </c>
      <c r="O10" s="241" t="s">
        <v>108</v>
      </c>
      <c r="P10" s="242" t="s">
        <v>12</v>
      </c>
      <c r="Q10" s="240" t="s">
        <v>107</v>
      </c>
      <c r="R10" s="241" t="s">
        <v>108</v>
      </c>
      <c r="S10" s="242" t="s">
        <v>12</v>
      </c>
      <c r="T10" s="240" t="s">
        <v>107</v>
      </c>
      <c r="U10" s="241" t="s">
        <v>108</v>
      </c>
      <c r="V10" s="242" t="s">
        <v>12</v>
      </c>
      <c r="W10" s="240" t="s">
        <v>107</v>
      </c>
      <c r="X10" s="241" t="s">
        <v>108</v>
      </c>
      <c r="Y10" s="242" t="s">
        <v>12</v>
      </c>
      <c r="Z10" s="240" t="s">
        <v>107</v>
      </c>
      <c r="AA10" s="241" t="s">
        <v>108</v>
      </c>
      <c r="AB10" s="242" t="s">
        <v>12</v>
      </c>
      <c r="AC10" s="240" t="s">
        <v>107</v>
      </c>
      <c r="AD10" s="241" t="s">
        <v>108</v>
      </c>
      <c r="AE10" s="242" t="s">
        <v>12</v>
      </c>
      <c r="AF10" s="240" t="s">
        <v>107</v>
      </c>
      <c r="AG10" s="241" t="s">
        <v>108</v>
      </c>
      <c r="AH10" s="242" t="s">
        <v>12</v>
      </c>
      <c r="AI10" s="240" t="s">
        <v>107</v>
      </c>
      <c r="AJ10" s="241" t="s">
        <v>108</v>
      </c>
      <c r="AK10" s="242" t="s">
        <v>12</v>
      </c>
      <c r="AL10" s="240" t="s">
        <v>107</v>
      </c>
      <c r="AM10" s="241" t="s">
        <v>108</v>
      </c>
      <c r="AN10" s="242" t="s">
        <v>12</v>
      </c>
      <c r="AO10" s="240" t="s">
        <v>107</v>
      </c>
      <c r="AP10" s="241" t="s">
        <v>108</v>
      </c>
      <c r="AQ10" s="242" t="s">
        <v>12</v>
      </c>
      <c r="AR10" s="240" t="s">
        <v>107</v>
      </c>
      <c r="AS10" s="241" t="s">
        <v>108</v>
      </c>
      <c r="AT10" s="242" t="s">
        <v>12</v>
      </c>
      <c r="AU10" s="240" t="s">
        <v>107</v>
      </c>
      <c r="AV10" s="241" t="s">
        <v>108</v>
      </c>
      <c r="AW10" s="242" t="s">
        <v>12</v>
      </c>
      <c r="AX10" s="240" t="s">
        <v>107</v>
      </c>
      <c r="AY10" s="241" t="s">
        <v>108</v>
      </c>
      <c r="AZ10" s="242" t="s">
        <v>12</v>
      </c>
      <c r="BA10" s="240" t="s">
        <v>107</v>
      </c>
      <c r="BB10" s="241" t="s">
        <v>108</v>
      </c>
      <c r="BC10" s="242" t="s">
        <v>12</v>
      </c>
      <c r="BD10" s="240" t="s">
        <v>107</v>
      </c>
      <c r="BE10" s="241" t="s">
        <v>108</v>
      </c>
      <c r="BF10" s="242" t="s">
        <v>12</v>
      </c>
      <c r="BG10" s="240" t="s">
        <v>107</v>
      </c>
      <c r="BH10" s="241" t="s">
        <v>108</v>
      </c>
      <c r="BI10" s="242" t="s">
        <v>12</v>
      </c>
      <c r="BJ10" s="240" t="s">
        <v>107</v>
      </c>
      <c r="BK10" s="241" t="s">
        <v>108</v>
      </c>
      <c r="BL10" s="242" t="s">
        <v>12</v>
      </c>
      <c r="BM10" s="240" t="s">
        <v>107</v>
      </c>
      <c r="BN10" s="241" t="s">
        <v>108</v>
      </c>
      <c r="BO10" s="242" t="s">
        <v>12</v>
      </c>
      <c r="BP10" s="240" t="s">
        <v>107</v>
      </c>
      <c r="BQ10" s="241" t="s">
        <v>108</v>
      </c>
      <c r="BR10" s="242" t="s">
        <v>12</v>
      </c>
      <c r="BS10" s="240" t="s">
        <v>107</v>
      </c>
      <c r="BT10" s="241" t="s">
        <v>108</v>
      </c>
      <c r="BU10" s="242" t="s">
        <v>12</v>
      </c>
      <c r="BV10" s="240" t="s">
        <v>107</v>
      </c>
      <c r="BW10" s="241" t="s">
        <v>108</v>
      </c>
      <c r="BX10" s="242" t="s">
        <v>12</v>
      </c>
      <c r="BY10" s="240" t="s">
        <v>107</v>
      </c>
      <c r="BZ10" s="241" t="s">
        <v>108</v>
      </c>
      <c r="CA10" s="242" t="s">
        <v>12</v>
      </c>
      <c r="CB10" s="240" t="s">
        <v>107</v>
      </c>
      <c r="CC10" s="241" t="s">
        <v>108</v>
      </c>
      <c r="CD10" s="242" t="s">
        <v>12</v>
      </c>
      <c r="CE10" s="240" t="s">
        <v>107</v>
      </c>
      <c r="CF10" s="241" t="s">
        <v>108</v>
      </c>
      <c r="CG10" s="242" t="s">
        <v>12</v>
      </c>
      <c r="CH10" s="240" t="s">
        <v>107</v>
      </c>
      <c r="CI10" s="241" t="s">
        <v>108</v>
      </c>
      <c r="CJ10" s="242" t="s">
        <v>12</v>
      </c>
      <c r="CK10" s="240" t="s">
        <v>107</v>
      </c>
      <c r="CL10" s="241" t="s">
        <v>108</v>
      </c>
      <c r="CM10" s="242" t="s">
        <v>12</v>
      </c>
      <c r="CN10" s="240" t="s">
        <v>107</v>
      </c>
      <c r="CO10" s="241" t="s">
        <v>108</v>
      </c>
      <c r="CP10" s="242" t="s">
        <v>12</v>
      </c>
      <c r="CQ10" s="240" t="s">
        <v>107</v>
      </c>
      <c r="CR10" s="241" t="s">
        <v>108</v>
      </c>
      <c r="CS10" s="242" t="s">
        <v>12</v>
      </c>
      <c r="CT10" s="240" t="s">
        <v>107</v>
      </c>
      <c r="CU10" s="241" t="s">
        <v>108</v>
      </c>
      <c r="CV10" s="242" t="s">
        <v>12</v>
      </c>
      <c r="CW10" s="240" t="s">
        <v>107</v>
      </c>
      <c r="CX10" s="241" t="s">
        <v>108</v>
      </c>
      <c r="CY10" s="242" t="s">
        <v>12</v>
      </c>
      <c r="CZ10" s="240" t="s">
        <v>107</v>
      </c>
      <c r="DA10" s="241" t="s">
        <v>108</v>
      </c>
      <c r="DB10" s="242" t="s">
        <v>12</v>
      </c>
      <c r="DC10" s="240" t="s">
        <v>107</v>
      </c>
      <c r="DD10" s="241" t="s">
        <v>108</v>
      </c>
      <c r="DE10" s="242" t="s">
        <v>12</v>
      </c>
      <c r="DF10" s="240" t="s">
        <v>107</v>
      </c>
      <c r="DG10" s="241" t="s">
        <v>108</v>
      </c>
      <c r="DH10" s="242" t="s">
        <v>12</v>
      </c>
      <c r="DI10" s="240" t="s">
        <v>107</v>
      </c>
      <c r="DJ10" s="241" t="s">
        <v>108</v>
      </c>
      <c r="DK10" s="242" t="s">
        <v>12</v>
      </c>
      <c r="DL10" s="240" t="s">
        <v>107</v>
      </c>
      <c r="DM10" s="241" t="s">
        <v>108</v>
      </c>
      <c r="DN10" s="242" t="s">
        <v>12</v>
      </c>
      <c r="DO10" s="240" t="s">
        <v>107</v>
      </c>
      <c r="DP10" s="241" t="s">
        <v>108</v>
      </c>
      <c r="DQ10" s="242" t="s">
        <v>12</v>
      </c>
      <c r="DR10" s="240" t="s">
        <v>107</v>
      </c>
      <c r="DS10" s="241" t="s">
        <v>108</v>
      </c>
      <c r="DT10" s="242" t="s">
        <v>12</v>
      </c>
      <c r="DU10" s="240" t="s">
        <v>107</v>
      </c>
      <c r="DV10" s="241" t="s">
        <v>108</v>
      </c>
      <c r="DW10" s="242" t="s">
        <v>12</v>
      </c>
      <c r="DX10" s="240" t="s">
        <v>107</v>
      </c>
      <c r="DY10" s="241"/>
      <c r="DZ10" s="242"/>
      <c r="EA10" s="242"/>
      <c r="EB10" s="242" t="s">
        <v>109</v>
      </c>
      <c r="EC10" s="242" t="s">
        <v>109</v>
      </c>
      <c r="ED10" s="242" t="s">
        <v>12</v>
      </c>
      <c r="EE10" s="242" t="s">
        <v>108</v>
      </c>
      <c r="EG10" s="242" t="s">
        <v>109</v>
      </c>
      <c r="EH10" s="242" t="s">
        <v>12</v>
      </c>
      <c r="EI10" s="242" t="s">
        <v>108</v>
      </c>
      <c r="EJ10" s="242"/>
      <c r="EK10" s="242" t="s">
        <v>109</v>
      </c>
      <c r="EL10" s="242" t="s">
        <v>109</v>
      </c>
      <c r="EM10" s="242" t="s">
        <v>12</v>
      </c>
      <c r="EN10" s="242" t="s">
        <v>108</v>
      </c>
    </row>
    <row r="11" spans="1:147" x14ac:dyDescent="0.25">
      <c r="A11" s="222">
        <v>46113</v>
      </c>
      <c r="B11" s="208">
        <v>0</v>
      </c>
      <c r="C11" s="209">
        <v>3.95E-2</v>
      </c>
      <c r="D11" s="208">
        <f>(B11*C11)/360</f>
        <v>0</v>
      </c>
      <c r="G11" s="208">
        <f>(E11*F11)/360</f>
        <v>0</v>
      </c>
      <c r="J11" s="208">
        <f>(H11*I11)/360</f>
        <v>0</v>
      </c>
      <c r="M11" s="208">
        <f>(K11*L11)/360</f>
        <v>0</v>
      </c>
      <c r="P11" s="208">
        <f>(N11*O11)/360</f>
        <v>0</v>
      </c>
      <c r="S11" s="208">
        <f>(Q11*R11)/360</f>
        <v>0</v>
      </c>
      <c r="V11" s="208">
        <f>(T11*U11)/360</f>
        <v>0</v>
      </c>
      <c r="Y11" s="208">
        <f>(W11*X11)/360</f>
        <v>0</v>
      </c>
      <c r="AB11" s="208">
        <f>(Z11*AA11)/360</f>
        <v>0</v>
      </c>
      <c r="AE11" s="208">
        <v>0</v>
      </c>
      <c r="AH11" s="208">
        <v>0</v>
      </c>
      <c r="AI11" s="223">
        <f>50000000+175000000+86425000</f>
        <v>311425000</v>
      </c>
      <c r="AJ11" s="224">
        <v>3.95E-2</v>
      </c>
      <c r="AK11" s="208">
        <f>(AI11*AJ11)/360</f>
        <v>34170.243055555555</v>
      </c>
      <c r="AL11" s="223"/>
      <c r="AM11" s="224"/>
      <c r="AN11" s="208">
        <f>(AL11*AM11)/360</f>
        <v>0</v>
      </c>
      <c r="AO11" s="223"/>
      <c r="AP11" s="224"/>
      <c r="AQ11" s="208">
        <f>(AO11*AP11)/360</f>
        <v>0</v>
      </c>
      <c r="AR11" s="223"/>
      <c r="AS11" s="224"/>
      <c r="AT11" s="208">
        <f>(AR11*AS11)/360</f>
        <v>0</v>
      </c>
      <c r="AW11" s="208">
        <f>(AU11*AV11)/360</f>
        <v>0</v>
      </c>
      <c r="AZ11" s="208">
        <f>(AX11*AY11)/360</f>
        <v>0</v>
      </c>
      <c r="BC11" s="208">
        <f>(BA11*BB11)/360</f>
        <v>0</v>
      </c>
      <c r="BF11" s="208">
        <f>(BD11*BE11)/360</f>
        <v>0</v>
      </c>
      <c r="BI11" s="208">
        <f>(BG11*BH11)/360</f>
        <v>0</v>
      </c>
      <c r="BL11" s="208">
        <f>(BJ11*BK11)/360</f>
        <v>0</v>
      </c>
      <c r="BO11" s="208">
        <f>(BM11*BN11)/360</f>
        <v>0</v>
      </c>
      <c r="BR11" s="208">
        <f>(BP11*BQ11)/360</f>
        <v>0</v>
      </c>
      <c r="BU11" s="208">
        <f>(BS11*BT11)/360</f>
        <v>0</v>
      </c>
      <c r="BX11" s="208">
        <f>(BV11*BW11)/360</f>
        <v>0</v>
      </c>
      <c r="CA11" s="208">
        <f>(BY11*BZ11)/360</f>
        <v>0</v>
      </c>
      <c r="CD11" s="208">
        <f>(CB11*CC11)/360</f>
        <v>0</v>
      </c>
      <c r="CG11" s="208">
        <f>(CE11*CF11)/360</f>
        <v>0</v>
      </c>
      <c r="CJ11" s="208">
        <f>(CH11*CI11)/360</f>
        <v>0</v>
      </c>
      <c r="CM11" s="208">
        <f>(CK11*CL11)/360</f>
        <v>0</v>
      </c>
      <c r="CP11" s="208">
        <f>(CN11*CO11)/360</f>
        <v>0</v>
      </c>
      <c r="CS11" s="208">
        <f>(CQ11*CR11)/360</f>
        <v>0</v>
      </c>
      <c r="CV11" s="208">
        <f>(CT11*CU11)/360</f>
        <v>0</v>
      </c>
      <c r="CY11" s="208">
        <f>(CW11*CX11)/360</f>
        <v>0</v>
      </c>
      <c r="DB11" s="208">
        <f>(CZ11*DA11)/360</f>
        <v>0</v>
      </c>
      <c r="DE11" s="208">
        <f>(DC11*DD11)/360</f>
        <v>0</v>
      </c>
      <c r="DH11" s="208">
        <f>(DF11*DG11)/360</f>
        <v>0</v>
      </c>
      <c r="DK11" s="208">
        <f>(DI11*DJ11)/360</f>
        <v>0</v>
      </c>
      <c r="DN11" s="208">
        <f>(DL11*DM11)/360</f>
        <v>0</v>
      </c>
      <c r="DQ11" s="208">
        <f>(DO11*DP11)/360</f>
        <v>0</v>
      </c>
      <c r="DT11" s="208">
        <f>(DR11*DS11)/360</f>
        <v>0</v>
      </c>
      <c r="DW11" s="208">
        <f>(DU11*DV11)/360</f>
        <v>0</v>
      </c>
      <c r="DZ11" s="208"/>
      <c r="EA11" s="208"/>
      <c r="EB11" s="228">
        <f>B11+E11+H11+K11+N11+Q11+T11+W11+Z11+AC11+AF11+AL11+AO11+AR11+AU11+AX11+BA11+BD11+BG11+DU11+AI11+DR11+DO11+DL11+DI11+DF11+DC11+CZ11+CW11+CT11+CQ11+CN11+CK11+CH11+CE11+CB11+BY11+BV11+BS11+BP11+BM11+BJ11</f>
        <v>311425000</v>
      </c>
      <c r="EC11" s="228">
        <f>EB11-EK11+EL11</f>
        <v>0</v>
      </c>
      <c r="ED11" s="208">
        <f>D11+G11+J11+M11+P11+S11+V11+Y11+AB11+AE11+AH11+AK11+AN11+AQ11+AT11+AW11+AZ11+BC11+BF11+BI11+DW11+DT11+DQ11+DN11+DK11+DH11+DE11+DB11+CY11+CV11+CS11+CP11+CM11+CJ11+CG11+CD11+CA11+BX11+BU11+BR11+BO11+BL11</f>
        <v>34170.243055555555</v>
      </c>
      <c r="EE11" s="209">
        <f>IF(EB11&lt;&gt;0,((ED11/EB11)*360),0)</f>
        <v>3.95E-2</v>
      </c>
      <c r="EG11" s="228">
        <f>Q11+T11+W11+Z11+AC11+AF11</f>
        <v>0</v>
      </c>
      <c r="EH11" s="208">
        <f>S11+V11+Y11+AB11+AE11+AH11</f>
        <v>0</v>
      </c>
      <c r="EI11" s="209">
        <f>IF(EG11&lt;&gt;0,((EH11/EG11)*360),0)</f>
        <v>0</v>
      </c>
      <c r="EJ11" s="209"/>
      <c r="EK11" s="228">
        <f>DR11+DL11+DI11+DF11+DC11+CZ11+CW11+CT11+CQ11+CN11+CK11+CH11+CE11+CB11+BY11+BV11+BS11+BP11+BM11+BJ11+BG11+BD11+BA11+AX11+AU11+AR11+AO11+AL11+AI11+DO11</f>
        <v>311425000</v>
      </c>
      <c r="EL11" s="228">
        <f>DX11</f>
        <v>0</v>
      </c>
      <c r="EM11" s="228">
        <f>DT11+DQ11+DN11+DK11+DH11+DE11+DB11+CY11+CV11+CS11+CP11+CM11+CJ11+CG11+CD11+CA11+BX11+BU11+BR11+BO11+BL11+BI11+BF11+BC11+AZ11+AW11+AT11+AQ11+AN11+AK11</f>
        <v>34170.243055555555</v>
      </c>
      <c r="EN11" s="209">
        <f>IF(EK11&lt;&gt;0,((EM11/EK11)*360),0)</f>
        <v>3.95E-2</v>
      </c>
      <c r="EP11" s="208"/>
    </row>
    <row r="12" spans="1:147" x14ac:dyDescent="0.25">
      <c r="A12" s="222">
        <f>1+A11</f>
        <v>46114</v>
      </c>
      <c r="B12" s="208">
        <v>0</v>
      </c>
      <c r="C12" s="209">
        <v>3.95E-2</v>
      </c>
      <c r="D12" s="208">
        <f t="shared" ref="D12:D40" si="0">(B12*C12)/360</f>
        <v>0</v>
      </c>
      <c r="G12" s="208">
        <f t="shared" ref="G12:G40" si="1">(E12*F12)/360</f>
        <v>0</v>
      </c>
      <c r="J12" s="208">
        <f t="shared" ref="J12:J40" si="2">(H12*I12)/360</f>
        <v>0</v>
      </c>
      <c r="M12" s="208">
        <f t="shared" ref="M12:M40" si="3">(K12*L12)/360</f>
        <v>0</v>
      </c>
      <c r="P12" s="208">
        <f t="shared" ref="P12:P40" si="4">(N12*O12)/360</f>
        <v>0</v>
      </c>
      <c r="S12" s="208">
        <f t="shared" ref="S12:S40" si="5">(Q12*R12)/360</f>
        <v>0</v>
      </c>
      <c r="V12" s="208">
        <f t="shared" ref="V12:V40" si="6">(T12*U12)/360</f>
        <v>0</v>
      </c>
      <c r="Y12" s="208">
        <f t="shared" ref="Y12:Y40" si="7">(W12*X12)/360</f>
        <v>0</v>
      </c>
      <c r="AB12" s="208">
        <f t="shared" ref="AB12:AB40" si="8">(Z12*AA12)/360</f>
        <v>0</v>
      </c>
      <c r="AE12" s="208">
        <v>0</v>
      </c>
      <c r="AH12" s="208">
        <v>0</v>
      </c>
      <c r="AI12" s="223">
        <f>250000000+52725000</f>
        <v>302725000</v>
      </c>
      <c r="AJ12" s="224">
        <v>3.95E-2</v>
      </c>
      <c r="AK12" s="208">
        <f t="shared" ref="AK12:AK40" si="9">(AI12*AJ12)/360</f>
        <v>33215.659722222219</v>
      </c>
      <c r="AL12" s="223"/>
      <c r="AM12" s="224"/>
      <c r="AN12" s="208">
        <f t="shared" ref="AN12:AN40" si="10">(AL12*AM12)/360</f>
        <v>0</v>
      </c>
      <c r="AO12" s="223"/>
      <c r="AP12" s="224"/>
      <c r="AQ12" s="208">
        <f t="shared" ref="AQ12:AQ40" si="11">(AO12*AP12)/360</f>
        <v>0</v>
      </c>
      <c r="AR12" s="223"/>
      <c r="AS12" s="224"/>
      <c r="AT12" s="208">
        <f t="shared" ref="AT12:AT40" si="12">(AR12*AS12)/360</f>
        <v>0</v>
      </c>
      <c r="AW12" s="208">
        <f t="shared" ref="AW12:AW40" si="13">(AU12*AV12)/360</f>
        <v>0</v>
      </c>
      <c r="AZ12" s="208">
        <f t="shared" ref="AZ12:AZ40" si="14">(AX12*AY12)/360</f>
        <v>0</v>
      </c>
      <c r="BC12" s="208">
        <f t="shared" ref="BC12:BC40" si="15">(BA12*BB12)/360</f>
        <v>0</v>
      </c>
      <c r="BF12" s="208">
        <f t="shared" ref="BF12:BF40" si="16">(BD12*BE12)/360</f>
        <v>0</v>
      </c>
      <c r="BI12" s="208">
        <f t="shared" ref="BI12:BI40" si="17">(BG12*BH12)/360</f>
        <v>0</v>
      </c>
      <c r="BL12" s="208">
        <f t="shared" ref="BL12:BL40" si="18">(BJ12*BK12)/360</f>
        <v>0</v>
      </c>
      <c r="BO12" s="208">
        <f t="shared" ref="BO12:BO40" si="19">(BM12*BN12)/360</f>
        <v>0</v>
      </c>
      <c r="BR12" s="208">
        <f t="shared" ref="BR12:BR40" si="20">(BP12*BQ12)/360</f>
        <v>0</v>
      </c>
      <c r="BU12" s="208">
        <f t="shared" ref="BU12:BU40" si="21">(BS12*BT12)/360</f>
        <v>0</v>
      </c>
      <c r="BX12" s="208">
        <f t="shared" ref="BX12:BX40" si="22">(BV12*BW12)/360</f>
        <v>0</v>
      </c>
      <c r="CA12" s="208">
        <f t="shared" ref="CA12:CA40" si="23">(BY12*BZ12)/360</f>
        <v>0</v>
      </c>
      <c r="CD12" s="208">
        <f t="shared" ref="CD12:CD40" si="24">(CB12*CC12)/360</f>
        <v>0</v>
      </c>
      <c r="CG12" s="208">
        <f t="shared" ref="CG12:CG40" si="25">(CE12*CF12)/360</f>
        <v>0</v>
      </c>
      <c r="CJ12" s="208">
        <f t="shared" ref="CJ12:CJ40" si="26">(CH12*CI12)/360</f>
        <v>0</v>
      </c>
      <c r="CM12" s="208">
        <f t="shared" ref="CM12:CM40" si="27">(CK12*CL12)/360</f>
        <v>0</v>
      </c>
      <c r="CP12" s="208">
        <f t="shared" ref="CP12:CP40" si="28">(CN12*CO12)/360</f>
        <v>0</v>
      </c>
      <c r="CS12" s="208">
        <f t="shared" ref="CS12:CS40" si="29">(CQ12*CR12)/360</f>
        <v>0</v>
      </c>
      <c r="CV12" s="208">
        <f t="shared" ref="CV12:CV40" si="30">(CT12*CU12)/360</f>
        <v>0</v>
      </c>
      <c r="CY12" s="208">
        <f t="shared" ref="CY12:CY40" si="31">(CW12*CX12)/360</f>
        <v>0</v>
      </c>
      <c r="DB12" s="208">
        <f t="shared" ref="DB12:DB40" si="32">(CZ12*DA12)/360</f>
        <v>0</v>
      </c>
      <c r="DE12" s="208">
        <f t="shared" ref="DE12:DE40" si="33">(DC12*DD12)/360</f>
        <v>0</v>
      </c>
      <c r="DH12" s="208">
        <f t="shared" ref="DH12:DH40" si="34">(DF12*DG12)/360</f>
        <v>0</v>
      </c>
      <c r="DK12" s="208">
        <f t="shared" ref="DK12:DK40" si="35">(DI12*DJ12)/360</f>
        <v>0</v>
      </c>
      <c r="DN12" s="208">
        <f t="shared" ref="DN12:DN40" si="36">(DL12*DM12)/360</f>
        <v>0</v>
      </c>
      <c r="DQ12" s="208">
        <f t="shared" ref="DQ12:DQ40" si="37">(DO12*DP12)/360</f>
        <v>0</v>
      </c>
      <c r="DT12" s="208">
        <f t="shared" ref="DT12:DT40" si="38">(DR12*DS12)/360</f>
        <v>0</v>
      </c>
      <c r="DW12" s="208">
        <f t="shared" ref="DW12:DW40" si="39">(DU12*DV12)/360</f>
        <v>0</v>
      </c>
      <c r="DZ12" s="208"/>
      <c r="EA12" s="208"/>
      <c r="EB12" s="228">
        <f t="shared" ref="EB12:EB40" si="40">B12+E12+H12+K12+N12+Q12+T12+W12+Z12+AC12+AF12+AL12+AO12+AR12+AU12+AX12+BA12+BD12+BG12+DU12+AI12+DR12+DO12+DL12+DI12+DF12+DC12+CZ12+CW12+CT12+CQ12+CN12+CK12+CH12+CE12+CB12+BY12+BV12+BS12+BP12+BM12+BJ12</f>
        <v>302725000</v>
      </c>
      <c r="EC12" s="228">
        <f t="shared" ref="EC12:EC40" si="41">EB12-EK12+EL12</f>
        <v>0</v>
      </c>
      <c r="ED12" s="208">
        <f t="shared" ref="ED12:ED40" si="42">D12+G12+J12+M12+P12+S12+V12+Y12+AB12+AE12+AH12+AK12+AN12+AQ12+AT12+AW12+AZ12+BC12+BF12+BI12+DW12+DT12+DQ12+DN12+DK12+DH12+DE12+DB12+CY12+CV12+CS12+CP12+CM12+CJ12+CG12+CD12+CA12+BX12+BU12+BR12+BO12+BL12</f>
        <v>33215.659722222219</v>
      </c>
      <c r="EE12" s="209">
        <f t="shared" ref="EE12:EE40" si="43">IF(EB12&lt;&gt;0,((ED12/EB12)*360),0)</f>
        <v>3.9499999999999993E-2</v>
      </c>
      <c r="EG12" s="228">
        <f t="shared" ref="EG12:EG40" si="44">Q12+T12+W12+Z12+AC12+AF12</f>
        <v>0</v>
      </c>
      <c r="EH12" s="208">
        <f t="shared" ref="EH12:EH40" si="45">S12+V12+Y12+AB12+AE12+AH12</f>
        <v>0</v>
      </c>
      <c r="EI12" s="209">
        <f t="shared" ref="EI12:EI40" si="46">IF(EG12&lt;&gt;0,((EH12/EG12)*360),0)</f>
        <v>0</v>
      </c>
      <c r="EJ12" s="209"/>
      <c r="EK12" s="228">
        <f t="shared" ref="EK12:EK40" si="47">DR12+DL12+DI12+DF12+DC12+CZ12+CW12+CT12+CQ12+CN12+CK12+CH12+CE12+CB12+BY12+BV12+BS12+BP12+BM12+BJ12+BG12+BD12+BA12+AX12+AU12+AR12+AO12+AL12+AI12+DO12</f>
        <v>302725000</v>
      </c>
      <c r="EL12" s="228">
        <f t="shared" ref="EL12:EL40" si="48">DX12</f>
        <v>0</v>
      </c>
      <c r="EM12" s="228">
        <f t="shared" ref="EM12:EM40" si="49">DT12+DQ12+DN12+DK12+DH12+DE12+DB12+CY12+CV12+CS12+CP12+CM12+CJ12+CG12+CD12+CA12+BX12+BU12+BR12+BO12+BL12+BI12+BF12+BC12+AZ12+AW12+AT12+AQ12+AN12+AK12</f>
        <v>33215.659722222219</v>
      </c>
      <c r="EN12" s="209">
        <f t="shared" ref="EN12:EN40" si="50">IF(EK12&lt;&gt;0,((EM12/EK12)*360),0)</f>
        <v>3.9499999999999993E-2</v>
      </c>
      <c r="EP12" s="208"/>
    </row>
    <row r="13" spans="1:147" x14ac:dyDescent="0.25">
      <c r="A13" s="222">
        <f t="shared" ref="A13:A40" si="51">1+A12</f>
        <v>46115</v>
      </c>
      <c r="B13" s="208">
        <v>0</v>
      </c>
      <c r="C13" s="209">
        <v>3.95E-2</v>
      </c>
      <c r="D13" s="208">
        <f t="shared" si="0"/>
        <v>0</v>
      </c>
      <c r="G13" s="208">
        <f t="shared" si="1"/>
        <v>0</v>
      </c>
      <c r="J13" s="208">
        <f t="shared" si="2"/>
        <v>0</v>
      </c>
      <c r="M13" s="208">
        <f t="shared" si="3"/>
        <v>0</v>
      </c>
      <c r="P13" s="208">
        <f t="shared" si="4"/>
        <v>0</v>
      </c>
      <c r="S13" s="208">
        <f t="shared" si="5"/>
        <v>0</v>
      </c>
      <c r="V13" s="208">
        <f t="shared" si="6"/>
        <v>0</v>
      </c>
      <c r="Y13" s="208">
        <f t="shared" si="7"/>
        <v>0</v>
      </c>
      <c r="AB13" s="208">
        <f t="shared" si="8"/>
        <v>0</v>
      </c>
      <c r="AE13" s="208">
        <v>0</v>
      </c>
      <c r="AH13" s="208">
        <v>0</v>
      </c>
      <c r="AI13" s="223">
        <f>250000000+52725000</f>
        <v>302725000</v>
      </c>
      <c r="AJ13" s="224">
        <v>3.95E-2</v>
      </c>
      <c r="AK13" s="208">
        <f t="shared" si="9"/>
        <v>33215.659722222219</v>
      </c>
      <c r="AL13" s="223"/>
      <c r="AM13" s="224"/>
      <c r="AN13" s="208">
        <f t="shared" si="10"/>
        <v>0</v>
      </c>
      <c r="AO13" s="223"/>
      <c r="AP13" s="224"/>
      <c r="AQ13" s="208">
        <f t="shared" si="11"/>
        <v>0</v>
      </c>
      <c r="AR13" s="223"/>
      <c r="AS13" s="224"/>
      <c r="AT13" s="208">
        <f t="shared" si="12"/>
        <v>0</v>
      </c>
      <c r="AW13" s="208">
        <f t="shared" si="13"/>
        <v>0</v>
      </c>
      <c r="AZ13" s="208">
        <f t="shared" si="14"/>
        <v>0</v>
      </c>
      <c r="BC13" s="208">
        <f t="shared" si="15"/>
        <v>0</v>
      </c>
      <c r="BF13" s="208">
        <f t="shared" si="16"/>
        <v>0</v>
      </c>
      <c r="BI13" s="208">
        <f t="shared" si="17"/>
        <v>0</v>
      </c>
      <c r="BL13" s="208">
        <f t="shared" si="18"/>
        <v>0</v>
      </c>
      <c r="BO13" s="208">
        <f t="shared" si="19"/>
        <v>0</v>
      </c>
      <c r="BR13" s="208">
        <f t="shared" si="20"/>
        <v>0</v>
      </c>
      <c r="BU13" s="208">
        <f t="shared" si="21"/>
        <v>0</v>
      </c>
      <c r="BX13" s="208">
        <f t="shared" si="22"/>
        <v>0</v>
      </c>
      <c r="CA13" s="208">
        <f t="shared" si="23"/>
        <v>0</v>
      </c>
      <c r="CD13" s="208">
        <f t="shared" si="24"/>
        <v>0</v>
      </c>
      <c r="CG13" s="208">
        <f t="shared" si="25"/>
        <v>0</v>
      </c>
      <c r="CJ13" s="208">
        <f t="shared" si="26"/>
        <v>0</v>
      </c>
      <c r="CM13" s="208">
        <f t="shared" si="27"/>
        <v>0</v>
      </c>
      <c r="CP13" s="208">
        <f t="shared" si="28"/>
        <v>0</v>
      </c>
      <c r="CS13" s="208">
        <f t="shared" si="29"/>
        <v>0</v>
      </c>
      <c r="CV13" s="208">
        <f t="shared" si="30"/>
        <v>0</v>
      </c>
      <c r="CY13" s="208">
        <f t="shared" si="31"/>
        <v>0</v>
      </c>
      <c r="DB13" s="208">
        <f t="shared" si="32"/>
        <v>0</v>
      </c>
      <c r="DE13" s="208">
        <f t="shared" si="33"/>
        <v>0</v>
      </c>
      <c r="DH13" s="208">
        <f t="shared" si="34"/>
        <v>0</v>
      </c>
      <c r="DK13" s="208">
        <f t="shared" si="35"/>
        <v>0</v>
      </c>
      <c r="DN13" s="208">
        <f t="shared" si="36"/>
        <v>0</v>
      </c>
      <c r="DQ13" s="208">
        <f t="shared" si="37"/>
        <v>0</v>
      </c>
      <c r="DT13" s="208">
        <f t="shared" si="38"/>
        <v>0</v>
      </c>
      <c r="DW13" s="208">
        <f t="shared" si="39"/>
        <v>0</v>
      </c>
      <c r="DZ13" s="208"/>
      <c r="EA13" s="208"/>
      <c r="EB13" s="228">
        <f t="shared" si="40"/>
        <v>302725000</v>
      </c>
      <c r="EC13" s="228">
        <f t="shared" si="41"/>
        <v>0</v>
      </c>
      <c r="ED13" s="208">
        <f t="shared" si="42"/>
        <v>33215.659722222219</v>
      </c>
      <c r="EE13" s="209">
        <f t="shared" si="43"/>
        <v>3.9499999999999993E-2</v>
      </c>
      <c r="EG13" s="228">
        <f t="shared" si="44"/>
        <v>0</v>
      </c>
      <c r="EH13" s="208">
        <f t="shared" si="45"/>
        <v>0</v>
      </c>
      <c r="EI13" s="209">
        <f t="shared" si="46"/>
        <v>0</v>
      </c>
      <c r="EJ13" s="209"/>
      <c r="EK13" s="228">
        <f t="shared" si="47"/>
        <v>302725000</v>
      </c>
      <c r="EL13" s="228">
        <f t="shared" si="48"/>
        <v>0</v>
      </c>
      <c r="EM13" s="228">
        <f t="shared" si="49"/>
        <v>33215.659722222219</v>
      </c>
      <c r="EN13" s="209">
        <f t="shared" si="50"/>
        <v>3.9499999999999993E-2</v>
      </c>
      <c r="EP13" s="208"/>
    </row>
    <row r="14" spans="1:147" x14ac:dyDescent="0.25">
      <c r="A14" s="222">
        <f t="shared" si="51"/>
        <v>46116</v>
      </c>
      <c r="B14" s="208">
        <v>0</v>
      </c>
      <c r="C14" s="209">
        <v>3.95E-2</v>
      </c>
      <c r="D14" s="208">
        <f t="shared" si="0"/>
        <v>0</v>
      </c>
      <c r="G14" s="208">
        <f t="shared" si="1"/>
        <v>0</v>
      </c>
      <c r="J14" s="208">
        <f t="shared" si="2"/>
        <v>0</v>
      </c>
      <c r="M14" s="208">
        <f t="shared" si="3"/>
        <v>0</v>
      </c>
      <c r="P14" s="208">
        <f t="shared" si="4"/>
        <v>0</v>
      </c>
      <c r="S14" s="208">
        <f t="shared" si="5"/>
        <v>0</v>
      </c>
      <c r="V14" s="208">
        <f t="shared" si="6"/>
        <v>0</v>
      </c>
      <c r="Y14" s="208">
        <f t="shared" si="7"/>
        <v>0</v>
      </c>
      <c r="AB14" s="208">
        <f t="shared" si="8"/>
        <v>0</v>
      </c>
      <c r="AE14" s="208">
        <v>0</v>
      </c>
      <c r="AH14" s="208">
        <v>0</v>
      </c>
      <c r="AI14" s="223">
        <f>250000000+52725000</f>
        <v>302725000</v>
      </c>
      <c r="AJ14" s="224">
        <v>3.95E-2</v>
      </c>
      <c r="AK14" s="208">
        <f t="shared" si="9"/>
        <v>33215.659722222219</v>
      </c>
      <c r="AL14" s="223"/>
      <c r="AM14" s="224"/>
      <c r="AN14" s="208">
        <f t="shared" si="10"/>
        <v>0</v>
      </c>
      <c r="AO14" s="223"/>
      <c r="AP14" s="224"/>
      <c r="AQ14" s="208">
        <f t="shared" si="11"/>
        <v>0</v>
      </c>
      <c r="AR14" s="223"/>
      <c r="AS14" s="224"/>
      <c r="AT14" s="208">
        <f t="shared" si="12"/>
        <v>0</v>
      </c>
      <c r="AW14" s="208">
        <f t="shared" si="13"/>
        <v>0</v>
      </c>
      <c r="AZ14" s="208">
        <f t="shared" si="14"/>
        <v>0</v>
      </c>
      <c r="BC14" s="208">
        <f t="shared" si="15"/>
        <v>0</v>
      </c>
      <c r="BF14" s="208">
        <f t="shared" si="16"/>
        <v>0</v>
      </c>
      <c r="BI14" s="208">
        <f t="shared" si="17"/>
        <v>0</v>
      </c>
      <c r="BL14" s="208">
        <f t="shared" si="18"/>
        <v>0</v>
      </c>
      <c r="BO14" s="208">
        <f t="shared" si="19"/>
        <v>0</v>
      </c>
      <c r="BR14" s="208">
        <f t="shared" si="20"/>
        <v>0</v>
      </c>
      <c r="BU14" s="208">
        <f t="shared" si="21"/>
        <v>0</v>
      </c>
      <c r="BX14" s="208">
        <f t="shared" si="22"/>
        <v>0</v>
      </c>
      <c r="CA14" s="208">
        <f t="shared" si="23"/>
        <v>0</v>
      </c>
      <c r="CD14" s="208">
        <f t="shared" si="24"/>
        <v>0</v>
      </c>
      <c r="CG14" s="208">
        <f t="shared" si="25"/>
        <v>0</v>
      </c>
      <c r="CJ14" s="208">
        <f t="shared" si="26"/>
        <v>0</v>
      </c>
      <c r="CM14" s="208">
        <f t="shared" si="27"/>
        <v>0</v>
      </c>
      <c r="CP14" s="208">
        <f t="shared" si="28"/>
        <v>0</v>
      </c>
      <c r="CS14" s="208">
        <f t="shared" si="29"/>
        <v>0</v>
      </c>
      <c r="CV14" s="208">
        <f t="shared" si="30"/>
        <v>0</v>
      </c>
      <c r="CY14" s="208">
        <f t="shared" si="31"/>
        <v>0</v>
      </c>
      <c r="DB14" s="208">
        <f t="shared" si="32"/>
        <v>0</v>
      </c>
      <c r="DE14" s="208">
        <f t="shared" si="33"/>
        <v>0</v>
      </c>
      <c r="DH14" s="208">
        <f t="shared" si="34"/>
        <v>0</v>
      </c>
      <c r="DK14" s="208">
        <f t="shared" si="35"/>
        <v>0</v>
      </c>
      <c r="DN14" s="208">
        <f t="shared" si="36"/>
        <v>0</v>
      </c>
      <c r="DQ14" s="208">
        <f t="shared" si="37"/>
        <v>0</v>
      </c>
      <c r="DT14" s="208">
        <f t="shared" si="38"/>
        <v>0</v>
      </c>
      <c r="DW14" s="208">
        <f t="shared" si="39"/>
        <v>0</v>
      </c>
      <c r="DZ14" s="208"/>
      <c r="EA14" s="208"/>
      <c r="EB14" s="228">
        <f t="shared" si="40"/>
        <v>302725000</v>
      </c>
      <c r="EC14" s="228">
        <f t="shared" si="41"/>
        <v>0</v>
      </c>
      <c r="ED14" s="208">
        <f t="shared" si="42"/>
        <v>33215.659722222219</v>
      </c>
      <c r="EE14" s="209">
        <f t="shared" si="43"/>
        <v>3.9499999999999993E-2</v>
      </c>
      <c r="EG14" s="228">
        <f t="shared" si="44"/>
        <v>0</v>
      </c>
      <c r="EH14" s="208">
        <f t="shared" si="45"/>
        <v>0</v>
      </c>
      <c r="EI14" s="209">
        <f t="shared" si="46"/>
        <v>0</v>
      </c>
      <c r="EJ14" s="209"/>
      <c r="EK14" s="228">
        <f t="shared" si="47"/>
        <v>302725000</v>
      </c>
      <c r="EL14" s="228">
        <f t="shared" si="48"/>
        <v>0</v>
      </c>
      <c r="EM14" s="228">
        <f t="shared" si="49"/>
        <v>33215.659722222219</v>
      </c>
      <c r="EN14" s="209">
        <f t="shared" si="50"/>
        <v>3.9499999999999993E-2</v>
      </c>
      <c r="EP14" s="208"/>
    </row>
    <row r="15" spans="1:147" x14ac:dyDescent="0.25">
      <c r="A15" s="222">
        <f t="shared" si="51"/>
        <v>46117</v>
      </c>
      <c r="B15" s="208">
        <v>0</v>
      </c>
      <c r="C15" s="209">
        <v>3.95E-2</v>
      </c>
      <c r="D15" s="208">
        <f t="shared" si="0"/>
        <v>0</v>
      </c>
      <c r="G15" s="208">
        <f t="shared" si="1"/>
        <v>0</v>
      </c>
      <c r="J15" s="208">
        <f t="shared" si="2"/>
        <v>0</v>
      </c>
      <c r="M15" s="208">
        <f t="shared" si="3"/>
        <v>0</v>
      </c>
      <c r="P15" s="208">
        <f t="shared" si="4"/>
        <v>0</v>
      </c>
      <c r="S15" s="208">
        <f t="shared" si="5"/>
        <v>0</v>
      </c>
      <c r="V15" s="208">
        <f t="shared" si="6"/>
        <v>0</v>
      </c>
      <c r="Y15" s="208">
        <f t="shared" si="7"/>
        <v>0</v>
      </c>
      <c r="AB15" s="208">
        <f t="shared" si="8"/>
        <v>0</v>
      </c>
      <c r="AE15" s="208">
        <v>0</v>
      </c>
      <c r="AH15" s="208">
        <v>0</v>
      </c>
      <c r="AI15" s="223">
        <f>250000000+52725000</f>
        <v>302725000</v>
      </c>
      <c r="AJ15" s="224">
        <v>3.95E-2</v>
      </c>
      <c r="AK15" s="208">
        <f t="shared" si="9"/>
        <v>33215.659722222219</v>
      </c>
      <c r="AL15" s="223"/>
      <c r="AM15" s="224"/>
      <c r="AN15" s="208">
        <f t="shared" si="10"/>
        <v>0</v>
      </c>
      <c r="AO15" s="223"/>
      <c r="AP15" s="224"/>
      <c r="AQ15" s="208">
        <f t="shared" si="11"/>
        <v>0</v>
      </c>
      <c r="AR15" s="223"/>
      <c r="AS15" s="224"/>
      <c r="AT15" s="208">
        <f t="shared" si="12"/>
        <v>0</v>
      </c>
      <c r="AW15" s="208">
        <f t="shared" si="13"/>
        <v>0</v>
      </c>
      <c r="AZ15" s="208">
        <f t="shared" si="14"/>
        <v>0</v>
      </c>
      <c r="BC15" s="208">
        <f t="shared" si="15"/>
        <v>0</v>
      </c>
      <c r="BF15" s="208">
        <f t="shared" si="16"/>
        <v>0</v>
      </c>
      <c r="BI15" s="208">
        <f t="shared" si="17"/>
        <v>0</v>
      </c>
      <c r="BL15" s="208">
        <f t="shared" si="18"/>
        <v>0</v>
      </c>
      <c r="BO15" s="208">
        <f t="shared" si="19"/>
        <v>0</v>
      </c>
      <c r="BR15" s="208">
        <f t="shared" si="20"/>
        <v>0</v>
      </c>
      <c r="BU15" s="208">
        <f t="shared" si="21"/>
        <v>0</v>
      </c>
      <c r="BX15" s="208">
        <f t="shared" si="22"/>
        <v>0</v>
      </c>
      <c r="CA15" s="208">
        <f t="shared" si="23"/>
        <v>0</v>
      </c>
      <c r="CD15" s="208">
        <f t="shared" si="24"/>
        <v>0</v>
      </c>
      <c r="CG15" s="208">
        <f t="shared" si="25"/>
        <v>0</v>
      </c>
      <c r="CJ15" s="208">
        <f t="shared" si="26"/>
        <v>0</v>
      </c>
      <c r="CM15" s="208">
        <f t="shared" si="27"/>
        <v>0</v>
      </c>
      <c r="CP15" s="208">
        <f t="shared" si="28"/>
        <v>0</v>
      </c>
      <c r="CS15" s="208">
        <f t="shared" si="29"/>
        <v>0</v>
      </c>
      <c r="CV15" s="208">
        <f t="shared" si="30"/>
        <v>0</v>
      </c>
      <c r="CY15" s="208">
        <f t="shared" si="31"/>
        <v>0</v>
      </c>
      <c r="DB15" s="208">
        <f t="shared" si="32"/>
        <v>0</v>
      </c>
      <c r="DE15" s="208">
        <f t="shared" si="33"/>
        <v>0</v>
      </c>
      <c r="DH15" s="208">
        <f t="shared" si="34"/>
        <v>0</v>
      </c>
      <c r="DK15" s="208">
        <f t="shared" si="35"/>
        <v>0</v>
      </c>
      <c r="DN15" s="208">
        <f t="shared" si="36"/>
        <v>0</v>
      </c>
      <c r="DQ15" s="208">
        <f t="shared" si="37"/>
        <v>0</v>
      </c>
      <c r="DT15" s="208">
        <f t="shared" si="38"/>
        <v>0</v>
      </c>
      <c r="DW15" s="208">
        <f t="shared" si="39"/>
        <v>0</v>
      </c>
      <c r="DZ15" s="208"/>
      <c r="EA15" s="208"/>
      <c r="EB15" s="228">
        <f t="shared" si="40"/>
        <v>302725000</v>
      </c>
      <c r="EC15" s="228">
        <f t="shared" si="41"/>
        <v>0</v>
      </c>
      <c r="ED15" s="208">
        <f t="shared" si="42"/>
        <v>33215.659722222219</v>
      </c>
      <c r="EE15" s="209">
        <f t="shared" si="43"/>
        <v>3.9499999999999993E-2</v>
      </c>
      <c r="EG15" s="228">
        <f t="shared" si="44"/>
        <v>0</v>
      </c>
      <c r="EH15" s="208">
        <f t="shared" si="45"/>
        <v>0</v>
      </c>
      <c r="EI15" s="209">
        <f t="shared" si="46"/>
        <v>0</v>
      </c>
      <c r="EJ15" s="209"/>
      <c r="EK15" s="228">
        <f t="shared" si="47"/>
        <v>302725000</v>
      </c>
      <c r="EL15" s="228">
        <f t="shared" si="48"/>
        <v>0</v>
      </c>
      <c r="EM15" s="228">
        <f t="shared" si="49"/>
        <v>33215.659722222219</v>
      </c>
      <c r="EN15" s="209">
        <f t="shared" si="50"/>
        <v>3.9499999999999993E-2</v>
      </c>
      <c r="EP15" s="208"/>
    </row>
    <row r="16" spans="1:147" x14ac:dyDescent="0.25">
      <c r="A16" s="222">
        <f t="shared" si="51"/>
        <v>46118</v>
      </c>
      <c r="B16" s="208">
        <v>0</v>
      </c>
      <c r="C16" s="209">
        <v>3.95E-2</v>
      </c>
      <c r="D16" s="208">
        <f t="shared" si="0"/>
        <v>0</v>
      </c>
      <c r="G16" s="208">
        <f t="shared" si="1"/>
        <v>0</v>
      </c>
      <c r="J16" s="208">
        <f t="shared" si="2"/>
        <v>0</v>
      </c>
      <c r="M16" s="208">
        <f t="shared" si="3"/>
        <v>0</v>
      </c>
      <c r="P16" s="208">
        <f t="shared" si="4"/>
        <v>0</v>
      </c>
      <c r="S16" s="208">
        <f t="shared" si="5"/>
        <v>0</v>
      </c>
      <c r="V16" s="208">
        <f t="shared" si="6"/>
        <v>0</v>
      </c>
      <c r="Y16" s="208">
        <f t="shared" si="7"/>
        <v>0</v>
      </c>
      <c r="AB16" s="208">
        <f t="shared" si="8"/>
        <v>0</v>
      </c>
      <c r="AE16" s="208">
        <v>0</v>
      </c>
      <c r="AH16" s="208">
        <v>0</v>
      </c>
      <c r="AI16" s="223">
        <v>304525000</v>
      </c>
      <c r="AJ16" s="224">
        <v>3.95E-2</v>
      </c>
      <c r="AK16" s="208">
        <f t="shared" si="9"/>
        <v>33413.159722222219</v>
      </c>
      <c r="AL16" s="223"/>
      <c r="AM16" s="224"/>
      <c r="AN16" s="208">
        <f t="shared" si="10"/>
        <v>0</v>
      </c>
      <c r="AO16" s="223"/>
      <c r="AP16" s="224"/>
      <c r="AQ16" s="208">
        <f t="shared" si="11"/>
        <v>0</v>
      </c>
      <c r="AR16" s="223"/>
      <c r="AS16" s="224"/>
      <c r="AT16" s="208">
        <f t="shared" si="12"/>
        <v>0</v>
      </c>
      <c r="AW16" s="208">
        <f t="shared" si="13"/>
        <v>0</v>
      </c>
      <c r="AZ16" s="208">
        <f t="shared" si="14"/>
        <v>0</v>
      </c>
      <c r="BC16" s="208">
        <f t="shared" si="15"/>
        <v>0</v>
      </c>
      <c r="BF16" s="208">
        <f t="shared" si="16"/>
        <v>0</v>
      </c>
      <c r="BI16" s="208">
        <f t="shared" si="17"/>
        <v>0</v>
      </c>
      <c r="BL16" s="208">
        <f t="shared" si="18"/>
        <v>0</v>
      </c>
      <c r="BO16" s="208">
        <f t="shared" si="19"/>
        <v>0</v>
      </c>
      <c r="BR16" s="208">
        <f t="shared" si="20"/>
        <v>0</v>
      </c>
      <c r="BU16" s="208">
        <f t="shared" si="21"/>
        <v>0</v>
      </c>
      <c r="BX16" s="208">
        <f t="shared" si="22"/>
        <v>0</v>
      </c>
      <c r="CA16" s="208">
        <f t="shared" si="23"/>
        <v>0</v>
      </c>
      <c r="CD16" s="208">
        <f t="shared" si="24"/>
        <v>0</v>
      </c>
      <c r="CG16" s="208">
        <f t="shared" si="25"/>
        <v>0</v>
      </c>
      <c r="CJ16" s="208">
        <f t="shared" si="26"/>
        <v>0</v>
      </c>
      <c r="CM16" s="208">
        <f t="shared" si="27"/>
        <v>0</v>
      </c>
      <c r="CP16" s="208">
        <f t="shared" si="28"/>
        <v>0</v>
      </c>
      <c r="CS16" s="208">
        <f t="shared" si="29"/>
        <v>0</v>
      </c>
      <c r="CV16" s="208">
        <f t="shared" si="30"/>
        <v>0</v>
      </c>
      <c r="CY16" s="208">
        <f t="shared" si="31"/>
        <v>0</v>
      </c>
      <c r="DB16" s="208">
        <f t="shared" si="32"/>
        <v>0</v>
      </c>
      <c r="DE16" s="208">
        <f t="shared" si="33"/>
        <v>0</v>
      </c>
      <c r="DH16" s="208">
        <f t="shared" si="34"/>
        <v>0</v>
      </c>
      <c r="DK16" s="208">
        <f t="shared" si="35"/>
        <v>0</v>
      </c>
      <c r="DN16" s="208">
        <f t="shared" si="36"/>
        <v>0</v>
      </c>
      <c r="DQ16" s="208">
        <f t="shared" si="37"/>
        <v>0</v>
      </c>
      <c r="DT16" s="208">
        <f t="shared" si="38"/>
        <v>0</v>
      </c>
      <c r="DW16" s="208">
        <f t="shared" si="39"/>
        <v>0</v>
      </c>
      <c r="DZ16" s="208"/>
      <c r="EA16" s="208"/>
      <c r="EB16" s="228">
        <f t="shared" si="40"/>
        <v>304525000</v>
      </c>
      <c r="EC16" s="228">
        <f t="shared" si="41"/>
        <v>0</v>
      </c>
      <c r="ED16" s="208">
        <f t="shared" si="42"/>
        <v>33413.159722222219</v>
      </c>
      <c r="EE16" s="209">
        <f t="shared" si="43"/>
        <v>3.9499999999999993E-2</v>
      </c>
      <c r="EG16" s="228">
        <f t="shared" si="44"/>
        <v>0</v>
      </c>
      <c r="EH16" s="208">
        <f t="shared" si="45"/>
        <v>0</v>
      </c>
      <c r="EI16" s="209">
        <f t="shared" si="46"/>
        <v>0</v>
      </c>
      <c r="EJ16" s="209"/>
      <c r="EK16" s="228">
        <f t="shared" si="47"/>
        <v>304525000</v>
      </c>
      <c r="EL16" s="228">
        <f t="shared" si="48"/>
        <v>0</v>
      </c>
      <c r="EM16" s="228">
        <f t="shared" si="49"/>
        <v>33413.159722222219</v>
      </c>
      <c r="EN16" s="209">
        <f t="shared" si="50"/>
        <v>3.9499999999999993E-2</v>
      </c>
      <c r="EP16" s="208"/>
    </row>
    <row r="17" spans="1:146" x14ac:dyDescent="0.25">
      <c r="A17" s="222">
        <f t="shared" si="51"/>
        <v>46119</v>
      </c>
      <c r="B17" s="208">
        <v>0</v>
      </c>
      <c r="C17" s="209">
        <v>3.95E-2</v>
      </c>
      <c r="D17" s="208">
        <f t="shared" si="0"/>
        <v>0</v>
      </c>
      <c r="G17" s="208">
        <f t="shared" si="1"/>
        <v>0</v>
      </c>
      <c r="J17" s="208">
        <f t="shared" si="2"/>
        <v>0</v>
      </c>
      <c r="M17" s="208">
        <f t="shared" si="3"/>
        <v>0</v>
      </c>
      <c r="P17" s="208">
        <f t="shared" si="4"/>
        <v>0</v>
      </c>
      <c r="S17" s="208">
        <f t="shared" si="5"/>
        <v>0</v>
      </c>
      <c r="V17" s="208">
        <f t="shared" si="6"/>
        <v>0</v>
      </c>
      <c r="Y17" s="208">
        <f t="shared" si="7"/>
        <v>0</v>
      </c>
      <c r="AB17" s="208">
        <f t="shared" si="8"/>
        <v>0</v>
      </c>
      <c r="AE17" s="208">
        <v>0</v>
      </c>
      <c r="AH17" s="208">
        <v>0</v>
      </c>
      <c r="AI17" s="223">
        <f>39200000+160000000+90000000</f>
        <v>289200000</v>
      </c>
      <c r="AJ17" s="224">
        <v>3.95E-2</v>
      </c>
      <c r="AK17" s="208">
        <f t="shared" si="9"/>
        <v>31731.666666666668</v>
      </c>
      <c r="AL17" s="223"/>
      <c r="AM17" s="224"/>
      <c r="AN17" s="208">
        <f t="shared" si="10"/>
        <v>0</v>
      </c>
      <c r="AO17" s="223"/>
      <c r="AP17" s="224"/>
      <c r="AQ17" s="208">
        <f t="shared" si="11"/>
        <v>0</v>
      </c>
      <c r="AR17" s="223"/>
      <c r="AS17" s="224"/>
      <c r="AT17" s="208">
        <f t="shared" si="12"/>
        <v>0</v>
      </c>
      <c r="AW17" s="208">
        <f t="shared" si="13"/>
        <v>0</v>
      </c>
      <c r="AZ17" s="208">
        <f t="shared" si="14"/>
        <v>0</v>
      </c>
      <c r="BC17" s="208">
        <f t="shared" si="15"/>
        <v>0</v>
      </c>
      <c r="BF17" s="208">
        <f t="shared" si="16"/>
        <v>0</v>
      </c>
      <c r="BI17" s="208">
        <f t="shared" si="17"/>
        <v>0</v>
      </c>
      <c r="BL17" s="208">
        <f t="shared" si="18"/>
        <v>0</v>
      </c>
      <c r="BO17" s="208">
        <f t="shared" si="19"/>
        <v>0</v>
      </c>
      <c r="BR17" s="208">
        <f t="shared" si="20"/>
        <v>0</v>
      </c>
      <c r="BU17" s="208">
        <f t="shared" si="21"/>
        <v>0</v>
      </c>
      <c r="BX17" s="208">
        <f t="shared" si="22"/>
        <v>0</v>
      </c>
      <c r="CA17" s="208">
        <f t="shared" si="23"/>
        <v>0</v>
      </c>
      <c r="CD17" s="208">
        <f t="shared" si="24"/>
        <v>0</v>
      </c>
      <c r="CG17" s="208">
        <f t="shared" si="25"/>
        <v>0</v>
      </c>
      <c r="CJ17" s="208">
        <f t="shared" si="26"/>
        <v>0</v>
      </c>
      <c r="CM17" s="208">
        <f t="shared" si="27"/>
        <v>0</v>
      </c>
      <c r="CP17" s="208">
        <f t="shared" si="28"/>
        <v>0</v>
      </c>
      <c r="CS17" s="208">
        <f t="shared" si="29"/>
        <v>0</v>
      </c>
      <c r="CV17" s="208">
        <f t="shared" si="30"/>
        <v>0</v>
      </c>
      <c r="CY17" s="208">
        <f t="shared" si="31"/>
        <v>0</v>
      </c>
      <c r="DB17" s="208">
        <f t="shared" si="32"/>
        <v>0</v>
      </c>
      <c r="DE17" s="208">
        <f t="shared" si="33"/>
        <v>0</v>
      </c>
      <c r="DH17" s="208">
        <f t="shared" si="34"/>
        <v>0</v>
      </c>
      <c r="DK17" s="208">
        <f t="shared" si="35"/>
        <v>0</v>
      </c>
      <c r="DN17" s="208">
        <f t="shared" si="36"/>
        <v>0</v>
      </c>
      <c r="DQ17" s="208">
        <f t="shared" si="37"/>
        <v>0</v>
      </c>
      <c r="DT17" s="208">
        <f t="shared" si="38"/>
        <v>0</v>
      </c>
      <c r="DW17" s="208">
        <f t="shared" si="39"/>
        <v>0</v>
      </c>
      <c r="DZ17" s="208"/>
      <c r="EA17" s="208"/>
      <c r="EB17" s="228">
        <f t="shared" si="40"/>
        <v>289200000</v>
      </c>
      <c r="EC17" s="228">
        <f t="shared" si="41"/>
        <v>0</v>
      </c>
      <c r="ED17" s="208">
        <f t="shared" si="42"/>
        <v>31731.666666666668</v>
      </c>
      <c r="EE17" s="209">
        <f t="shared" si="43"/>
        <v>3.95E-2</v>
      </c>
      <c r="EG17" s="228">
        <f t="shared" si="44"/>
        <v>0</v>
      </c>
      <c r="EH17" s="208">
        <f t="shared" si="45"/>
        <v>0</v>
      </c>
      <c r="EI17" s="209">
        <f t="shared" si="46"/>
        <v>0</v>
      </c>
      <c r="EJ17" s="209"/>
      <c r="EK17" s="228">
        <f t="shared" si="47"/>
        <v>289200000</v>
      </c>
      <c r="EL17" s="228">
        <f t="shared" si="48"/>
        <v>0</v>
      </c>
      <c r="EM17" s="228">
        <f t="shared" si="49"/>
        <v>31731.666666666668</v>
      </c>
      <c r="EN17" s="209">
        <f t="shared" si="50"/>
        <v>3.95E-2</v>
      </c>
      <c r="EP17" s="208"/>
    </row>
    <row r="18" spans="1:146" x14ac:dyDescent="0.25">
      <c r="A18" s="222">
        <f t="shared" si="51"/>
        <v>46120</v>
      </c>
      <c r="B18" s="208">
        <v>0</v>
      </c>
      <c r="C18" s="209">
        <v>3.95E-2</v>
      </c>
      <c r="D18" s="208">
        <f t="shared" si="0"/>
        <v>0</v>
      </c>
      <c r="G18" s="208">
        <f t="shared" si="1"/>
        <v>0</v>
      </c>
      <c r="J18" s="208">
        <f t="shared" si="2"/>
        <v>0</v>
      </c>
      <c r="M18" s="208">
        <f t="shared" si="3"/>
        <v>0</v>
      </c>
      <c r="P18" s="208">
        <f t="shared" si="4"/>
        <v>0</v>
      </c>
      <c r="S18" s="208">
        <f t="shared" si="5"/>
        <v>0</v>
      </c>
      <c r="V18" s="208">
        <f t="shared" si="6"/>
        <v>0</v>
      </c>
      <c r="Y18" s="208">
        <f t="shared" si="7"/>
        <v>0</v>
      </c>
      <c r="AB18" s="208">
        <f t="shared" si="8"/>
        <v>0</v>
      </c>
      <c r="AE18" s="208">
        <v>0</v>
      </c>
      <c r="AH18" s="208">
        <v>0</v>
      </c>
      <c r="AI18" s="223">
        <f>50000000+200000000+31125000</f>
        <v>281125000</v>
      </c>
      <c r="AJ18" s="224">
        <v>3.95E-2</v>
      </c>
      <c r="AK18" s="208">
        <f t="shared" si="9"/>
        <v>30845.659722222223</v>
      </c>
      <c r="AL18" s="223"/>
      <c r="AM18" s="224"/>
      <c r="AN18" s="208">
        <f t="shared" si="10"/>
        <v>0</v>
      </c>
      <c r="AO18" s="223"/>
      <c r="AP18" s="224"/>
      <c r="AQ18" s="208">
        <f t="shared" si="11"/>
        <v>0</v>
      </c>
      <c r="AR18" s="223"/>
      <c r="AS18" s="224"/>
      <c r="AT18" s="208">
        <f t="shared" si="12"/>
        <v>0</v>
      </c>
      <c r="AW18" s="208">
        <f t="shared" si="13"/>
        <v>0</v>
      </c>
      <c r="AZ18" s="208">
        <f t="shared" si="14"/>
        <v>0</v>
      </c>
      <c r="BC18" s="208">
        <f t="shared" si="15"/>
        <v>0</v>
      </c>
      <c r="BF18" s="208">
        <f t="shared" si="16"/>
        <v>0</v>
      </c>
      <c r="BI18" s="208">
        <f t="shared" si="17"/>
        <v>0</v>
      </c>
      <c r="BL18" s="208">
        <f t="shared" si="18"/>
        <v>0</v>
      </c>
      <c r="BO18" s="208">
        <f t="shared" si="19"/>
        <v>0</v>
      </c>
      <c r="BR18" s="208">
        <f t="shared" si="20"/>
        <v>0</v>
      </c>
      <c r="BU18" s="208">
        <f t="shared" si="21"/>
        <v>0</v>
      </c>
      <c r="BX18" s="208">
        <f t="shared" si="22"/>
        <v>0</v>
      </c>
      <c r="CA18" s="208">
        <f t="shared" si="23"/>
        <v>0</v>
      </c>
      <c r="CD18" s="208">
        <f t="shared" si="24"/>
        <v>0</v>
      </c>
      <c r="CG18" s="208">
        <f t="shared" si="25"/>
        <v>0</v>
      </c>
      <c r="CJ18" s="208">
        <f t="shared" si="26"/>
        <v>0</v>
      </c>
      <c r="CM18" s="208">
        <f t="shared" si="27"/>
        <v>0</v>
      </c>
      <c r="CP18" s="208">
        <f t="shared" si="28"/>
        <v>0</v>
      </c>
      <c r="CS18" s="208">
        <f t="shared" si="29"/>
        <v>0</v>
      </c>
      <c r="CV18" s="208">
        <f t="shared" si="30"/>
        <v>0</v>
      </c>
      <c r="CY18" s="208">
        <f t="shared" si="31"/>
        <v>0</v>
      </c>
      <c r="DB18" s="208">
        <f t="shared" si="32"/>
        <v>0</v>
      </c>
      <c r="DE18" s="208">
        <f t="shared" si="33"/>
        <v>0</v>
      </c>
      <c r="DH18" s="208">
        <f t="shared" si="34"/>
        <v>0</v>
      </c>
      <c r="DK18" s="208">
        <f t="shared" si="35"/>
        <v>0</v>
      </c>
      <c r="DN18" s="208">
        <f t="shared" si="36"/>
        <v>0</v>
      </c>
      <c r="DQ18" s="208">
        <f t="shared" si="37"/>
        <v>0</v>
      </c>
      <c r="DT18" s="208">
        <f t="shared" si="38"/>
        <v>0</v>
      </c>
      <c r="DW18" s="208">
        <f t="shared" si="39"/>
        <v>0</v>
      </c>
      <c r="DZ18" s="208"/>
      <c r="EA18" s="208"/>
      <c r="EB18" s="228">
        <f t="shared" si="40"/>
        <v>281125000</v>
      </c>
      <c r="EC18" s="228">
        <f t="shared" si="41"/>
        <v>0</v>
      </c>
      <c r="ED18" s="208">
        <f t="shared" si="42"/>
        <v>30845.659722222223</v>
      </c>
      <c r="EE18" s="209">
        <f t="shared" si="43"/>
        <v>3.95E-2</v>
      </c>
      <c r="EG18" s="228">
        <f t="shared" si="44"/>
        <v>0</v>
      </c>
      <c r="EH18" s="208">
        <f t="shared" si="45"/>
        <v>0</v>
      </c>
      <c r="EI18" s="209">
        <f t="shared" si="46"/>
        <v>0</v>
      </c>
      <c r="EJ18" s="209"/>
      <c r="EK18" s="228">
        <f t="shared" si="47"/>
        <v>281125000</v>
      </c>
      <c r="EL18" s="228">
        <f t="shared" si="48"/>
        <v>0</v>
      </c>
      <c r="EM18" s="228">
        <f t="shared" si="49"/>
        <v>30845.659722222223</v>
      </c>
      <c r="EN18" s="209">
        <f t="shared" si="50"/>
        <v>3.95E-2</v>
      </c>
      <c r="EP18" s="208"/>
    </row>
    <row r="19" spans="1:146" x14ac:dyDescent="0.25">
      <c r="A19" s="222">
        <f t="shared" si="51"/>
        <v>46121</v>
      </c>
      <c r="B19" s="208">
        <v>500000</v>
      </c>
      <c r="C19" s="209">
        <v>3.9538039999999997E-2</v>
      </c>
      <c r="D19" s="208">
        <f t="shared" si="0"/>
        <v>54.913944444444432</v>
      </c>
      <c r="G19" s="208">
        <f t="shared" si="1"/>
        <v>0</v>
      </c>
      <c r="J19" s="208">
        <f t="shared" si="2"/>
        <v>0</v>
      </c>
      <c r="M19" s="208">
        <f t="shared" si="3"/>
        <v>0</v>
      </c>
      <c r="P19" s="208">
        <f t="shared" si="4"/>
        <v>0</v>
      </c>
      <c r="S19" s="208">
        <f t="shared" si="5"/>
        <v>0</v>
      </c>
      <c r="V19" s="208">
        <f t="shared" si="6"/>
        <v>0</v>
      </c>
      <c r="Y19" s="208">
        <f t="shared" si="7"/>
        <v>0</v>
      </c>
      <c r="AB19" s="208">
        <f t="shared" si="8"/>
        <v>0</v>
      </c>
      <c r="AE19" s="208">
        <v>0</v>
      </c>
      <c r="AH19" s="208">
        <v>0</v>
      </c>
      <c r="AI19" s="223">
        <f>160000000+90000000+33925000</f>
        <v>283925000</v>
      </c>
      <c r="AJ19" s="224">
        <v>3.95E-2</v>
      </c>
      <c r="AK19" s="208">
        <f t="shared" si="9"/>
        <v>31152.881944444445</v>
      </c>
      <c r="AL19" s="223"/>
      <c r="AM19" s="224"/>
      <c r="AN19" s="208">
        <f t="shared" si="10"/>
        <v>0</v>
      </c>
      <c r="AO19" s="223"/>
      <c r="AP19" s="224"/>
      <c r="AQ19" s="208">
        <f t="shared" si="11"/>
        <v>0</v>
      </c>
      <c r="AR19" s="223"/>
      <c r="AS19" s="224"/>
      <c r="AT19" s="208">
        <f t="shared" si="12"/>
        <v>0</v>
      </c>
      <c r="AW19" s="208">
        <f t="shared" si="13"/>
        <v>0</v>
      </c>
      <c r="AZ19" s="208">
        <f t="shared" si="14"/>
        <v>0</v>
      </c>
      <c r="BC19" s="208">
        <f t="shared" si="15"/>
        <v>0</v>
      </c>
      <c r="BF19" s="208">
        <f t="shared" si="16"/>
        <v>0</v>
      </c>
      <c r="BI19" s="208">
        <f t="shared" si="17"/>
        <v>0</v>
      </c>
      <c r="BL19" s="208">
        <f t="shared" si="18"/>
        <v>0</v>
      </c>
      <c r="BO19" s="208">
        <f t="shared" si="19"/>
        <v>0</v>
      </c>
      <c r="BR19" s="208">
        <f t="shared" si="20"/>
        <v>0</v>
      </c>
      <c r="BU19" s="208">
        <f t="shared" si="21"/>
        <v>0</v>
      </c>
      <c r="BX19" s="208">
        <f t="shared" si="22"/>
        <v>0</v>
      </c>
      <c r="CA19" s="208">
        <f t="shared" si="23"/>
        <v>0</v>
      </c>
      <c r="CD19" s="208">
        <f t="shared" si="24"/>
        <v>0</v>
      </c>
      <c r="CG19" s="208">
        <f t="shared" si="25"/>
        <v>0</v>
      </c>
      <c r="CJ19" s="208">
        <f t="shared" si="26"/>
        <v>0</v>
      </c>
      <c r="CM19" s="208">
        <f t="shared" si="27"/>
        <v>0</v>
      </c>
      <c r="CP19" s="208">
        <f t="shared" si="28"/>
        <v>0</v>
      </c>
      <c r="CS19" s="208">
        <f t="shared" si="29"/>
        <v>0</v>
      </c>
      <c r="CV19" s="208">
        <f t="shared" si="30"/>
        <v>0</v>
      </c>
      <c r="CY19" s="208">
        <f t="shared" si="31"/>
        <v>0</v>
      </c>
      <c r="DB19" s="208">
        <f t="shared" si="32"/>
        <v>0</v>
      </c>
      <c r="DE19" s="208">
        <f t="shared" si="33"/>
        <v>0</v>
      </c>
      <c r="DH19" s="208">
        <f t="shared" si="34"/>
        <v>0</v>
      </c>
      <c r="DK19" s="208">
        <f t="shared" si="35"/>
        <v>0</v>
      </c>
      <c r="DN19" s="208">
        <f t="shared" si="36"/>
        <v>0</v>
      </c>
      <c r="DQ19" s="208">
        <f t="shared" si="37"/>
        <v>0</v>
      </c>
      <c r="DT19" s="208">
        <f t="shared" si="38"/>
        <v>0</v>
      </c>
      <c r="DW19" s="208">
        <f t="shared" si="39"/>
        <v>0</v>
      </c>
      <c r="DZ19" s="208"/>
      <c r="EA19" s="208"/>
      <c r="EB19" s="228">
        <f t="shared" si="40"/>
        <v>284425000</v>
      </c>
      <c r="EC19" s="228">
        <f t="shared" si="41"/>
        <v>500000</v>
      </c>
      <c r="ED19" s="208">
        <f t="shared" si="42"/>
        <v>31207.79588888889</v>
      </c>
      <c r="EE19" s="209">
        <f t="shared" si="43"/>
        <v>3.9500066871758811E-2</v>
      </c>
      <c r="EG19" s="228">
        <f t="shared" si="44"/>
        <v>0</v>
      </c>
      <c r="EH19" s="208">
        <f t="shared" si="45"/>
        <v>0</v>
      </c>
      <c r="EI19" s="209">
        <f t="shared" si="46"/>
        <v>0</v>
      </c>
      <c r="EJ19" s="209"/>
      <c r="EK19" s="228">
        <f t="shared" si="47"/>
        <v>283925000</v>
      </c>
      <c r="EL19" s="228">
        <f t="shared" si="48"/>
        <v>0</v>
      </c>
      <c r="EM19" s="228">
        <f t="shared" si="49"/>
        <v>31152.881944444445</v>
      </c>
      <c r="EN19" s="209">
        <f t="shared" si="50"/>
        <v>3.95E-2</v>
      </c>
      <c r="EP19" s="208"/>
    </row>
    <row r="20" spans="1:146" x14ac:dyDescent="0.25">
      <c r="A20" s="222">
        <f t="shared" si="51"/>
        <v>46122</v>
      </c>
      <c r="B20" s="208">
        <v>0</v>
      </c>
      <c r="C20" s="209">
        <v>3.953839E-2</v>
      </c>
      <c r="D20" s="208">
        <f t="shared" si="0"/>
        <v>0</v>
      </c>
      <c r="G20" s="208">
        <f t="shared" si="1"/>
        <v>0</v>
      </c>
      <c r="J20" s="208">
        <f t="shared" si="2"/>
        <v>0</v>
      </c>
      <c r="M20" s="208">
        <f t="shared" si="3"/>
        <v>0</v>
      </c>
      <c r="P20" s="208">
        <f t="shared" si="4"/>
        <v>0</v>
      </c>
      <c r="S20" s="208">
        <f t="shared" si="5"/>
        <v>0</v>
      </c>
      <c r="V20" s="208">
        <f t="shared" si="6"/>
        <v>0</v>
      </c>
      <c r="Y20" s="208">
        <f t="shared" si="7"/>
        <v>0</v>
      </c>
      <c r="AB20" s="208">
        <f t="shared" si="8"/>
        <v>0</v>
      </c>
      <c r="AE20" s="208">
        <v>0</v>
      </c>
      <c r="AH20" s="208">
        <v>0</v>
      </c>
      <c r="AI20" s="223">
        <f>250000000+46925000</f>
        <v>296925000</v>
      </c>
      <c r="AJ20" s="224">
        <v>3.95E-2</v>
      </c>
      <c r="AK20" s="208">
        <f t="shared" si="9"/>
        <v>32579.270833333332</v>
      </c>
      <c r="AL20" s="223"/>
      <c r="AM20" s="224"/>
      <c r="AN20" s="208">
        <f t="shared" si="10"/>
        <v>0</v>
      </c>
      <c r="AO20" s="223"/>
      <c r="AP20" s="224"/>
      <c r="AQ20" s="208">
        <f t="shared" si="11"/>
        <v>0</v>
      </c>
      <c r="AR20" s="223"/>
      <c r="AS20" s="224"/>
      <c r="AT20" s="208">
        <f t="shared" si="12"/>
        <v>0</v>
      </c>
      <c r="AW20" s="208">
        <f t="shared" si="13"/>
        <v>0</v>
      </c>
      <c r="AZ20" s="208">
        <f t="shared" si="14"/>
        <v>0</v>
      </c>
      <c r="BC20" s="208">
        <f t="shared" si="15"/>
        <v>0</v>
      </c>
      <c r="BF20" s="208">
        <f t="shared" si="16"/>
        <v>0</v>
      </c>
      <c r="BI20" s="208">
        <f t="shared" si="17"/>
        <v>0</v>
      </c>
      <c r="BL20" s="208">
        <f t="shared" si="18"/>
        <v>0</v>
      </c>
      <c r="BO20" s="208">
        <f t="shared" si="19"/>
        <v>0</v>
      </c>
      <c r="BR20" s="208">
        <f t="shared" si="20"/>
        <v>0</v>
      </c>
      <c r="BU20" s="208">
        <f t="shared" si="21"/>
        <v>0</v>
      </c>
      <c r="BX20" s="208">
        <f t="shared" si="22"/>
        <v>0</v>
      </c>
      <c r="CA20" s="208">
        <f t="shared" si="23"/>
        <v>0</v>
      </c>
      <c r="CD20" s="208">
        <f t="shared" si="24"/>
        <v>0</v>
      </c>
      <c r="CG20" s="208">
        <f t="shared" si="25"/>
        <v>0</v>
      </c>
      <c r="CJ20" s="208">
        <f t="shared" si="26"/>
        <v>0</v>
      </c>
      <c r="CM20" s="208">
        <f t="shared" si="27"/>
        <v>0</v>
      </c>
      <c r="CP20" s="208">
        <f t="shared" si="28"/>
        <v>0</v>
      </c>
      <c r="CS20" s="208">
        <f t="shared" si="29"/>
        <v>0</v>
      </c>
      <c r="CV20" s="208">
        <f t="shared" si="30"/>
        <v>0</v>
      </c>
      <c r="CY20" s="208">
        <f t="shared" si="31"/>
        <v>0</v>
      </c>
      <c r="DB20" s="208">
        <f t="shared" si="32"/>
        <v>0</v>
      </c>
      <c r="DE20" s="208">
        <f t="shared" si="33"/>
        <v>0</v>
      </c>
      <c r="DH20" s="208">
        <f t="shared" si="34"/>
        <v>0</v>
      </c>
      <c r="DK20" s="208">
        <f t="shared" si="35"/>
        <v>0</v>
      </c>
      <c r="DN20" s="208">
        <f t="shared" si="36"/>
        <v>0</v>
      </c>
      <c r="DQ20" s="208">
        <f t="shared" si="37"/>
        <v>0</v>
      </c>
      <c r="DT20" s="208">
        <f t="shared" si="38"/>
        <v>0</v>
      </c>
      <c r="DW20" s="208">
        <f t="shared" si="39"/>
        <v>0</v>
      </c>
      <c r="DZ20" s="208"/>
      <c r="EA20" s="208"/>
      <c r="EB20" s="228">
        <f t="shared" si="40"/>
        <v>296925000</v>
      </c>
      <c r="EC20" s="228">
        <f t="shared" si="41"/>
        <v>0</v>
      </c>
      <c r="ED20" s="208">
        <f t="shared" si="42"/>
        <v>32579.270833333332</v>
      </c>
      <c r="EE20" s="209">
        <f t="shared" si="43"/>
        <v>3.95E-2</v>
      </c>
      <c r="EG20" s="228">
        <f t="shared" si="44"/>
        <v>0</v>
      </c>
      <c r="EH20" s="208">
        <f t="shared" si="45"/>
        <v>0</v>
      </c>
      <c r="EI20" s="209">
        <f t="shared" si="46"/>
        <v>0</v>
      </c>
      <c r="EJ20" s="209"/>
      <c r="EK20" s="228">
        <f t="shared" si="47"/>
        <v>296925000</v>
      </c>
      <c r="EL20" s="228">
        <f t="shared" si="48"/>
        <v>0</v>
      </c>
      <c r="EM20" s="228">
        <f t="shared" si="49"/>
        <v>32579.270833333332</v>
      </c>
      <c r="EN20" s="209">
        <f t="shared" si="50"/>
        <v>3.95E-2</v>
      </c>
      <c r="EP20" s="208"/>
    </row>
    <row r="21" spans="1:146" x14ac:dyDescent="0.25">
      <c r="A21" s="222">
        <f t="shared" si="51"/>
        <v>46123</v>
      </c>
      <c r="B21" s="208">
        <v>0</v>
      </c>
      <c r="C21" s="209">
        <v>3.953839E-2</v>
      </c>
      <c r="D21" s="208">
        <f t="shared" si="0"/>
        <v>0</v>
      </c>
      <c r="G21" s="208">
        <f t="shared" si="1"/>
        <v>0</v>
      </c>
      <c r="J21" s="208">
        <f t="shared" si="2"/>
        <v>0</v>
      </c>
      <c r="M21" s="208">
        <f t="shared" si="3"/>
        <v>0</v>
      </c>
      <c r="P21" s="208">
        <f t="shared" si="4"/>
        <v>0</v>
      </c>
      <c r="S21" s="208">
        <f t="shared" si="5"/>
        <v>0</v>
      </c>
      <c r="V21" s="208">
        <f t="shared" si="6"/>
        <v>0</v>
      </c>
      <c r="Y21" s="208">
        <f t="shared" si="7"/>
        <v>0</v>
      </c>
      <c r="AB21" s="208">
        <f t="shared" si="8"/>
        <v>0</v>
      </c>
      <c r="AE21" s="208">
        <v>0</v>
      </c>
      <c r="AH21" s="208">
        <v>0</v>
      </c>
      <c r="AI21" s="223">
        <f>250000000+46925000</f>
        <v>296925000</v>
      </c>
      <c r="AJ21" s="224">
        <v>3.95E-2</v>
      </c>
      <c r="AK21" s="208">
        <f t="shared" si="9"/>
        <v>32579.270833333332</v>
      </c>
      <c r="AL21" s="223"/>
      <c r="AM21" s="224"/>
      <c r="AN21" s="208">
        <f t="shared" si="10"/>
        <v>0</v>
      </c>
      <c r="AO21" s="223"/>
      <c r="AP21" s="224"/>
      <c r="AQ21" s="208">
        <f t="shared" si="11"/>
        <v>0</v>
      </c>
      <c r="AR21" s="223"/>
      <c r="AS21" s="224"/>
      <c r="AT21" s="208">
        <f t="shared" si="12"/>
        <v>0</v>
      </c>
      <c r="AW21" s="208">
        <f t="shared" si="13"/>
        <v>0</v>
      </c>
      <c r="AZ21" s="208">
        <f t="shared" si="14"/>
        <v>0</v>
      </c>
      <c r="BC21" s="208">
        <f t="shared" si="15"/>
        <v>0</v>
      </c>
      <c r="BF21" s="208">
        <f t="shared" si="16"/>
        <v>0</v>
      </c>
      <c r="BI21" s="208">
        <f t="shared" si="17"/>
        <v>0</v>
      </c>
      <c r="BL21" s="208">
        <f t="shared" si="18"/>
        <v>0</v>
      </c>
      <c r="BO21" s="208">
        <f t="shared" si="19"/>
        <v>0</v>
      </c>
      <c r="BR21" s="208">
        <f t="shared" si="20"/>
        <v>0</v>
      </c>
      <c r="BU21" s="208">
        <f t="shared" si="21"/>
        <v>0</v>
      </c>
      <c r="BX21" s="208">
        <f t="shared" si="22"/>
        <v>0</v>
      </c>
      <c r="CA21" s="208">
        <f t="shared" si="23"/>
        <v>0</v>
      </c>
      <c r="CD21" s="208">
        <f t="shared" si="24"/>
        <v>0</v>
      </c>
      <c r="CG21" s="208">
        <f t="shared" si="25"/>
        <v>0</v>
      </c>
      <c r="CJ21" s="208">
        <f t="shared" si="26"/>
        <v>0</v>
      </c>
      <c r="CM21" s="208">
        <f t="shared" si="27"/>
        <v>0</v>
      </c>
      <c r="CP21" s="208">
        <f t="shared" si="28"/>
        <v>0</v>
      </c>
      <c r="CS21" s="208">
        <f t="shared" si="29"/>
        <v>0</v>
      </c>
      <c r="CV21" s="208">
        <f t="shared" si="30"/>
        <v>0</v>
      </c>
      <c r="CY21" s="208">
        <f t="shared" si="31"/>
        <v>0</v>
      </c>
      <c r="DB21" s="208">
        <f t="shared" si="32"/>
        <v>0</v>
      </c>
      <c r="DE21" s="208">
        <f t="shared" si="33"/>
        <v>0</v>
      </c>
      <c r="DH21" s="208">
        <f t="shared" si="34"/>
        <v>0</v>
      </c>
      <c r="DK21" s="208">
        <f t="shared" si="35"/>
        <v>0</v>
      </c>
      <c r="DN21" s="208">
        <f t="shared" si="36"/>
        <v>0</v>
      </c>
      <c r="DQ21" s="208">
        <f t="shared" si="37"/>
        <v>0</v>
      </c>
      <c r="DT21" s="208">
        <f t="shared" si="38"/>
        <v>0</v>
      </c>
      <c r="DW21" s="208">
        <f t="shared" si="39"/>
        <v>0</v>
      </c>
      <c r="DZ21" s="208"/>
      <c r="EA21" s="208"/>
      <c r="EB21" s="228">
        <f t="shared" si="40"/>
        <v>296925000</v>
      </c>
      <c r="EC21" s="228">
        <f t="shared" si="41"/>
        <v>0</v>
      </c>
      <c r="ED21" s="208">
        <f t="shared" si="42"/>
        <v>32579.270833333332</v>
      </c>
      <c r="EE21" s="209">
        <f t="shared" si="43"/>
        <v>3.95E-2</v>
      </c>
      <c r="EG21" s="228">
        <f t="shared" si="44"/>
        <v>0</v>
      </c>
      <c r="EH21" s="208">
        <f t="shared" si="45"/>
        <v>0</v>
      </c>
      <c r="EI21" s="209">
        <f t="shared" si="46"/>
        <v>0</v>
      </c>
      <c r="EJ21" s="209"/>
      <c r="EK21" s="228">
        <f t="shared" si="47"/>
        <v>296925000</v>
      </c>
      <c r="EL21" s="228">
        <f t="shared" si="48"/>
        <v>0</v>
      </c>
      <c r="EM21" s="228">
        <f t="shared" si="49"/>
        <v>32579.270833333332</v>
      </c>
      <c r="EN21" s="209">
        <f t="shared" si="50"/>
        <v>3.95E-2</v>
      </c>
      <c r="EP21" s="208"/>
    </row>
    <row r="22" spans="1:146" x14ac:dyDescent="0.25">
      <c r="A22" s="222">
        <f t="shared" si="51"/>
        <v>46124</v>
      </c>
      <c r="B22" s="208">
        <v>0</v>
      </c>
      <c r="C22" s="209">
        <v>3.953839E-2</v>
      </c>
      <c r="D22" s="208">
        <f t="shared" si="0"/>
        <v>0</v>
      </c>
      <c r="G22" s="208">
        <f t="shared" si="1"/>
        <v>0</v>
      </c>
      <c r="J22" s="208">
        <f t="shared" si="2"/>
        <v>0</v>
      </c>
      <c r="M22" s="208">
        <f t="shared" si="3"/>
        <v>0</v>
      </c>
      <c r="P22" s="208">
        <f t="shared" si="4"/>
        <v>0</v>
      </c>
      <c r="S22" s="208">
        <f t="shared" si="5"/>
        <v>0</v>
      </c>
      <c r="V22" s="208">
        <f t="shared" si="6"/>
        <v>0</v>
      </c>
      <c r="Y22" s="208">
        <f t="shared" si="7"/>
        <v>0</v>
      </c>
      <c r="AB22" s="208">
        <f t="shared" si="8"/>
        <v>0</v>
      </c>
      <c r="AE22" s="208">
        <v>0</v>
      </c>
      <c r="AH22" s="208">
        <v>0</v>
      </c>
      <c r="AI22" s="223">
        <f>250000000+46925000</f>
        <v>296925000</v>
      </c>
      <c r="AJ22" s="224">
        <v>3.95E-2</v>
      </c>
      <c r="AK22" s="208">
        <f t="shared" si="9"/>
        <v>32579.270833333332</v>
      </c>
      <c r="AL22" s="223"/>
      <c r="AM22" s="224"/>
      <c r="AN22" s="208">
        <f t="shared" si="10"/>
        <v>0</v>
      </c>
      <c r="AO22" s="223"/>
      <c r="AP22" s="224"/>
      <c r="AQ22" s="208">
        <f t="shared" si="11"/>
        <v>0</v>
      </c>
      <c r="AR22" s="223"/>
      <c r="AS22" s="224"/>
      <c r="AT22" s="208">
        <f t="shared" si="12"/>
        <v>0</v>
      </c>
      <c r="AW22" s="208">
        <f t="shared" si="13"/>
        <v>0</v>
      </c>
      <c r="AZ22" s="208">
        <f t="shared" si="14"/>
        <v>0</v>
      </c>
      <c r="BC22" s="208">
        <f t="shared" si="15"/>
        <v>0</v>
      </c>
      <c r="BF22" s="208">
        <f t="shared" si="16"/>
        <v>0</v>
      </c>
      <c r="BI22" s="208">
        <f t="shared" si="17"/>
        <v>0</v>
      </c>
      <c r="BL22" s="208">
        <f t="shared" si="18"/>
        <v>0</v>
      </c>
      <c r="BO22" s="208">
        <f t="shared" si="19"/>
        <v>0</v>
      </c>
      <c r="BR22" s="208">
        <f t="shared" si="20"/>
        <v>0</v>
      </c>
      <c r="BU22" s="208">
        <f t="shared" si="21"/>
        <v>0</v>
      </c>
      <c r="BX22" s="208">
        <f t="shared" si="22"/>
        <v>0</v>
      </c>
      <c r="CA22" s="208">
        <f t="shared" si="23"/>
        <v>0</v>
      </c>
      <c r="CD22" s="208">
        <f t="shared" si="24"/>
        <v>0</v>
      </c>
      <c r="CG22" s="208">
        <f t="shared" si="25"/>
        <v>0</v>
      </c>
      <c r="CJ22" s="208">
        <f t="shared" si="26"/>
        <v>0</v>
      </c>
      <c r="CM22" s="208">
        <f t="shared" si="27"/>
        <v>0</v>
      </c>
      <c r="CP22" s="208">
        <f t="shared" si="28"/>
        <v>0</v>
      </c>
      <c r="CS22" s="208">
        <f t="shared" si="29"/>
        <v>0</v>
      </c>
      <c r="CV22" s="208">
        <f t="shared" si="30"/>
        <v>0</v>
      </c>
      <c r="CY22" s="208">
        <f t="shared" si="31"/>
        <v>0</v>
      </c>
      <c r="DB22" s="208">
        <f t="shared" si="32"/>
        <v>0</v>
      </c>
      <c r="DE22" s="208">
        <f t="shared" si="33"/>
        <v>0</v>
      </c>
      <c r="DH22" s="208">
        <f t="shared" si="34"/>
        <v>0</v>
      </c>
      <c r="DK22" s="208">
        <f t="shared" si="35"/>
        <v>0</v>
      </c>
      <c r="DN22" s="208">
        <f t="shared" si="36"/>
        <v>0</v>
      </c>
      <c r="DQ22" s="208">
        <f t="shared" si="37"/>
        <v>0</v>
      </c>
      <c r="DT22" s="208">
        <f t="shared" si="38"/>
        <v>0</v>
      </c>
      <c r="DW22" s="208">
        <f t="shared" si="39"/>
        <v>0</v>
      </c>
      <c r="DZ22" s="208"/>
      <c r="EA22" s="208"/>
      <c r="EB22" s="228">
        <f t="shared" si="40"/>
        <v>296925000</v>
      </c>
      <c r="EC22" s="228">
        <f t="shared" si="41"/>
        <v>0</v>
      </c>
      <c r="ED22" s="208">
        <f t="shared" si="42"/>
        <v>32579.270833333332</v>
      </c>
      <c r="EE22" s="209">
        <f t="shared" si="43"/>
        <v>3.95E-2</v>
      </c>
      <c r="EG22" s="228">
        <f t="shared" si="44"/>
        <v>0</v>
      </c>
      <c r="EH22" s="208">
        <f t="shared" si="45"/>
        <v>0</v>
      </c>
      <c r="EI22" s="209">
        <f t="shared" si="46"/>
        <v>0</v>
      </c>
      <c r="EJ22" s="209"/>
      <c r="EK22" s="228">
        <f t="shared" si="47"/>
        <v>296925000</v>
      </c>
      <c r="EL22" s="228">
        <f t="shared" si="48"/>
        <v>0</v>
      </c>
      <c r="EM22" s="228">
        <f t="shared" si="49"/>
        <v>32579.270833333332</v>
      </c>
      <c r="EN22" s="209">
        <f t="shared" si="50"/>
        <v>3.95E-2</v>
      </c>
      <c r="EP22" s="208"/>
    </row>
    <row r="23" spans="1:146" x14ac:dyDescent="0.25">
      <c r="A23" s="222">
        <f t="shared" si="51"/>
        <v>46125</v>
      </c>
      <c r="B23" s="208">
        <v>0</v>
      </c>
      <c r="C23" s="209">
        <v>3.9537779999999995E-2</v>
      </c>
      <c r="D23" s="208">
        <f t="shared" si="0"/>
        <v>0</v>
      </c>
      <c r="G23" s="208">
        <f t="shared" si="1"/>
        <v>0</v>
      </c>
      <c r="J23" s="208">
        <f t="shared" si="2"/>
        <v>0</v>
      </c>
      <c r="M23" s="208">
        <f t="shared" si="3"/>
        <v>0</v>
      </c>
      <c r="P23" s="208">
        <f t="shared" si="4"/>
        <v>0</v>
      </c>
      <c r="S23" s="208">
        <f t="shared" si="5"/>
        <v>0</v>
      </c>
      <c r="V23" s="208">
        <f t="shared" si="6"/>
        <v>0</v>
      </c>
      <c r="Y23" s="208">
        <f t="shared" si="7"/>
        <v>0</v>
      </c>
      <c r="AB23" s="208">
        <f t="shared" si="8"/>
        <v>0</v>
      </c>
      <c r="AE23" s="208">
        <v>0</v>
      </c>
      <c r="AH23" s="208">
        <v>0</v>
      </c>
      <c r="AI23" s="223">
        <f>120000000+87800000+130000000</f>
        <v>337800000</v>
      </c>
      <c r="AJ23" s="224">
        <v>3.95E-2</v>
      </c>
      <c r="AK23" s="208">
        <f t="shared" si="9"/>
        <v>37064.166666666664</v>
      </c>
      <c r="AL23" s="223"/>
      <c r="AM23" s="224"/>
      <c r="AN23" s="208">
        <f t="shared" si="10"/>
        <v>0</v>
      </c>
      <c r="AO23" s="223"/>
      <c r="AP23" s="224"/>
      <c r="AQ23" s="208">
        <f t="shared" si="11"/>
        <v>0</v>
      </c>
      <c r="AR23" s="223"/>
      <c r="AS23" s="224"/>
      <c r="AT23" s="208">
        <f t="shared" si="12"/>
        <v>0</v>
      </c>
      <c r="AW23" s="208">
        <f t="shared" si="13"/>
        <v>0</v>
      </c>
      <c r="AZ23" s="208">
        <f t="shared" si="14"/>
        <v>0</v>
      </c>
      <c r="BC23" s="208">
        <f t="shared" si="15"/>
        <v>0</v>
      </c>
      <c r="BF23" s="208">
        <f t="shared" si="16"/>
        <v>0</v>
      </c>
      <c r="BI23" s="208">
        <f t="shared" si="17"/>
        <v>0</v>
      </c>
      <c r="BL23" s="208">
        <f t="shared" si="18"/>
        <v>0</v>
      </c>
      <c r="BO23" s="208">
        <f t="shared" si="19"/>
        <v>0</v>
      </c>
      <c r="BR23" s="208">
        <f t="shared" si="20"/>
        <v>0</v>
      </c>
      <c r="BU23" s="208">
        <f t="shared" si="21"/>
        <v>0</v>
      </c>
      <c r="BX23" s="208">
        <f t="shared" si="22"/>
        <v>0</v>
      </c>
      <c r="CA23" s="208">
        <f t="shared" si="23"/>
        <v>0</v>
      </c>
      <c r="CD23" s="208">
        <f t="shared" si="24"/>
        <v>0</v>
      </c>
      <c r="CG23" s="208">
        <f t="shared" si="25"/>
        <v>0</v>
      </c>
      <c r="CJ23" s="208">
        <f t="shared" si="26"/>
        <v>0</v>
      </c>
      <c r="CM23" s="208">
        <f t="shared" si="27"/>
        <v>0</v>
      </c>
      <c r="CP23" s="208">
        <f t="shared" si="28"/>
        <v>0</v>
      </c>
      <c r="CS23" s="208">
        <f t="shared" si="29"/>
        <v>0</v>
      </c>
      <c r="CV23" s="208">
        <f t="shared" si="30"/>
        <v>0</v>
      </c>
      <c r="CY23" s="208">
        <f t="shared" si="31"/>
        <v>0</v>
      </c>
      <c r="DB23" s="208">
        <f t="shared" si="32"/>
        <v>0</v>
      </c>
      <c r="DE23" s="208">
        <f t="shared" si="33"/>
        <v>0</v>
      </c>
      <c r="DH23" s="208">
        <f t="shared" si="34"/>
        <v>0</v>
      </c>
      <c r="DK23" s="208">
        <f t="shared" si="35"/>
        <v>0</v>
      </c>
      <c r="DN23" s="208">
        <f t="shared" si="36"/>
        <v>0</v>
      </c>
      <c r="DQ23" s="208">
        <f t="shared" si="37"/>
        <v>0</v>
      </c>
      <c r="DT23" s="208">
        <f t="shared" si="38"/>
        <v>0</v>
      </c>
      <c r="DW23" s="208">
        <f t="shared" si="39"/>
        <v>0</v>
      </c>
      <c r="DZ23" s="208"/>
      <c r="EA23" s="208"/>
      <c r="EB23" s="228">
        <f t="shared" si="40"/>
        <v>337800000</v>
      </c>
      <c r="EC23" s="228">
        <f t="shared" si="41"/>
        <v>0</v>
      </c>
      <c r="ED23" s="208">
        <f t="shared" si="42"/>
        <v>37064.166666666664</v>
      </c>
      <c r="EE23" s="209">
        <f t="shared" si="43"/>
        <v>3.9499999999999993E-2</v>
      </c>
      <c r="EG23" s="228">
        <f t="shared" si="44"/>
        <v>0</v>
      </c>
      <c r="EH23" s="208">
        <f t="shared" si="45"/>
        <v>0</v>
      </c>
      <c r="EI23" s="209">
        <f t="shared" si="46"/>
        <v>0</v>
      </c>
      <c r="EJ23" s="209"/>
      <c r="EK23" s="228">
        <f t="shared" si="47"/>
        <v>337800000</v>
      </c>
      <c r="EL23" s="228">
        <f t="shared" si="48"/>
        <v>0</v>
      </c>
      <c r="EM23" s="228">
        <f t="shared" si="49"/>
        <v>37064.166666666664</v>
      </c>
      <c r="EN23" s="209">
        <f t="shared" si="50"/>
        <v>3.9499999999999993E-2</v>
      </c>
      <c r="EP23" s="208"/>
    </row>
    <row r="24" spans="1:146" x14ac:dyDescent="0.25">
      <c r="A24" s="222">
        <f t="shared" si="51"/>
        <v>46126</v>
      </c>
      <c r="B24" s="208">
        <v>0</v>
      </c>
      <c r="C24" s="209">
        <v>3.9538540000000004E-2</v>
      </c>
      <c r="D24" s="208">
        <f t="shared" si="0"/>
        <v>0</v>
      </c>
      <c r="G24" s="208">
        <f t="shared" si="1"/>
        <v>0</v>
      </c>
      <c r="J24" s="208">
        <f t="shared" si="2"/>
        <v>0</v>
      </c>
      <c r="M24" s="208">
        <f t="shared" si="3"/>
        <v>0</v>
      </c>
      <c r="P24" s="208">
        <f t="shared" si="4"/>
        <v>0</v>
      </c>
      <c r="S24" s="208">
        <f t="shared" si="5"/>
        <v>0</v>
      </c>
      <c r="V24" s="208">
        <f t="shared" si="6"/>
        <v>0</v>
      </c>
      <c r="Y24" s="208">
        <f t="shared" si="7"/>
        <v>0</v>
      </c>
      <c r="AB24" s="208">
        <f t="shared" si="8"/>
        <v>0</v>
      </c>
      <c r="AE24" s="208">
        <v>0</v>
      </c>
      <c r="AH24" s="208">
        <v>0</v>
      </c>
      <c r="AI24" s="223">
        <f>150000000+150000000+25000000</f>
        <v>325000000</v>
      </c>
      <c r="AJ24" s="224">
        <v>3.95E-2</v>
      </c>
      <c r="AK24" s="208">
        <f t="shared" si="9"/>
        <v>35659.722222222219</v>
      </c>
      <c r="AL24" s="223"/>
      <c r="AM24" s="224"/>
      <c r="AN24" s="208">
        <f t="shared" si="10"/>
        <v>0</v>
      </c>
      <c r="AO24" s="223"/>
      <c r="AP24" s="224"/>
      <c r="AQ24" s="208">
        <f t="shared" si="11"/>
        <v>0</v>
      </c>
      <c r="AR24" s="223"/>
      <c r="AS24" s="224"/>
      <c r="AT24" s="208">
        <f t="shared" si="12"/>
        <v>0</v>
      </c>
      <c r="AW24" s="208">
        <f t="shared" si="13"/>
        <v>0</v>
      </c>
      <c r="AZ24" s="208">
        <f t="shared" si="14"/>
        <v>0</v>
      </c>
      <c r="BC24" s="208">
        <f t="shared" si="15"/>
        <v>0</v>
      </c>
      <c r="BF24" s="208">
        <f t="shared" si="16"/>
        <v>0</v>
      </c>
      <c r="BI24" s="208">
        <f t="shared" si="17"/>
        <v>0</v>
      </c>
      <c r="BL24" s="208">
        <f t="shared" si="18"/>
        <v>0</v>
      </c>
      <c r="BO24" s="208">
        <f t="shared" si="19"/>
        <v>0</v>
      </c>
      <c r="BR24" s="208">
        <f t="shared" si="20"/>
        <v>0</v>
      </c>
      <c r="BU24" s="208">
        <f t="shared" si="21"/>
        <v>0</v>
      </c>
      <c r="BX24" s="208">
        <f t="shared" si="22"/>
        <v>0</v>
      </c>
      <c r="CA24" s="208">
        <f t="shared" si="23"/>
        <v>0</v>
      </c>
      <c r="CD24" s="208">
        <f t="shared" si="24"/>
        <v>0</v>
      </c>
      <c r="CG24" s="208">
        <f t="shared" si="25"/>
        <v>0</v>
      </c>
      <c r="CJ24" s="208">
        <f t="shared" si="26"/>
        <v>0</v>
      </c>
      <c r="CM24" s="208">
        <f t="shared" si="27"/>
        <v>0</v>
      </c>
      <c r="CP24" s="208">
        <f t="shared" si="28"/>
        <v>0</v>
      </c>
      <c r="CS24" s="208">
        <f t="shared" si="29"/>
        <v>0</v>
      </c>
      <c r="CV24" s="208">
        <f t="shared" si="30"/>
        <v>0</v>
      </c>
      <c r="CY24" s="208">
        <f t="shared" si="31"/>
        <v>0</v>
      </c>
      <c r="DB24" s="208">
        <f t="shared" si="32"/>
        <v>0</v>
      </c>
      <c r="DE24" s="208">
        <f t="shared" si="33"/>
        <v>0</v>
      </c>
      <c r="DH24" s="208">
        <f t="shared" si="34"/>
        <v>0</v>
      </c>
      <c r="DK24" s="208">
        <f t="shared" si="35"/>
        <v>0</v>
      </c>
      <c r="DN24" s="208">
        <f t="shared" si="36"/>
        <v>0</v>
      </c>
      <c r="DQ24" s="208">
        <f t="shared" si="37"/>
        <v>0</v>
      </c>
      <c r="DT24" s="208">
        <f t="shared" si="38"/>
        <v>0</v>
      </c>
      <c r="DW24" s="208">
        <f t="shared" si="39"/>
        <v>0</v>
      </c>
      <c r="DZ24" s="208"/>
      <c r="EA24" s="208"/>
      <c r="EB24" s="228">
        <f t="shared" si="40"/>
        <v>325000000</v>
      </c>
      <c r="EC24" s="228">
        <f t="shared" si="41"/>
        <v>0</v>
      </c>
      <c r="ED24" s="208">
        <f t="shared" si="42"/>
        <v>35659.722222222219</v>
      </c>
      <c r="EE24" s="209">
        <f t="shared" si="43"/>
        <v>3.9499999999999993E-2</v>
      </c>
      <c r="EG24" s="228">
        <f t="shared" si="44"/>
        <v>0</v>
      </c>
      <c r="EH24" s="208">
        <f t="shared" si="45"/>
        <v>0</v>
      </c>
      <c r="EI24" s="209">
        <f t="shared" si="46"/>
        <v>0</v>
      </c>
      <c r="EJ24" s="209"/>
      <c r="EK24" s="228">
        <f t="shared" si="47"/>
        <v>325000000</v>
      </c>
      <c r="EL24" s="228">
        <f t="shared" si="48"/>
        <v>0</v>
      </c>
      <c r="EM24" s="228">
        <f t="shared" si="49"/>
        <v>35659.722222222219</v>
      </c>
      <c r="EN24" s="209">
        <f t="shared" si="50"/>
        <v>3.9499999999999993E-2</v>
      </c>
      <c r="EP24" s="208"/>
    </row>
    <row r="25" spans="1:146" x14ac:dyDescent="0.25">
      <c r="A25" s="222">
        <f t="shared" si="51"/>
        <v>46127</v>
      </c>
      <c r="B25" s="208">
        <v>0</v>
      </c>
      <c r="C25" s="209">
        <v>3.952982E-2</v>
      </c>
      <c r="D25" s="208">
        <f t="shared" si="0"/>
        <v>0</v>
      </c>
      <c r="G25" s="208">
        <f t="shared" si="1"/>
        <v>0</v>
      </c>
      <c r="J25" s="208">
        <f t="shared" si="2"/>
        <v>0</v>
      </c>
      <c r="M25" s="208">
        <f t="shared" si="3"/>
        <v>0</v>
      </c>
      <c r="P25" s="208">
        <f t="shared" si="4"/>
        <v>0</v>
      </c>
      <c r="S25" s="208">
        <f t="shared" si="5"/>
        <v>0</v>
      </c>
      <c r="V25" s="208">
        <f t="shared" si="6"/>
        <v>0</v>
      </c>
      <c r="Y25" s="208">
        <f t="shared" si="7"/>
        <v>0</v>
      </c>
      <c r="AB25" s="208">
        <f t="shared" si="8"/>
        <v>0</v>
      </c>
      <c r="AE25" s="208">
        <v>0</v>
      </c>
      <c r="AH25" s="208">
        <v>0</v>
      </c>
      <c r="AI25" s="223">
        <f>90000000+210000000</f>
        <v>300000000</v>
      </c>
      <c r="AJ25" s="224">
        <v>3.95E-2</v>
      </c>
      <c r="AK25" s="208">
        <f t="shared" si="9"/>
        <v>32916.666666666664</v>
      </c>
      <c r="AL25" s="223"/>
      <c r="AM25" s="224"/>
      <c r="AN25" s="208">
        <f t="shared" si="10"/>
        <v>0</v>
      </c>
      <c r="AO25" s="223"/>
      <c r="AP25" s="224"/>
      <c r="AQ25" s="208">
        <f t="shared" si="11"/>
        <v>0</v>
      </c>
      <c r="AR25" s="223"/>
      <c r="AS25" s="224"/>
      <c r="AT25" s="208">
        <f t="shared" si="12"/>
        <v>0</v>
      </c>
      <c r="AW25" s="208">
        <f t="shared" si="13"/>
        <v>0</v>
      </c>
      <c r="AZ25" s="208">
        <f t="shared" si="14"/>
        <v>0</v>
      </c>
      <c r="BC25" s="208">
        <f t="shared" si="15"/>
        <v>0</v>
      </c>
      <c r="BF25" s="208">
        <f t="shared" si="16"/>
        <v>0</v>
      </c>
      <c r="BI25" s="208">
        <f t="shared" si="17"/>
        <v>0</v>
      </c>
      <c r="BL25" s="208">
        <f t="shared" si="18"/>
        <v>0</v>
      </c>
      <c r="BO25" s="208">
        <f t="shared" si="19"/>
        <v>0</v>
      </c>
      <c r="BR25" s="208">
        <f t="shared" si="20"/>
        <v>0</v>
      </c>
      <c r="BU25" s="208">
        <f t="shared" si="21"/>
        <v>0</v>
      </c>
      <c r="BX25" s="208">
        <f t="shared" si="22"/>
        <v>0</v>
      </c>
      <c r="CA25" s="208">
        <f t="shared" si="23"/>
        <v>0</v>
      </c>
      <c r="CD25" s="208">
        <f t="shared" si="24"/>
        <v>0</v>
      </c>
      <c r="CG25" s="208">
        <f t="shared" si="25"/>
        <v>0</v>
      </c>
      <c r="CJ25" s="208">
        <f t="shared" si="26"/>
        <v>0</v>
      </c>
      <c r="CM25" s="208">
        <f t="shared" si="27"/>
        <v>0</v>
      </c>
      <c r="CP25" s="208">
        <f t="shared" si="28"/>
        <v>0</v>
      </c>
      <c r="CS25" s="208">
        <f t="shared" si="29"/>
        <v>0</v>
      </c>
      <c r="CV25" s="208">
        <f t="shared" si="30"/>
        <v>0</v>
      </c>
      <c r="CY25" s="208">
        <f t="shared" si="31"/>
        <v>0</v>
      </c>
      <c r="DB25" s="208">
        <f t="shared" si="32"/>
        <v>0</v>
      </c>
      <c r="DE25" s="208">
        <f t="shared" si="33"/>
        <v>0</v>
      </c>
      <c r="DH25" s="208">
        <f t="shared" si="34"/>
        <v>0</v>
      </c>
      <c r="DK25" s="208">
        <f t="shared" si="35"/>
        <v>0</v>
      </c>
      <c r="DN25" s="208">
        <f t="shared" si="36"/>
        <v>0</v>
      </c>
      <c r="DQ25" s="208">
        <f t="shared" si="37"/>
        <v>0</v>
      </c>
      <c r="DT25" s="208">
        <f t="shared" si="38"/>
        <v>0</v>
      </c>
      <c r="DW25" s="208">
        <f t="shared" si="39"/>
        <v>0</v>
      </c>
      <c r="DZ25" s="208"/>
      <c r="EA25" s="208"/>
      <c r="EB25" s="228">
        <f t="shared" si="40"/>
        <v>300000000</v>
      </c>
      <c r="EC25" s="228">
        <f t="shared" si="41"/>
        <v>0</v>
      </c>
      <c r="ED25" s="208">
        <f t="shared" si="42"/>
        <v>32916.666666666664</v>
      </c>
      <c r="EE25" s="209">
        <f t="shared" si="43"/>
        <v>3.9499999999999993E-2</v>
      </c>
      <c r="EG25" s="228">
        <f t="shared" si="44"/>
        <v>0</v>
      </c>
      <c r="EH25" s="208">
        <f t="shared" si="45"/>
        <v>0</v>
      </c>
      <c r="EI25" s="209">
        <f t="shared" si="46"/>
        <v>0</v>
      </c>
      <c r="EJ25" s="209"/>
      <c r="EK25" s="228">
        <f t="shared" si="47"/>
        <v>300000000</v>
      </c>
      <c r="EL25" s="228">
        <f t="shared" si="48"/>
        <v>0</v>
      </c>
      <c r="EM25" s="228">
        <f t="shared" si="49"/>
        <v>32916.666666666664</v>
      </c>
      <c r="EN25" s="209">
        <f t="shared" si="50"/>
        <v>3.9499999999999993E-2</v>
      </c>
      <c r="EP25" s="208"/>
    </row>
    <row r="26" spans="1:146" x14ac:dyDescent="0.25">
      <c r="A26" s="222">
        <f t="shared" si="51"/>
        <v>46128</v>
      </c>
      <c r="B26" s="208">
        <v>0</v>
      </c>
      <c r="C26" s="209">
        <v>3.9508920000000003E-2</v>
      </c>
      <c r="D26" s="208">
        <f t="shared" si="0"/>
        <v>0</v>
      </c>
      <c r="G26" s="208">
        <f t="shared" si="1"/>
        <v>0</v>
      </c>
      <c r="J26" s="208">
        <f t="shared" si="2"/>
        <v>0</v>
      </c>
      <c r="M26" s="208">
        <f t="shared" si="3"/>
        <v>0</v>
      </c>
      <c r="P26" s="208">
        <f t="shared" si="4"/>
        <v>0</v>
      </c>
      <c r="S26" s="208">
        <f t="shared" si="5"/>
        <v>0</v>
      </c>
      <c r="V26" s="208">
        <f t="shared" si="6"/>
        <v>0</v>
      </c>
      <c r="Y26" s="208">
        <f t="shared" si="7"/>
        <v>0</v>
      </c>
      <c r="AB26" s="208">
        <f t="shared" si="8"/>
        <v>0</v>
      </c>
      <c r="AE26" s="208">
        <v>0</v>
      </c>
      <c r="AH26" s="208">
        <v>0</v>
      </c>
      <c r="AI26" s="223">
        <f>250000000+42900000</f>
        <v>292900000</v>
      </c>
      <c r="AJ26" s="224">
        <v>3.95E-2</v>
      </c>
      <c r="AK26" s="208">
        <f t="shared" si="9"/>
        <v>32137.638888888891</v>
      </c>
      <c r="AL26" s="223"/>
      <c r="AM26" s="224"/>
      <c r="AN26" s="208">
        <f t="shared" si="10"/>
        <v>0</v>
      </c>
      <c r="AO26" s="223"/>
      <c r="AP26" s="224"/>
      <c r="AQ26" s="208">
        <f t="shared" si="11"/>
        <v>0</v>
      </c>
      <c r="AR26" s="223"/>
      <c r="AS26" s="224"/>
      <c r="AT26" s="208">
        <f t="shared" si="12"/>
        <v>0</v>
      </c>
      <c r="AW26" s="208">
        <f t="shared" si="13"/>
        <v>0</v>
      </c>
      <c r="AZ26" s="208">
        <f t="shared" si="14"/>
        <v>0</v>
      </c>
      <c r="BC26" s="208">
        <f t="shared" si="15"/>
        <v>0</v>
      </c>
      <c r="BF26" s="208">
        <f t="shared" si="16"/>
        <v>0</v>
      </c>
      <c r="BI26" s="208">
        <f t="shared" si="17"/>
        <v>0</v>
      </c>
      <c r="BL26" s="208">
        <f t="shared" si="18"/>
        <v>0</v>
      </c>
      <c r="BO26" s="208">
        <f t="shared" si="19"/>
        <v>0</v>
      </c>
      <c r="BR26" s="208">
        <f t="shared" si="20"/>
        <v>0</v>
      </c>
      <c r="BU26" s="208">
        <f t="shared" si="21"/>
        <v>0</v>
      </c>
      <c r="BX26" s="208">
        <f t="shared" si="22"/>
        <v>0</v>
      </c>
      <c r="CA26" s="208">
        <f t="shared" si="23"/>
        <v>0</v>
      </c>
      <c r="CD26" s="208">
        <f t="shared" si="24"/>
        <v>0</v>
      </c>
      <c r="CG26" s="208">
        <f t="shared" si="25"/>
        <v>0</v>
      </c>
      <c r="CJ26" s="208">
        <f t="shared" si="26"/>
        <v>0</v>
      </c>
      <c r="CM26" s="208">
        <f t="shared" si="27"/>
        <v>0</v>
      </c>
      <c r="CP26" s="208">
        <f t="shared" si="28"/>
        <v>0</v>
      </c>
      <c r="CS26" s="208">
        <f t="shared" si="29"/>
        <v>0</v>
      </c>
      <c r="CV26" s="208">
        <f t="shared" si="30"/>
        <v>0</v>
      </c>
      <c r="CY26" s="208">
        <f t="shared" si="31"/>
        <v>0</v>
      </c>
      <c r="DB26" s="208">
        <f t="shared" si="32"/>
        <v>0</v>
      </c>
      <c r="DE26" s="208">
        <f t="shared" si="33"/>
        <v>0</v>
      </c>
      <c r="DH26" s="208">
        <f t="shared" si="34"/>
        <v>0</v>
      </c>
      <c r="DK26" s="208">
        <f t="shared" si="35"/>
        <v>0</v>
      </c>
      <c r="DN26" s="208">
        <f t="shared" si="36"/>
        <v>0</v>
      </c>
      <c r="DQ26" s="208">
        <f t="shared" si="37"/>
        <v>0</v>
      </c>
      <c r="DT26" s="208">
        <f t="shared" si="38"/>
        <v>0</v>
      </c>
      <c r="DW26" s="208">
        <f t="shared" si="39"/>
        <v>0</v>
      </c>
      <c r="DZ26" s="208"/>
      <c r="EA26" s="208"/>
      <c r="EB26" s="228">
        <f t="shared" si="40"/>
        <v>292900000</v>
      </c>
      <c r="EC26" s="228">
        <f t="shared" si="41"/>
        <v>0</v>
      </c>
      <c r="ED26" s="208">
        <f t="shared" si="42"/>
        <v>32137.638888888891</v>
      </c>
      <c r="EE26" s="209">
        <f t="shared" si="43"/>
        <v>3.95E-2</v>
      </c>
      <c r="EG26" s="228">
        <f t="shared" si="44"/>
        <v>0</v>
      </c>
      <c r="EH26" s="208">
        <f t="shared" si="45"/>
        <v>0</v>
      </c>
      <c r="EI26" s="209">
        <f t="shared" si="46"/>
        <v>0</v>
      </c>
      <c r="EJ26" s="209"/>
      <c r="EK26" s="228">
        <f t="shared" si="47"/>
        <v>292900000</v>
      </c>
      <c r="EL26" s="228">
        <f t="shared" si="48"/>
        <v>0</v>
      </c>
      <c r="EM26" s="228">
        <f t="shared" si="49"/>
        <v>32137.638888888891</v>
      </c>
      <c r="EN26" s="209">
        <f t="shared" si="50"/>
        <v>3.95E-2</v>
      </c>
      <c r="EP26" s="208"/>
    </row>
    <row r="27" spans="1:146" x14ac:dyDescent="0.25">
      <c r="A27" s="222">
        <f t="shared" si="51"/>
        <v>46129</v>
      </c>
      <c r="B27" s="208">
        <v>0</v>
      </c>
      <c r="C27" s="209">
        <v>3.9511089999999999E-2</v>
      </c>
      <c r="D27" s="208">
        <f t="shared" si="0"/>
        <v>0</v>
      </c>
      <c r="G27" s="208">
        <f t="shared" si="1"/>
        <v>0</v>
      </c>
      <c r="J27" s="208">
        <f t="shared" si="2"/>
        <v>0</v>
      </c>
      <c r="M27" s="208">
        <f t="shared" si="3"/>
        <v>0</v>
      </c>
      <c r="P27" s="208">
        <f t="shared" si="4"/>
        <v>0</v>
      </c>
      <c r="S27" s="208">
        <f t="shared" si="5"/>
        <v>0</v>
      </c>
      <c r="V27" s="208">
        <f t="shared" si="6"/>
        <v>0</v>
      </c>
      <c r="Y27" s="208">
        <f t="shared" si="7"/>
        <v>0</v>
      </c>
      <c r="AB27" s="208">
        <f t="shared" si="8"/>
        <v>0</v>
      </c>
      <c r="AE27" s="208">
        <v>0</v>
      </c>
      <c r="AH27" s="208">
        <v>0</v>
      </c>
      <c r="AI27" s="223">
        <f>65000000+203000000</f>
        <v>268000000</v>
      </c>
      <c r="AJ27" s="224">
        <v>3.95E-2</v>
      </c>
      <c r="AK27" s="208">
        <f t="shared" si="9"/>
        <v>29405.555555555555</v>
      </c>
      <c r="AL27" s="223">
        <f t="shared" ref="AL27:AL33" si="52">12000000</f>
        <v>12000000</v>
      </c>
      <c r="AM27" s="224">
        <v>3.9800000000000002E-2</v>
      </c>
      <c r="AN27" s="208">
        <f t="shared" si="10"/>
        <v>1326.6666666666667</v>
      </c>
      <c r="AO27" s="223"/>
      <c r="AP27" s="224"/>
      <c r="AQ27" s="208">
        <f t="shared" si="11"/>
        <v>0</v>
      </c>
      <c r="AR27" s="223"/>
      <c r="AS27" s="224"/>
      <c r="AT27" s="208">
        <f t="shared" si="12"/>
        <v>0</v>
      </c>
      <c r="AW27" s="208">
        <f t="shared" si="13"/>
        <v>0</v>
      </c>
      <c r="AZ27" s="208">
        <f t="shared" si="14"/>
        <v>0</v>
      </c>
      <c r="BC27" s="208">
        <f t="shared" si="15"/>
        <v>0</v>
      </c>
      <c r="BF27" s="208">
        <f t="shared" si="16"/>
        <v>0</v>
      </c>
      <c r="BI27" s="208">
        <f t="shared" si="17"/>
        <v>0</v>
      </c>
      <c r="BL27" s="208">
        <f t="shared" si="18"/>
        <v>0</v>
      </c>
      <c r="BO27" s="208">
        <f t="shared" si="19"/>
        <v>0</v>
      </c>
      <c r="BR27" s="208">
        <f t="shared" si="20"/>
        <v>0</v>
      </c>
      <c r="BU27" s="208">
        <f t="shared" si="21"/>
        <v>0</v>
      </c>
      <c r="BX27" s="208">
        <f t="shared" si="22"/>
        <v>0</v>
      </c>
      <c r="CA27" s="208">
        <f t="shared" si="23"/>
        <v>0</v>
      </c>
      <c r="CD27" s="208">
        <f t="shared" si="24"/>
        <v>0</v>
      </c>
      <c r="CG27" s="208">
        <f t="shared" si="25"/>
        <v>0</v>
      </c>
      <c r="CJ27" s="208">
        <f t="shared" si="26"/>
        <v>0</v>
      </c>
      <c r="CM27" s="208">
        <f t="shared" si="27"/>
        <v>0</v>
      </c>
      <c r="CP27" s="208">
        <f t="shared" si="28"/>
        <v>0</v>
      </c>
      <c r="CS27" s="208">
        <f t="shared" si="29"/>
        <v>0</v>
      </c>
      <c r="CV27" s="208">
        <f t="shared" si="30"/>
        <v>0</v>
      </c>
      <c r="CY27" s="208">
        <f t="shared" si="31"/>
        <v>0</v>
      </c>
      <c r="DB27" s="208">
        <f t="shared" si="32"/>
        <v>0</v>
      </c>
      <c r="DE27" s="208">
        <f t="shared" si="33"/>
        <v>0</v>
      </c>
      <c r="DH27" s="208">
        <f t="shared" si="34"/>
        <v>0</v>
      </c>
      <c r="DK27" s="208">
        <f t="shared" si="35"/>
        <v>0</v>
      </c>
      <c r="DN27" s="208">
        <f t="shared" si="36"/>
        <v>0</v>
      </c>
      <c r="DQ27" s="208">
        <f t="shared" si="37"/>
        <v>0</v>
      </c>
      <c r="DT27" s="208">
        <f t="shared" si="38"/>
        <v>0</v>
      </c>
      <c r="DW27" s="208">
        <f t="shared" si="39"/>
        <v>0</v>
      </c>
      <c r="DZ27" s="208"/>
      <c r="EA27" s="208"/>
      <c r="EB27" s="228">
        <f t="shared" si="40"/>
        <v>280000000</v>
      </c>
      <c r="EC27" s="228">
        <f t="shared" si="41"/>
        <v>0</v>
      </c>
      <c r="ED27" s="208">
        <f t="shared" si="42"/>
        <v>30732.222222222223</v>
      </c>
      <c r="EE27" s="209">
        <f t="shared" si="43"/>
        <v>3.9512857142857141E-2</v>
      </c>
      <c r="EG27" s="228">
        <f t="shared" si="44"/>
        <v>0</v>
      </c>
      <c r="EH27" s="208">
        <f t="shared" si="45"/>
        <v>0</v>
      </c>
      <c r="EI27" s="209">
        <f t="shared" si="46"/>
        <v>0</v>
      </c>
      <c r="EJ27" s="209"/>
      <c r="EK27" s="228">
        <f t="shared" si="47"/>
        <v>280000000</v>
      </c>
      <c r="EL27" s="228">
        <f t="shared" si="48"/>
        <v>0</v>
      </c>
      <c r="EM27" s="228">
        <f t="shared" si="49"/>
        <v>30732.222222222223</v>
      </c>
      <c r="EN27" s="209">
        <f t="shared" si="50"/>
        <v>3.9512857142857141E-2</v>
      </c>
      <c r="EP27" s="208"/>
    </row>
    <row r="28" spans="1:146" x14ac:dyDescent="0.25">
      <c r="A28" s="222">
        <f t="shared" si="51"/>
        <v>46130</v>
      </c>
      <c r="B28" s="208">
        <v>0</v>
      </c>
      <c r="C28" s="209">
        <v>3.9511089999999999E-2</v>
      </c>
      <c r="D28" s="208">
        <f t="shared" si="0"/>
        <v>0</v>
      </c>
      <c r="G28" s="208">
        <f t="shared" si="1"/>
        <v>0</v>
      </c>
      <c r="J28" s="208">
        <f t="shared" si="2"/>
        <v>0</v>
      </c>
      <c r="M28" s="208">
        <f t="shared" si="3"/>
        <v>0</v>
      </c>
      <c r="P28" s="208">
        <f t="shared" si="4"/>
        <v>0</v>
      </c>
      <c r="S28" s="208">
        <f t="shared" si="5"/>
        <v>0</v>
      </c>
      <c r="V28" s="208">
        <f t="shared" si="6"/>
        <v>0</v>
      </c>
      <c r="Y28" s="208">
        <f t="shared" si="7"/>
        <v>0</v>
      </c>
      <c r="AB28" s="208">
        <f t="shared" si="8"/>
        <v>0</v>
      </c>
      <c r="AE28" s="208">
        <v>0</v>
      </c>
      <c r="AH28" s="208">
        <v>0</v>
      </c>
      <c r="AI28" s="223">
        <f>65000000+203000000</f>
        <v>268000000</v>
      </c>
      <c r="AJ28" s="224">
        <v>3.95E-2</v>
      </c>
      <c r="AK28" s="208">
        <f t="shared" si="9"/>
        <v>29405.555555555555</v>
      </c>
      <c r="AL28" s="223">
        <f t="shared" si="52"/>
        <v>12000000</v>
      </c>
      <c r="AM28" s="224">
        <v>3.9800000000000002E-2</v>
      </c>
      <c r="AN28" s="208">
        <f t="shared" si="10"/>
        <v>1326.6666666666667</v>
      </c>
      <c r="AO28" s="223"/>
      <c r="AP28" s="224"/>
      <c r="AQ28" s="208">
        <f t="shared" si="11"/>
        <v>0</v>
      </c>
      <c r="AR28" s="223"/>
      <c r="AS28" s="224"/>
      <c r="AT28" s="208">
        <f t="shared" si="12"/>
        <v>0</v>
      </c>
      <c r="AW28" s="208">
        <f t="shared" si="13"/>
        <v>0</v>
      </c>
      <c r="AZ28" s="208">
        <f t="shared" si="14"/>
        <v>0</v>
      </c>
      <c r="BC28" s="208">
        <f t="shared" si="15"/>
        <v>0</v>
      </c>
      <c r="BF28" s="208">
        <f t="shared" si="16"/>
        <v>0</v>
      </c>
      <c r="BI28" s="208">
        <f t="shared" si="17"/>
        <v>0</v>
      </c>
      <c r="BL28" s="208">
        <f t="shared" si="18"/>
        <v>0</v>
      </c>
      <c r="BO28" s="208">
        <f t="shared" si="19"/>
        <v>0</v>
      </c>
      <c r="BR28" s="208">
        <f t="shared" si="20"/>
        <v>0</v>
      </c>
      <c r="BU28" s="208">
        <f t="shared" si="21"/>
        <v>0</v>
      </c>
      <c r="BX28" s="208">
        <f t="shared" si="22"/>
        <v>0</v>
      </c>
      <c r="CA28" s="208">
        <f t="shared" si="23"/>
        <v>0</v>
      </c>
      <c r="CD28" s="208">
        <f t="shared" si="24"/>
        <v>0</v>
      </c>
      <c r="CG28" s="208">
        <f t="shared" si="25"/>
        <v>0</v>
      </c>
      <c r="CJ28" s="208">
        <f t="shared" si="26"/>
        <v>0</v>
      </c>
      <c r="CM28" s="208">
        <f t="shared" si="27"/>
        <v>0</v>
      </c>
      <c r="CP28" s="208">
        <f t="shared" si="28"/>
        <v>0</v>
      </c>
      <c r="CS28" s="208">
        <f t="shared" si="29"/>
        <v>0</v>
      </c>
      <c r="CV28" s="208">
        <f t="shared" si="30"/>
        <v>0</v>
      </c>
      <c r="CY28" s="208">
        <f t="shared" si="31"/>
        <v>0</v>
      </c>
      <c r="DB28" s="208">
        <f t="shared" si="32"/>
        <v>0</v>
      </c>
      <c r="DE28" s="208">
        <f t="shared" si="33"/>
        <v>0</v>
      </c>
      <c r="DH28" s="208">
        <f t="shared" si="34"/>
        <v>0</v>
      </c>
      <c r="DK28" s="208">
        <f t="shared" si="35"/>
        <v>0</v>
      </c>
      <c r="DN28" s="208">
        <f t="shared" si="36"/>
        <v>0</v>
      </c>
      <c r="DQ28" s="208">
        <f t="shared" si="37"/>
        <v>0</v>
      </c>
      <c r="DT28" s="208">
        <f t="shared" si="38"/>
        <v>0</v>
      </c>
      <c r="DW28" s="208">
        <f t="shared" si="39"/>
        <v>0</v>
      </c>
      <c r="DZ28" s="208"/>
      <c r="EA28" s="208"/>
      <c r="EB28" s="228">
        <f t="shared" si="40"/>
        <v>280000000</v>
      </c>
      <c r="EC28" s="228">
        <f t="shared" si="41"/>
        <v>0</v>
      </c>
      <c r="ED28" s="208">
        <f t="shared" si="42"/>
        <v>30732.222222222223</v>
      </c>
      <c r="EE28" s="209">
        <f t="shared" si="43"/>
        <v>3.9512857142857141E-2</v>
      </c>
      <c r="EG28" s="228">
        <f t="shared" si="44"/>
        <v>0</v>
      </c>
      <c r="EH28" s="208">
        <f t="shared" si="45"/>
        <v>0</v>
      </c>
      <c r="EI28" s="209">
        <f t="shared" si="46"/>
        <v>0</v>
      </c>
      <c r="EJ28" s="209"/>
      <c r="EK28" s="228">
        <f t="shared" si="47"/>
        <v>280000000</v>
      </c>
      <c r="EL28" s="228">
        <f t="shared" si="48"/>
        <v>0</v>
      </c>
      <c r="EM28" s="228">
        <f t="shared" si="49"/>
        <v>30732.222222222223</v>
      </c>
      <c r="EN28" s="209">
        <f t="shared" si="50"/>
        <v>3.9512857142857141E-2</v>
      </c>
      <c r="EP28" s="208"/>
    </row>
    <row r="29" spans="1:146" x14ac:dyDescent="0.25">
      <c r="A29" s="222">
        <f t="shared" si="51"/>
        <v>46131</v>
      </c>
      <c r="B29" s="208">
        <v>0</v>
      </c>
      <c r="C29" s="209">
        <v>3.9511089999999999E-2</v>
      </c>
      <c r="D29" s="208">
        <f t="shared" si="0"/>
        <v>0</v>
      </c>
      <c r="G29" s="208">
        <f t="shared" si="1"/>
        <v>0</v>
      </c>
      <c r="J29" s="208">
        <f t="shared" si="2"/>
        <v>0</v>
      </c>
      <c r="M29" s="208">
        <f t="shared" si="3"/>
        <v>0</v>
      </c>
      <c r="P29" s="208">
        <f t="shared" si="4"/>
        <v>0</v>
      </c>
      <c r="S29" s="208">
        <f t="shared" si="5"/>
        <v>0</v>
      </c>
      <c r="V29" s="208">
        <f t="shared" si="6"/>
        <v>0</v>
      </c>
      <c r="Y29" s="208">
        <f t="shared" si="7"/>
        <v>0</v>
      </c>
      <c r="AB29" s="208">
        <f t="shared" si="8"/>
        <v>0</v>
      </c>
      <c r="AE29" s="208">
        <v>0</v>
      </c>
      <c r="AH29" s="208">
        <v>0</v>
      </c>
      <c r="AI29" s="223">
        <f>65000000+203000000</f>
        <v>268000000</v>
      </c>
      <c r="AJ29" s="224">
        <v>3.95E-2</v>
      </c>
      <c r="AK29" s="208">
        <f t="shared" si="9"/>
        <v>29405.555555555555</v>
      </c>
      <c r="AL29" s="223">
        <f t="shared" si="52"/>
        <v>12000000</v>
      </c>
      <c r="AM29" s="224">
        <v>3.9800000000000002E-2</v>
      </c>
      <c r="AN29" s="208">
        <f t="shared" si="10"/>
        <v>1326.6666666666667</v>
      </c>
      <c r="AO29" s="223"/>
      <c r="AP29" s="224"/>
      <c r="AQ29" s="208">
        <f t="shared" si="11"/>
        <v>0</v>
      </c>
      <c r="AR29" s="223"/>
      <c r="AS29" s="224"/>
      <c r="AT29" s="208">
        <f t="shared" si="12"/>
        <v>0</v>
      </c>
      <c r="AW29" s="208">
        <f t="shared" si="13"/>
        <v>0</v>
      </c>
      <c r="AZ29" s="208">
        <f t="shared" si="14"/>
        <v>0</v>
      </c>
      <c r="BC29" s="208">
        <f t="shared" si="15"/>
        <v>0</v>
      </c>
      <c r="BF29" s="208">
        <f t="shared" si="16"/>
        <v>0</v>
      </c>
      <c r="BI29" s="208">
        <f t="shared" si="17"/>
        <v>0</v>
      </c>
      <c r="BL29" s="208">
        <f t="shared" si="18"/>
        <v>0</v>
      </c>
      <c r="BO29" s="208">
        <f t="shared" si="19"/>
        <v>0</v>
      </c>
      <c r="BR29" s="208">
        <f t="shared" si="20"/>
        <v>0</v>
      </c>
      <c r="BU29" s="208">
        <f t="shared" si="21"/>
        <v>0</v>
      </c>
      <c r="BX29" s="208">
        <f t="shared" si="22"/>
        <v>0</v>
      </c>
      <c r="CA29" s="208">
        <f t="shared" si="23"/>
        <v>0</v>
      </c>
      <c r="CD29" s="208">
        <f t="shared" si="24"/>
        <v>0</v>
      </c>
      <c r="CG29" s="208">
        <f t="shared" si="25"/>
        <v>0</v>
      </c>
      <c r="CJ29" s="208">
        <f t="shared" si="26"/>
        <v>0</v>
      </c>
      <c r="CM29" s="208">
        <f t="shared" si="27"/>
        <v>0</v>
      </c>
      <c r="CP29" s="208">
        <f t="shared" si="28"/>
        <v>0</v>
      </c>
      <c r="CS29" s="208">
        <f t="shared" si="29"/>
        <v>0</v>
      </c>
      <c r="CV29" s="208">
        <f t="shared" si="30"/>
        <v>0</v>
      </c>
      <c r="CY29" s="208">
        <f t="shared" si="31"/>
        <v>0</v>
      </c>
      <c r="DB29" s="208">
        <f t="shared" si="32"/>
        <v>0</v>
      </c>
      <c r="DE29" s="208">
        <f t="shared" si="33"/>
        <v>0</v>
      </c>
      <c r="DH29" s="208">
        <f t="shared" si="34"/>
        <v>0</v>
      </c>
      <c r="DK29" s="208">
        <f t="shared" si="35"/>
        <v>0</v>
      </c>
      <c r="DN29" s="208">
        <f t="shared" si="36"/>
        <v>0</v>
      </c>
      <c r="DQ29" s="208">
        <f t="shared" si="37"/>
        <v>0</v>
      </c>
      <c r="DT29" s="208">
        <f t="shared" si="38"/>
        <v>0</v>
      </c>
      <c r="DW29" s="208">
        <f t="shared" si="39"/>
        <v>0</v>
      </c>
      <c r="DZ29" s="208"/>
      <c r="EA29" s="208"/>
      <c r="EB29" s="228">
        <f t="shared" si="40"/>
        <v>280000000</v>
      </c>
      <c r="EC29" s="228">
        <f t="shared" si="41"/>
        <v>0</v>
      </c>
      <c r="ED29" s="208">
        <f t="shared" si="42"/>
        <v>30732.222222222223</v>
      </c>
      <c r="EE29" s="209">
        <f t="shared" si="43"/>
        <v>3.9512857142857141E-2</v>
      </c>
      <c r="EG29" s="228">
        <f t="shared" si="44"/>
        <v>0</v>
      </c>
      <c r="EH29" s="208">
        <f t="shared" si="45"/>
        <v>0</v>
      </c>
      <c r="EI29" s="209">
        <f t="shared" si="46"/>
        <v>0</v>
      </c>
      <c r="EJ29" s="209"/>
      <c r="EK29" s="228">
        <f t="shared" si="47"/>
        <v>280000000</v>
      </c>
      <c r="EL29" s="228">
        <f t="shared" si="48"/>
        <v>0</v>
      </c>
      <c r="EM29" s="228">
        <f t="shared" si="49"/>
        <v>30732.222222222223</v>
      </c>
      <c r="EN29" s="209">
        <f t="shared" si="50"/>
        <v>3.9512857142857141E-2</v>
      </c>
      <c r="EP29" s="208"/>
    </row>
    <row r="30" spans="1:146" x14ac:dyDescent="0.25">
      <c r="A30" s="222">
        <f t="shared" si="51"/>
        <v>46132</v>
      </c>
      <c r="B30" s="208">
        <v>0</v>
      </c>
      <c r="C30" s="209">
        <v>3.953015E-2</v>
      </c>
      <c r="D30" s="208">
        <f t="shared" si="0"/>
        <v>0</v>
      </c>
      <c r="G30" s="208">
        <f t="shared" si="1"/>
        <v>0</v>
      </c>
      <c r="J30" s="208">
        <f t="shared" si="2"/>
        <v>0</v>
      </c>
      <c r="M30" s="208">
        <f t="shared" si="3"/>
        <v>0</v>
      </c>
      <c r="P30" s="208">
        <f t="shared" si="4"/>
        <v>0</v>
      </c>
      <c r="S30" s="208">
        <f t="shared" si="5"/>
        <v>0</v>
      </c>
      <c r="V30" s="208">
        <f t="shared" si="6"/>
        <v>0</v>
      </c>
      <c r="Y30" s="208">
        <f t="shared" si="7"/>
        <v>0</v>
      </c>
      <c r="AB30" s="208">
        <f t="shared" si="8"/>
        <v>0</v>
      </c>
      <c r="AE30" s="208">
        <v>0</v>
      </c>
      <c r="AH30" s="208">
        <v>0</v>
      </c>
      <c r="AI30" s="223">
        <f>120000000+16450000+130000000</f>
        <v>266450000</v>
      </c>
      <c r="AJ30" s="224">
        <v>3.95E-2</v>
      </c>
      <c r="AK30" s="208">
        <f t="shared" si="9"/>
        <v>29235.486111111109</v>
      </c>
      <c r="AL30" s="223">
        <f t="shared" si="52"/>
        <v>12000000</v>
      </c>
      <c r="AM30" s="224">
        <v>3.9800000000000002E-2</v>
      </c>
      <c r="AN30" s="208">
        <f t="shared" si="10"/>
        <v>1326.6666666666667</v>
      </c>
      <c r="AO30" s="223"/>
      <c r="AP30" s="224"/>
      <c r="AQ30" s="208">
        <f t="shared" si="11"/>
        <v>0</v>
      </c>
      <c r="AR30" s="223"/>
      <c r="AS30" s="224"/>
      <c r="AT30" s="208">
        <f t="shared" si="12"/>
        <v>0</v>
      </c>
      <c r="AW30" s="208">
        <f t="shared" si="13"/>
        <v>0</v>
      </c>
      <c r="AZ30" s="208">
        <f t="shared" si="14"/>
        <v>0</v>
      </c>
      <c r="BC30" s="208">
        <f t="shared" si="15"/>
        <v>0</v>
      </c>
      <c r="BF30" s="208">
        <f t="shared" si="16"/>
        <v>0</v>
      </c>
      <c r="BI30" s="208">
        <f t="shared" si="17"/>
        <v>0</v>
      </c>
      <c r="BL30" s="208">
        <f t="shared" si="18"/>
        <v>0</v>
      </c>
      <c r="BO30" s="208">
        <f t="shared" si="19"/>
        <v>0</v>
      </c>
      <c r="BR30" s="208">
        <f t="shared" si="20"/>
        <v>0</v>
      </c>
      <c r="BU30" s="208">
        <f t="shared" si="21"/>
        <v>0</v>
      </c>
      <c r="BX30" s="208">
        <f t="shared" si="22"/>
        <v>0</v>
      </c>
      <c r="CA30" s="208">
        <f t="shared" si="23"/>
        <v>0</v>
      </c>
      <c r="CD30" s="208">
        <f t="shared" si="24"/>
        <v>0</v>
      </c>
      <c r="CG30" s="208">
        <f t="shared" si="25"/>
        <v>0</v>
      </c>
      <c r="CJ30" s="208">
        <f t="shared" si="26"/>
        <v>0</v>
      </c>
      <c r="CM30" s="208">
        <f t="shared" si="27"/>
        <v>0</v>
      </c>
      <c r="CP30" s="208">
        <f t="shared" si="28"/>
        <v>0</v>
      </c>
      <c r="CS30" s="208">
        <f t="shared" si="29"/>
        <v>0</v>
      </c>
      <c r="CV30" s="208">
        <f t="shared" si="30"/>
        <v>0</v>
      </c>
      <c r="CY30" s="208">
        <f t="shared" si="31"/>
        <v>0</v>
      </c>
      <c r="DB30" s="208">
        <f t="shared" si="32"/>
        <v>0</v>
      </c>
      <c r="DE30" s="208">
        <f t="shared" si="33"/>
        <v>0</v>
      </c>
      <c r="DH30" s="208">
        <f t="shared" si="34"/>
        <v>0</v>
      </c>
      <c r="DK30" s="208">
        <f t="shared" si="35"/>
        <v>0</v>
      </c>
      <c r="DN30" s="208">
        <f t="shared" si="36"/>
        <v>0</v>
      </c>
      <c r="DQ30" s="208">
        <f t="shared" si="37"/>
        <v>0</v>
      </c>
      <c r="DT30" s="208">
        <f t="shared" si="38"/>
        <v>0</v>
      </c>
      <c r="DW30" s="208">
        <f t="shared" si="39"/>
        <v>0</v>
      </c>
      <c r="DZ30" s="208"/>
      <c r="EA30" s="208"/>
      <c r="EB30" s="228">
        <f t="shared" si="40"/>
        <v>278450000</v>
      </c>
      <c r="EC30" s="228">
        <f t="shared" si="41"/>
        <v>0</v>
      </c>
      <c r="ED30" s="208">
        <f t="shared" si="42"/>
        <v>30562.152777777777</v>
      </c>
      <c r="EE30" s="209">
        <f t="shared" si="43"/>
        <v>3.9512928712515709E-2</v>
      </c>
      <c r="EG30" s="228">
        <f t="shared" si="44"/>
        <v>0</v>
      </c>
      <c r="EH30" s="208">
        <f t="shared" si="45"/>
        <v>0</v>
      </c>
      <c r="EI30" s="209">
        <f t="shared" si="46"/>
        <v>0</v>
      </c>
      <c r="EJ30" s="209"/>
      <c r="EK30" s="228">
        <f t="shared" si="47"/>
        <v>278450000</v>
      </c>
      <c r="EL30" s="228">
        <f t="shared" si="48"/>
        <v>0</v>
      </c>
      <c r="EM30" s="228">
        <f t="shared" si="49"/>
        <v>30562.152777777777</v>
      </c>
      <c r="EN30" s="209">
        <f t="shared" si="50"/>
        <v>3.9512928712515709E-2</v>
      </c>
      <c r="EP30" s="208"/>
    </row>
    <row r="31" spans="1:146" x14ac:dyDescent="0.25">
      <c r="A31" s="222">
        <f t="shared" si="51"/>
        <v>46133</v>
      </c>
      <c r="B31" s="208">
        <v>0</v>
      </c>
      <c r="C31" s="209">
        <v>3.9564249999999995E-2</v>
      </c>
      <c r="D31" s="208">
        <f t="shared" si="0"/>
        <v>0</v>
      </c>
      <c r="G31" s="208">
        <f t="shared" si="1"/>
        <v>0</v>
      </c>
      <c r="J31" s="208">
        <f t="shared" si="2"/>
        <v>0</v>
      </c>
      <c r="M31" s="208">
        <f t="shared" si="3"/>
        <v>0</v>
      </c>
      <c r="P31" s="208">
        <f t="shared" si="4"/>
        <v>0</v>
      </c>
      <c r="S31" s="208">
        <f t="shared" si="5"/>
        <v>0</v>
      </c>
      <c r="V31" s="208">
        <f t="shared" si="6"/>
        <v>0</v>
      </c>
      <c r="Y31" s="208">
        <f t="shared" si="7"/>
        <v>0</v>
      </c>
      <c r="AB31" s="208">
        <f t="shared" si="8"/>
        <v>0</v>
      </c>
      <c r="AE31" s="208">
        <v>0</v>
      </c>
      <c r="AH31" s="208">
        <v>0</v>
      </c>
      <c r="AI31" s="223">
        <f>179076000+50000000</f>
        <v>229076000</v>
      </c>
      <c r="AJ31" s="224">
        <v>3.95E-2</v>
      </c>
      <c r="AK31" s="208">
        <f t="shared" si="9"/>
        <v>25134.727777777778</v>
      </c>
      <c r="AL31" s="223">
        <f t="shared" si="52"/>
        <v>12000000</v>
      </c>
      <c r="AM31" s="224">
        <v>3.9800000000000002E-2</v>
      </c>
      <c r="AN31" s="208">
        <f t="shared" si="10"/>
        <v>1326.6666666666667</v>
      </c>
      <c r="AO31" s="223">
        <f t="shared" ref="AO31:AO37" si="53">10000000+10924000</f>
        <v>20924000</v>
      </c>
      <c r="AP31" s="224">
        <v>3.9800000000000002E-2</v>
      </c>
      <c r="AQ31" s="208">
        <f t="shared" si="11"/>
        <v>2313.2644444444445</v>
      </c>
      <c r="AR31" s="223">
        <f>7600000</f>
        <v>7600000</v>
      </c>
      <c r="AS31" s="224">
        <v>3.9E-2</v>
      </c>
      <c r="AT31" s="208">
        <f t="shared" si="12"/>
        <v>823.33333333333337</v>
      </c>
      <c r="AW31" s="208">
        <f t="shared" si="13"/>
        <v>0</v>
      </c>
      <c r="AZ31" s="208">
        <f t="shared" si="14"/>
        <v>0</v>
      </c>
      <c r="BC31" s="208">
        <f t="shared" si="15"/>
        <v>0</v>
      </c>
      <c r="BF31" s="208">
        <f t="shared" si="16"/>
        <v>0</v>
      </c>
      <c r="BI31" s="208">
        <f t="shared" si="17"/>
        <v>0</v>
      </c>
      <c r="BL31" s="208">
        <f t="shared" si="18"/>
        <v>0</v>
      </c>
      <c r="BO31" s="208">
        <f t="shared" si="19"/>
        <v>0</v>
      </c>
      <c r="BR31" s="208">
        <f t="shared" si="20"/>
        <v>0</v>
      </c>
      <c r="BU31" s="208">
        <f t="shared" si="21"/>
        <v>0</v>
      </c>
      <c r="BX31" s="208">
        <f t="shared" si="22"/>
        <v>0</v>
      </c>
      <c r="CA31" s="208">
        <f t="shared" si="23"/>
        <v>0</v>
      </c>
      <c r="CD31" s="208">
        <f t="shared" si="24"/>
        <v>0</v>
      </c>
      <c r="CG31" s="208">
        <f t="shared" si="25"/>
        <v>0</v>
      </c>
      <c r="CJ31" s="208">
        <f t="shared" si="26"/>
        <v>0</v>
      </c>
      <c r="CM31" s="208">
        <f t="shared" si="27"/>
        <v>0</v>
      </c>
      <c r="CP31" s="208">
        <f t="shared" si="28"/>
        <v>0</v>
      </c>
      <c r="CS31" s="208">
        <f t="shared" si="29"/>
        <v>0</v>
      </c>
      <c r="CV31" s="208">
        <f t="shared" si="30"/>
        <v>0</v>
      </c>
      <c r="CY31" s="208">
        <f t="shared" si="31"/>
        <v>0</v>
      </c>
      <c r="DB31" s="208">
        <f t="shared" si="32"/>
        <v>0</v>
      </c>
      <c r="DE31" s="208">
        <f t="shared" si="33"/>
        <v>0</v>
      </c>
      <c r="DH31" s="208">
        <f t="shared" si="34"/>
        <v>0</v>
      </c>
      <c r="DK31" s="208">
        <f t="shared" si="35"/>
        <v>0</v>
      </c>
      <c r="DN31" s="208">
        <f t="shared" si="36"/>
        <v>0</v>
      </c>
      <c r="DQ31" s="208">
        <f t="shared" si="37"/>
        <v>0</v>
      </c>
      <c r="DT31" s="208">
        <f t="shared" si="38"/>
        <v>0</v>
      </c>
      <c r="DW31" s="208">
        <f t="shared" si="39"/>
        <v>0</v>
      </c>
      <c r="DZ31" s="208"/>
      <c r="EA31" s="208"/>
      <c r="EB31" s="228">
        <f t="shared" si="40"/>
        <v>269600000</v>
      </c>
      <c r="EC31" s="228">
        <f t="shared" si="41"/>
        <v>0</v>
      </c>
      <c r="ED31" s="208">
        <f t="shared" si="42"/>
        <v>29597.992222222223</v>
      </c>
      <c r="EE31" s="209">
        <f t="shared" si="43"/>
        <v>3.9522541543026708E-2</v>
      </c>
      <c r="EG31" s="228">
        <f t="shared" si="44"/>
        <v>0</v>
      </c>
      <c r="EH31" s="208">
        <f t="shared" si="45"/>
        <v>0</v>
      </c>
      <c r="EI31" s="209">
        <f t="shared" si="46"/>
        <v>0</v>
      </c>
      <c r="EJ31" s="209"/>
      <c r="EK31" s="228">
        <f t="shared" si="47"/>
        <v>269600000</v>
      </c>
      <c r="EL31" s="228">
        <f t="shared" si="48"/>
        <v>0</v>
      </c>
      <c r="EM31" s="228">
        <f t="shared" si="49"/>
        <v>29597.992222222223</v>
      </c>
      <c r="EN31" s="209">
        <f t="shared" si="50"/>
        <v>3.9522541543026708E-2</v>
      </c>
      <c r="EP31" s="208"/>
    </row>
    <row r="32" spans="1:146" x14ac:dyDescent="0.25">
      <c r="A32" s="222">
        <f t="shared" si="51"/>
        <v>46134</v>
      </c>
      <c r="B32" s="208">
        <v>0</v>
      </c>
      <c r="C32" s="209">
        <v>3.9361239999999999E-2</v>
      </c>
      <c r="D32" s="208">
        <f t="shared" si="0"/>
        <v>0</v>
      </c>
      <c r="G32" s="208">
        <f t="shared" si="1"/>
        <v>0</v>
      </c>
      <c r="J32" s="208">
        <f t="shared" si="2"/>
        <v>0</v>
      </c>
      <c r="M32" s="208">
        <f t="shared" si="3"/>
        <v>0</v>
      </c>
      <c r="P32" s="208">
        <f t="shared" si="4"/>
        <v>0</v>
      </c>
      <c r="S32" s="208">
        <f t="shared" si="5"/>
        <v>0</v>
      </c>
      <c r="V32" s="208">
        <f t="shared" si="6"/>
        <v>0</v>
      </c>
      <c r="Y32" s="208">
        <f t="shared" si="7"/>
        <v>0</v>
      </c>
      <c r="AB32" s="208">
        <f t="shared" si="8"/>
        <v>0</v>
      </c>
      <c r="AE32" s="208">
        <v>0</v>
      </c>
      <c r="AH32" s="208">
        <v>0</v>
      </c>
      <c r="AI32" s="223">
        <f>67692000+24000000+50425000+100000</f>
        <v>142217000</v>
      </c>
      <c r="AJ32" s="224">
        <v>3.9E-2</v>
      </c>
      <c r="AK32" s="208">
        <f t="shared" si="9"/>
        <v>15406.841666666667</v>
      </c>
      <c r="AL32" s="223">
        <f t="shared" si="52"/>
        <v>12000000</v>
      </c>
      <c r="AM32" s="224">
        <v>3.9800000000000002E-2</v>
      </c>
      <c r="AN32" s="208">
        <f t="shared" si="10"/>
        <v>1326.6666666666667</v>
      </c>
      <c r="AO32" s="223">
        <f t="shared" si="53"/>
        <v>20924000</v>
      </c>
      <c r="AP32" s="224">
        <v>3.9800000000000002E-2</v>
      </c>
      <c r="AQ32" s="208">
        <f t="shared" si="11"/>
        <v>2313.2644444444445</v>
      </c>
      <c r="AR32" s="223">
        <f>108000000+1308000</f>
        <v>109308000</v>
      </c>
      <c r="AS32" s="224">
        <v>3.9800000000000002E-2</v>
      </c>
      <c r="AT32" s="208">
        <f t="shared" si="12"/>
        <v>12084.606666666668</v>
      </c>
      <c r="AW32" s="208">
        <f t="shared" si="13"/>
        <v>0</v>
      </c>
      <c r="AZ32" s="208">
        <f t="shared" si="14"/>
        <v>0</v>
      </c>
      <c r="BC32" s="208">
        <f t="shared" si="15"/>
        <v>0</v>
      </c>
      <c r="BF32" s="208">
        <f t="shared" si="16"/>
        <v>0</v>
      </c>
      <c r="BI32" s="208">
        <f t="shared" si="17"/>
        <v>0</v>
      </c>
      <c r="BL32" s="208">
        <f t="shared" si="18"/>
        <v>0</v>
      </c>
      <c r="BO32" s="208">
        <f t="shared" si="19"/>
        <v>0</v>
      </c>
      <c r="BR32" s="208">
        <f t="shared" si="20"/>
        <v>0</v>
      </c>
      <c r="BU32" s="208">
        <f t="shared" si="21"/>
        <v>0</v>
      </c>
      <c r="BX32" s="208">
        <f t="shared" si="22"/>
        <v>0</v>
      </c>
      <c r="CA32" s="208">
        <f t="shared" si="23"/>
        <v>0</v>
      </c>
      <c r="CD32" s="208">
        <f t="shared" si="24"/>
        <v>0</v>
      </c>
      <c r="CG32" s="208">
        <f t="shared" si="25"/>
        <v>0</v>
      </c>
      <c r="CJ32" s="208">
        <f t="shared" si="26"/>
        <v>0</v>
      </c>
      <c r="CM32" s="208">
        <f t="shared" si="27"/>
        <v>0</v>
      </c>
      <c r="CP32" s="208">
        <f t="shared" si="28"/>
        <v>0</v>
      </c>
      <c r="CS32" s="208">
        <f t="shared" si="29"/>
        <v>0</v>
      </c>
      <c r="CV32" s="208">
        <f t="shared" si="30"/>
        <v>0</v>
      </c>
      <c r="CY32" s="208">
        <f t="shared" si="31"/>
        <v>0</v>
      </c>
      <c r="DB32" s="208">
        <f t="shared" si="32"/>
        <v>0</v>
      </c>
      <c r="DE32" s="208">
        <f t="shared" si="33"/>
        <v>0</v>
      </c>
      <c r="DH32" s="208">
        <f t="shared" si="34"/>
        <v>0</v>
      </c>
      <c r="DK32" s="208">
        <f t="shared" si="35"/>
        <v>0</v>
      </c>
      <c r="DN32" s="208">
        <f t="shared" si="36"/>
        <v>0</v>
      </c>
      <c r="DQ32" s="208">
        <f t="shared" si="37"/>
        <v>0</v>
      </c>
      <c r="DT32" s="208">
        <f t="shared" si="38"/>
        <v>0</v>
      </c>
      <c r="DW32" s="208">
        <f t="shared" si="39"/>
        <v>0</v>
      </c>
      <c r="DZ32" s="208"/>
      <c r="EA32" s="208"/>
      <c r="EB32" s="228">
        <f t="shared" si="40"/>
        <v>284449000</v>
      </c>
      <c r="EC32" s="228">
        <f t="shared" si="41"/>
        <v>0</v>
      </c>
      <c r="ED32" s="208">
        <f t="shared" si="42"/>
        <v>31131.37944444445</v>
      </c>
      <c r="EE32" s="209">
        <f t="shared" si="43"/>
        <v>3.9400021093412181E-2</v>
      </c>
      <c r="EG32" s="228">
        <f t="shared" si="44"/>
        <v>0</v>
      </c>
      <c r="EH32" s="208">
        <f t="shared" si="45"/>
        <v>0</v>
      </c>
      <c r="EI32" s="209">
        <f t="shared" si="46"/>
        <v>0</v>
      </c>
      <c r="EJ32" s="209"/>
      <c r="EK32" s="228">
        <f t="shared" si="47"/>
        <v>284449000</v>
      </c>
      <c r="EL32" s="228">
        <f t="shared" si="48"/>
        <v>0</v>
      </c>
      <c r="EM32" s="228">
        <f t="shared" si="49"/>
        <v>31131.379444444447</v>
      </c>
      <c r="EN32" s="209">
        <f t="shared" si="50"/>
        <v>3.9400021093412174E-2</v>
      </c>
      <c r="EP32" s="208"/>
    </row>
    <row r="33" spans="1:146" x14ac:dyDescent="0.25">
      <c r="A33" s="222">
        <f t="shared" si="51"/>
        <v>46135</v>
      </c>
      <c r="B33" s="208">
        <v>0</v>
      </c>
      <c r="C33" s="209">
        <v>3.9335929999999998E-2</v>
      </c>
      <c r="D33" s="208">
        <f t="shared" si="0"/>
        <v>0</v>
      </c>
      <c r="G33" s="208">
        <f t="shared" si="1"/>
        <v>0</v>
      </c>
      <c r="J33" s="208">
        <f t="shared" si="2"/>
        <v>0</v>
      </c>
      <c r="M33" s="208">
        <f t="shared" si="3"/>
        <v>0</v>
      </c>
      <c r="P33" s="208">
        <f t="shared" si="4"/>
        <v>0</v>
      </c>
      <c r="S33" s="208">
        <f t="shared" si="5"/>
        <v>0</v>
      </c>
      <c r="V33" s="208">
        <f t="shared" si="6"/>
        <v>0</v>
      </c>
      <c r="Y33" s="208">
        <f t="shared" si="7"/>
        <v>0</v>
      </c>
      <c r="AB33" s="208">
        <f t="shared" si="8"/>
        <v>0</v>
      </c>
      <c r="AE33" s="208">
        <v>0</v>
      </c>
      <c r="AH33" s="208">
        <v>0</v>
      </c>
      <c r="AI33" s="223">
        <f>60000000+63050000</f>
        <v>123050000</v>
      </c>
      <c r="AJ33" s="224">
        <v>3.9E-2</v>
      </c>
      <c r="AK33" s="208">
        <f t="shared" si="9"/>
        <v>13330.416666666666</v>
      </c>
      <c r="AL33" s="223">
        <f t="shared" si="52"/>
        <v>12000000</v>
      </c>
      <c r="AM33" s="224">
        <v>3.9800000000000002E-2</v>
      </c>
      <c r="AN33" s="208">
        <f t="shared" si="10"/>
        <v>1326.6666666666667</v>
      </c>
      <c r="AO33" s="223">
        <f t="shared" si="53"/>
        <v>20924000</v>
      </c>
      <c r="AP33" s="224">
        <v>3.9800000000000002E-2</v>
      </c>
      <c r="AQ33" s="208">
        <f t="shared" si="11"/>
        <v>2313.2644444444445</v>
      </c>
      <c r="AR33" s="223">
        <f t="shared" ref="AR33:AR38" si="54">108000000+1308000+15000000</f>
        <v>124308000</v>
      </c>
      <c r="AS33" s="224">
        <v>3.9800000000000002E-2</v>
      </c>
      <c r="AT33" s="208">
        <f t="shared" si="12"/>
        <v>13742.94</v>
      </c>
      <c r="AW33" s="208">
        <f t="shared" si="13"/>
        <v>0</v>
      </c>
      <c r="AZ33" s="208">
        <f t="shared" si="14"/>
        <v>0</v>
      </c>
      <c r="BC33" s="208">
        <f t="shared" si="15"/>
        <v>0</v>
      </c>
      <c r="BF33" s="208">
        <f t="shared" si="16"/>
        <v>0</v>
      </c>
      <c r="BI33" s="208">
        <f t="shared" si="17"/>
        <v>0</v>
      </c>
      <c r="BL33" s="208">
        <f t="shared" si="18"/>
        <v>0</v>
      </c>
      <c r="BO33" s="208">
        <f t="shared" si="19"/>
        <v>0</v>
      </c>
      <c r="BR33" s="208">
        <f t="shared" si="20"/>
        <v>0</v>
      </c>
      <c r="BU33" s="208">
        <f t="shared" si="21"/>
        <v>0</v>
      </c>
      <c r="BX33" s="208">
        <f t="shared" si="22"/>
        <v>0</v>
      </c>
      <c r="CA33" s="208">
        <f t="shared" si="23"/>
        <v>0</v>
      </c>
      <c r="CD33" s="208">
        <f t="shared" si="24"/>
        <v>0</v>
      </c>
      <c r="CG33" s="208">
        <f t="shared" si="25"/>
        <v>0</v>
      </c>
      <c r="CJ33" s="208">
        <f t="shared" si="26"/>
        <v>0</v>
      </c>
      <c r="CM33" s="208">
        <f t="shared" si="27"/>
        <v>0</v>
      </c>
      <c r="CP33" s="208">
        <f t="shared" si="28"/>
        <v>0</v>
      </c>
      <c r="CS33" s="208">
        <f t="shared" si="29"/>
        <v>0</v>
      </c>
      <c r="CV33" s="208">
        <f t="shared" si="30"/>
        <v>0</v>
      </c>
      <c r="CY33" s="208">
        <f t="shared" si="31"/>
        <v>0</v>
      </c>
      <c r="DB33" s="208">
        <f t="shared" si="32"/>
        <v>0</v>
      </c>
      <c r="DE33" s="208">
        <f t="shared" si="33"/>
        <v>0</v>
      </c>
      <c r="DH33" s="208">
        <f t="shared" si="34"/>
        <v>0</v>
      </c>
      <c r="DK33" s="208">
        <f t="shared" si="35"/>
        <v>0</v>
      </c>
      <c r="DN33" s="208">
        <f t="shared" si="36"/>
        <v>0</v>
      </c>
      <c r="DQ33" s="208">
        <f t="shared" si="37"/>
        <v>0</v>
      </c>
      <c r="DT33" s="208">
        <f t="shared" si="38"/>
        <v>0</v>
      </c>
      <c r="DW33" s="208">
        <f t="shared" si="39"/>
        <v>0</v>
      </c>
      <c r="DZ33" s="208"/>
      <c r="EA33" s="208"/>
      <c r="EB33" s="228">
        <f t="shared" si="40"/>
        <v>280282000</v>
      </c>
      <c r="EC33" s="228">
        <f t="shared" si="41"/>
        <v>0</v>
      </c>
      <c r="ED33" s="208">
        <f t="shared" si="42"/>
        <v>30713.287777777776</v>
      </c>
      <c r="EE33" s="209">
        <f t="shared" si="43"/>
        <v>3.9448782297828611E-2</v>
      </c>
      <c r="EG33" s="228">
        <f t="shared" si="44"/>
        <v>0</v>
      </c>
      <c r="EH33" s="208">
        <f t="shared" si="45"/>
        <v>0</v>
      </c>
      <c r="EI33" s="209">
        <f t="shared" si="46"/>
        <v>0</v>
      </c>
      <c r="EJ33" s="209"/>
      <c r="EK33" s="228">
        <f t="shared" si="47"/>
        <v>280282000</v>
      </c>
      <c r="EL33" s="228">
        <f t="shared" si="48"/>
        <v>0</v>
      </c>
      <c r="EM33" s="228">
        <f t="shared" si="49"/>
        <v>30713.287777777776</v>
      </c>
      <c r="EN33" s="209">
        <f t="shared" si="50"/>
        <v>3.9448782297828611E-2</v>
      </c>
      <c r="EP33" s="208"/>
    </row>
    <row r="34" spans="1:146" x14ac:dyDescent="0.25">
      <c r="A34" s="222">
        <f t="shared" si="51"/>
        <v>46136</v>
      </c>
      <c r="B34" s="208">
        <v>0</v>
      </c>
      <c r="C34" s="209">
        <v>3.9333659999999999E-2</v>
      </c>
      <c r="D34" s="208">
        <f t="shared" si="0"/>
        <v>0</v>
      </c>
      <c r="G34" s="208">
        <f t="shared" si="1"/>
        <v>0</v>
      </c>
      <c r="J34" s="208">
        <f t="shared" si="2"/>
        <v>0</v>
      </c>
      <c r="M34" s="208">
        <f t="shared" si="3"/>
        <v>0</v>
      </c>
      <c r="P34" s="208">
        <f t="shared" si="4"/>
        <v>0</v>
      </c>
      <c r="S34" s="208">
        <f t="shared" si="5"/>
        <v>0</v>
      </c>
      <c r="V34" s="208">
        <f t="shared" si="6"/>
        <v>0</v>
      </c>
      <c r="Y34" s="208">
        <f t="shared" si="7"/>
        <v>0</v>
      </c>
      <c r="AB34" s="208">
        <f t="shared" si="8"/>
        <v>0</v>
      </c>
      <c r="AE34" s="208">
        <v>0</v>
      </c>
      <c r="AH34" s="208">
        <v>0</v>
      </c>
      <c r="AI34" s="223">
        <f>60000000+62025000</f>
        <v>122025000</v>
      </c>
      <c r="AJ34" s="224">
        <v>3.9E-2</v>
      </c>
      <c r="AK34" s="208">
        <f t="shared" si="9"/>
        <v>13219.375</v>
      </c>
      <c r="AL34" s="223">
        <f>15000000</f>
        <v>15000000</v>
      </c>
      <c r="AM34" s="224">
        <v>3.95E-2</v>
      </c>
      <c r="AN34" s="208">
        <f t="shared" si="10"/>
        <v>1645.8333333333333</v>
      </c>
      <c r="AO34" s="223">
        <f t="shared" si="53"/>
        <v>20924000</v>
      </c>
      <c r="AP34" s="224">
        <v>3.9800000000000002E-2</v>
      </c>
      <c r="AQ34" s="208">
        <f t="shared" si="11"/>
        <v>2313.2644444444445</v>
      </c>
      <c r="AR34" s="223">
        <f t="shared" si="54"/>
        <v>124308000</v>
      </c>
      <c r="AS34" s="224">
        <v>3.9800000000000002E-2</v>
      </c>
      <c r="AT34" s="208">
        <f t="shared" si="12"/>
        <v>13742.94</v>
      </c>
      <c r="AW34" s="208">
        <f t="shared" si="13"/>
        <v>0</v>
      </c>
      <c r="AZ34" s="208">
        <f t="shared" si="14"/>
        <v>0</v>
      </c>
      <c r="BC34" s="208">
        <f t="shared" si="15"/>
        <v>0</v>
      </c>
      <c r="BF34" s="208">
        <f t="shared" si="16"/>
        <v>0</v>
      </c>
      <c r="BI34" s="208">
        <f t="shared" si="17"/>
        <v>0</v>
      </c>
      <c r="BL34" s="208">
        <f t="shared" si="18"/>
        <v>0</v>
      </c>
      <c r="BO34" s="208">
        <f t="shared" si="19"/>
        <v>0</v>
      </c>
      <c r="BR34" s="208">
        <f t="shared" si="20"/>
        <v>0</v>
      </c>
      <c r="BU34" s="208">
        <f t="shared" si="21"/>
        <v>0</v>
      </c>
      <c r="BX34" s="208">
        <f t="shared" si="22"/>
        <v>0</v>
      </c>
      <c r="CA34" s="208">
        <f t="shared" si="23"/>
        <v>0</v>
      </c>
      <c r="CD34" s="208">
        <f t="shared" si="24"/>
        <v>0</v>
      </c>
      <c r="CG34" s="208">
        <f t="shared" si="25"/>
        <v>0</v>
      </c>
      <c r="CJ34" s="208">
        <f t="shared" si="26"/>
        <v>0</v>
      </c>
      <c r="CM34" s="208">
        <f t="shared" si="27"/>
        <v>0</v>
      </c>
      <c r="CP34" s="208">
        <f t="shared" si="28"/>
        <v>0</v>
      </c>
      <c r="CS34" s="208">
        <f t="shared" si="29"/>
        <v>0</v>
      </c>
      <c r="CV34" s="208">
        <f t="shared" si="30"/>
        <v>0</v>
      </c>
      <c r="CY34" s="208">
        <f t="shared" si="31"/>
        <v>0</v>
      </c>
      <c r="DB34" s="208">
        <f t="shared" si="32"/>
        <v>0</v>
      </c>
      <c r="DE34" s="208">
        <f t="shared" si="33"/>
        <v>0</v>
      </c>
      <c r="DH34" s="208">
        <f t="shared" si="34"/>
        <v>0</v>
      </c>
      <c r="DK34" s="208">
        <f t="shared" si="35"/>
        <v>0</v>
      </c>
      <c r="DN34" s="208">
        <f t="shared" si="36"/>
        <v>0</v>
      </c>
      <c r="DQ34" s="208">
        <f t="shared" si="37"/>
        <v>0</v>
      </c>
      <c r="DT34" s="208">
        <f t="shared" si="38"/>
        <v>0</v>
      </c>
      <c r="DW34" s="208">
        <f t="shared" si="39"/>
        <v>0</v>
      </c>
      <c r="DZ34" s="208"/>
      <c r="EA34" s="208"/>
      <c r="EB34" s="228">
        <f t="shared" si="40"/>
        <v>282257000</v>
      </c>
      <c r="EC34" s="228">
        <f t="shared" si="41"/>
        <v>0</v>
      </c>
      <c r="ED34" s="208">
        <f t="shared" si="42"/>
        <v>30921.412777777776</v>
      </c>
      <c r="EE34" s="209">
        <f t="shared" si="43"/>
        <v>3.9438202064076354E-2</v>
      </c>
      <c r="EG34" s="228">
        <f t="shared" si="44"/>
        <v>0</v>
      </c>
      <c r="EH34" s="208">
        <f t="shared" si="45"/>
        <v>0</v>
      </c>
      <c r="EI34" s="209">
        <f t="shared" si="46"/>
        <v>0</v>
      </c>
      <c r="EJ34" s="209"/>
      <c r="EK34" s="228">
        <f t="shared" si="47"/>
        <v>282257000</v>
      </c>
      <c r="EL34" s="228">
        <f t="shared" si="48"/>
        <v>0</v>
      </c>
      <c r="EM34" s="228">
        <f t="shared" si="49"/>
        <v>30921.412777777779</v>
      </c>
      <c r="EN34" s="209">
        <f t="shared" si="50"/>
        <v>3.9438202064076354E-2</v>
      </c>
      <c r="EP34" s="208"/>
    </row>
    <row r="35" spans="1:146" x14ac:dyDescent="0.25">
      <c r="A35" s="222">
        <f t="shared" si="51"/>
        <v>46137</v>
      </c>
      <c r="B35" s="208">
        <v>0</v>
      </c>
      <c r="C35" s="209">
        <v>3.9333659999999999E-2</v>
      </c>
      <c r="D35" s="208">
        <f t="shared" si="0"/>
        <v>0</v>
      </c>
      <c r="G35" s="208">
        <f t="shared" si="1"/>
        <v>0</v>
      </c>
      <c r="J35" s="208">
        <f t="shared" si="2"/>
        <v>0</v>
      </c>
      <c r="M35" s="208">
        <f t="shared" si="3"/>
        <v>0</v>
      </c>
      <c r="P35" s="208">
        <f t="shared" si="4"/>
        <v>0</v>
      </c>
      <c r="S35" s="208">
        <f t="shared" si="5"/>
        <v>0</v>
      </c>
      <c r="V35" s="208">
        <f t="shared" si="6"/>
        <v>0</v>
      </c>
      <c r="Y35" s="208">
        <f t="shared" si="7"/>
        <v>0</v>
      </c>
      <c r="AB35" s="208">
        <f t="shared" si="8"/>
        <v>0</v>
      </c>
      <c r="AE35" s="208">
        <v>0</v>
      </c>
      <c r="AH35" s="208">
        <v>0</v>
      </c>
      <c r="AI35" s="223">
        <v>122025000</v>
      </c>
      <c r="AJ35" s="224">
        <v>3.9E-2</v>
      </c>
      <c r="AK35" s="208">
        <f t="shared" si="9"/>
        <v>13219.375</v>
      </c>
      <c r="AL35" s="223">
        <f>15000000</f>
        <v>15000000</v>
      </c>
      <c r="AM35" s="224">
        <v>3.95E-2</v>
      </c>
      <c r="AN35" s="208">
        <f t="shared" si="10"/>
        <v>1645.8333333333333</v>
      </c>
      <c r="AO35" s="223">
        <f t="shared" si="53"/>
        <v>20924000</v>
      </c>
      <c r="AP35" s="224">
        <v>3.9800000000000002E-2</v>
      </c>
      <c r="AQ35" s="208">
        <f t="shared" si="11"/>
        <v>2313.2644444444445</v>
      </c>
      <c r="AR35" s="223">
        <f t="shared" si="54"/>
        <v>124308000</v>
      </c>
      <c r="AS35" s="224">
        <v>3.9800000000000002E-2</v>
      </c>
      <c r="AT35" s="208">
        <f t="shared" si="12"/>
        <v>13742.94</v>
      </c>
      <c r="AW35" s="208">
        <f t="shared" si="13"/>
        <v>0</v>
      </c>
      <c r="AZ35" s="208">
        <f t="shared" si="14"/>
        <v>0</v>
      </c>
      <c r="BC35" s="208">
        <f t="shared" si="15"/>
        <v>0</v>
      </c>
      <c r="BF35" s="208">
        <f t="shared" si="16"/>
        <v>0</v>
      </c>
      <c r="BI35" s="208">
        <f t="shared" si="17"/>
        <v>0</v>
      </c>
      <c r="BL35" s="208">
        <f t="shared" si="18"/>
        <v>0</v>
      </c>
      <c r="BO35" s="208">
        <f t="shared" si="19"/>
        <v>0</v>
      </c>
      <c r="BR35" s="208">
        <f t="shared" si="20"/>
        <v>0</v>
      </c>
      <c r="BU35" s="208">
        <f t="shared" si="21"/>
        <v>0</v>
      </c>
      <c r="BX35" s="208">
        <f t="shared" si="22"/>
        <v>0</v>
      </c>
      <c r="CA35" s="208">
        <f t="shared" si="23"/>
        <v>0</v>
      </c>
      <c r="CD35" s="208">
        <f t="shared" si="24"/>
        <v>0</v>
      </c>
      <c r="CG35" s="208">
        <f t="shared" si="25"/>
        <v>0</v>
      </c>
      <c r="CJ35" s="208">
        <f t="shared" si="26"/>
        <v>0</v>
      </c>
      <c r="CM35" s="208">
        <f t="shared" si="27"/>
        <v>0</v>
      </c>
      <c r="CP35" s="208">
        <f t="shared" si="28"/>
        <v>0</v>
      </c>
      <c r="CS35" s="208">
        <f t="shared" si="29"/>
        <v>0</v>
      </c>
      <c r="CV35" s="208">
        <f t="shared" si="30"/>
        <v>0</v>
      </c>
      <c r="CY35" s="208">
        <f t="shared" si="31"/>
        <v>0</v>
      </c>
      <c r="DB35" s="208">
        <f t="shared" si="32"/>
        <v>0</v>
      </c>
      <c r="DE35" s="208">
        <f t="shared" si="33"/>
        <v>0</v>
      </c>
      <c r="DH35" s="208">
        <f t="shared" si="34"/>
        <v>0</v>
      </c>
      <c r="DK35" s="208">
        <f t="shared" si="35"/>
        <v>0</v>
      </c>
      <c r="DN35" s="208">
        <f t="shared" si="36"/>
        <v>0</v>
      </c>
      <c r="DQ35" s="208">
        <f t="shared" si="37"/>
        <v>0</v>
      </c>
      <c r="DT35" s="208">
        <f t="shared" si="38"/>
        <v>0</v>
      </c>
      <c r="DW35" s="208">
        <f t="shared" si="39"/>
        <v>0</v>
      </c>
      <c r="DZ35" s="208"/>
      <c r="EA35" s="208"/>
      <c r="EB35" s="228">
        <f t="shared" si="40"/>
        <v>282257000</v>
      </c>
      <c r="EC35" s="228">
        <f t="shared" si="41"/>
        <v>0</v>
      </c>
      <c r="ED35" s="208">
        <f t="shared" si="42"/>
        <v>30921.412777777776</v>
      </c>
      <c r="EE35" s="209">
        <f t="shared" si="43"/>
        <v>3.9438202064076354E-2</v>
      </c>
      <c r="EG35" s="228">
        <f t="shared" si="44"/>
        <v>0</v>
      </c>
      <c r="EH35" s="208">
        <f t="shared" si="45"/>
        <v>0</v>
      </c>
      <c r="EI35" s="209">
        <f t="shared" si="46"/>
        <v>0</v>
      </c>
      <c r="EJ35" s="209"/>
      <c r="EK35" s="228">
        <f t="shared" si="47"/>
        <v>282257000</v>
      </c>
      <c r="EL35" s="228">
        <f t="shared" si="48"/>
        <v>0</v>
      </c>
      <c r="EM35" s="228">
        <f t="shared" si="49"/>
        <v>30921.412777777779</v>
      </c>
      <c r="EN35" s="209">
        <f t="shared" si="50"/>
        <v>3.9438202064076354E-2</v>
      </c>
      <c r="EP35" s="208"/>
    </row>
    <row r="36" spans="1:146" x14ac:dyDescent="0.25">
      <c r="A36" s="222">
        <f t="shared" si="51"/>
        <v>46138</v>
      </c>
      <c r="B36" s="208">
        <v>0</v>
      </c>
      <c r="C36" s="209">
        <v>3.9333659999999999E-2</v>
      </c>
      <c r="D36" s="208">
        <f t="shared" si="0"/>
        <v>0</v>
      </c>
      <c r="G36" s="208">
        <f t="shared" si="1"/>
        <v>0</v>
      </c>
      <c r="J36" s="208">
        <f t="shared" si="2"/>
        <v>0</v>
      </c>
      <c r="M36" s="208">
        <f t="shared" si="3"/>
        <v>0</v>
      </c>
      <c r="P36" s="208">
        <f t="shared" si="4"/>
        <v>0</v>
      </c>
      <c r="S36" s="208">
        <f t="shared" si="5"/>
        <v>0</v>
      </c>
      <c r="V36" s="208">
        <f t="shared" si="6"/>
        <v>0</v>
      </c>
      <c r="Y36" s="208">
        <f t="shared" si="7"/>
        <v>0</v>
      </c>
      <c r="AB36" s="208">
        <f t="shared" si="8"/>
        <v>0</v>
      </c>
      <c r="AE36" s="208">
        <v>0</v>
      </c>
      <c r="AH36" s="208">
        <v>0</v>
      </c>
      <c r="AI36" s="223">
        <v>122025000</v>
      </c>
      <c r="AJ36" s="224">
        <v>3.9E-2</v>
      </c>
      <c r="AK36" s="208">
        <f t="shared" si="9"/>
        <v>13219.375</v>
      </c>
      <c r="AL36" s="223">
        <f>15000000</f>
        <v>15000000</v>
      </c>
      <c r="AM36" s="224">
        <v>3.95E-2</v>
      </c>
      <c r="AN36" s="208">
        <f t="shared" si="10"/>
        <v>1645.8333333333333</v>
      </c>
      <c r="AO36" s="223">
        <f t="shared" si="53"/>
        <v>20924000</v>
      </c>
      <c r="AP36" s="224">
        <v>3.9800000000000002E-2</v>
      </c>
      <c r="AQ36" s="208">
        <f t="shared" si="11"/>
        <v>2313.2644444444445</v>
      </c>
      <c r="AR36" s="223">
        <f t="shared" si="54"/>
        <v>124308000</v>
      </c>
      <c r="AS36" s="224">
        <v>3.9800000000000002E-2</v>
      </c>
      <c r="AT36" s="208">
        <f t="shared" si="12"/>
        <v>13742.94</v>
      </c>
      <c r="AW36" s="208">
        <f t="shared" si="13"/>
        <v>0</v>
      </c>
      <c r="AZ36" s="208">
        <f t="shared" si="14"/>
        <v>0</v>
      </c>
      <c r="BC36" s="208">
        <f t="shared" si="15"/>
        <v>0</v>
      </c>
      <c r="BF36" s="208">
        <f t="shared" si="16"/>
        <v>0</v>
      </c>
      <c r="BI36" s="208">
        <f t="shared" si="17"/>
        <v>0</v>
      </c>
      <c r="BL36" s="208">
        <f t="shared" si="18"/>
        <v>0</v>
      </c>
      <c r="BO36" s="208">
        <f t="shared" si="19"/>
        <v>0</v>
      </c>
      <c r="BR36" s="208">
        <f t="shared" si="20"/>
        <v>0</v>
      </c>
      <c r="BU36" s="208">
        <f t="shared" si="21"/>
        <v>0</v>
      </c>
      <c r="BX36" s="208">
        <f t="shared" si="22"/>
        <v>0</v>
      </c>
      <c r="CA36" s="208">
        <f t="shared" si="23"/>
        <v>0</v>
      </c>
      <c r="CD36" s="208">
        <f t="shared" si="24"/>
        <v>0</v>
      </c>
      <c r="CG36" s="208">
        <f t="shared" si="25"/>
        <v>0</v>
      </c>
      <c r="CJ36" s="208">
        <f t="shared" si="26"/>
        <v>0</v>
      </c>
      <c r="CM36" s="208">
        <f t="shared" si="27"/>
        <v>0</v>
      </c>
      <c r="CP36" s="208">
        <f t="shared" si="28"/>
        <v>0</v>
      </c>
      <c r="CS36" s="208">
        <f t="shared" si="29"/>
        <v>0</v>
      </c>
      <c r="CV36" s="208">
        <f t="shared" si="30"/>
        <v>0</v>
      </c>
      <c r="CY36" s="208">
        <f t="shared" si="31"/>
        <v>0</v>
      </c>
      <c r="DB36" s="208">
        <f t="shared" si="32"/>
        <v>0</v>
      </c>
      <c r="DE36" s="208">
        <f t="shared" si="33"/>
        <v>0</v>
      </c>
      <c r="DH36" s="208">
        <f t="shared" si="34"/>
        <v>0</v>
      </c>
      <c r="DK36" s="208">
        <f t="shared" si="35"/>
        <v>0</v>
      </c>
      <c r="DN36" s="208">
        <f t="shared" si="36"/>
        <v>0</v>
      </c>
      <c r="DQ36" s="208">
        <f t="shared" si="37"/>
        <v>0</v>
      </c>
      <c r="DT36" s="208">
        <f t="shared" si="38"/>
        <v>0</v>
      </c>
      <c r="DW36" s="208">
        <f t="shared" si="39"/>
        <v>0</v>
      </c>
      <c r="DZ36" s="208"/>
      <c r="EA36" s="208"/>
      <c r="EB36" s="228">
        <f t="shared" si="40"/>
        <v>282257000</v>
      </c>
      <c r="EC36" s="228">
        <f t="shared" si="41"/>
        <v>0</v>
      </c>
      <c r="ED36" s="208">
        <f t="shared" si="42"/>
        <v>30921.412777777776</v>
      </c>
      <c r="EE36" s="209">
        <f t="shared" si="43"/>
        <v>3.9438202064076354E-2</v>
      </c>
      <c r="EG36" s="228">
        <f t="shared" si="44"/>
        <v>0</v>
      </c>
      <c r="EH36" s="208">
        <f t="shared" si="45"/>
        <v>0</v>
      </c>
      <c r="EI36" s="209">
        <f t="shared" si="46"/>
        <v>0</v>
      </c>
      <c r="EJ36" s="209"/>
      <c r="EK36" s="228">
        <f t="shared" si="47"/>
        <v>282257000</v>
      </c>
      <c r="EL36" s="228">
        <f t="shared" si="48"/>
        <v>0</v>
      </c>
      <c r="EM36" s="228">
        <f t="shared" si="49"/>
        <v>30921.412777777779</v>
      </c>
      <c r="EN36" s="209">
        <f t="shared" si="50"/>
        <v>3.9438202064076354E-2</v>
      </c>
      <c r="EP36" s="208"/>
    </row>
    <row r="37" spans="1:146" x14ac:dyDescent="0.25">
      <c r="A37" s="222">
        <f t="shared" si="51"/>
        <v>46139</v>
      </c>
      <c r="B37" s="208">
        <v>0</v>
      </c>
      <c r="C37" s="209">
        <v>3.9280969999999998E-2</v>
      </c>
      <c r="D37" s="208">
        <f t="shared" si="0"/>
        <v>0</v>
      </c>
      <c r="G37" s="208">
        <f t="shared" si="1"/>
        <v>0</v>
      </c>
      <c r="J37" s="208">
        <f t="shared" si="2"/>
        <v>0</v>
      </c>
      <c r="M37" s="208">
        <f t="shared" si="3"/>
        <v>0</v>
      </c>
      <c r="P37" s="208">
        <f t="shared" si="4"/>
        <v>0</v>
      </c>
      <c r="S37" s="208">
        <f t="shared" si="5"/>
        <v>0</v>
      </c>
      <c r="V37" s="208">
        <f t="shared" si="6"/>
        <v>0</v>
      </c>
      <c r="Y37" s="208">
        <f t="shared" si="7"/>
        <v>0</v>
      </c>
      <c r="AB37" s="208">
        <f t="shared" si="8"/>
        <v>0</v>
      </c>
      <c r="AE37" s="208">
        <v>0</v>
      </c>
      <c r="AH37" s="208">
        <v>0</v>
      </c>
      <c r="AI37" s="223">
        <f>30025000+70000000+10000000</f>
        <v>110025000</v>
      </c>
      <c r="AJ37" s="224">
        <v>3.9E-2</v>
      </c>
      <c r="AK37" s="208">
        <f t="shared" si="9"/>
        <v>11919.375</v>
      </c>
      <c r="AL37" s="223">
        <f>15000000+20000000</f>
        <v>35000000</v>
      </c>
      <c r="AM37" s="224">
        <v>3.95E-2</v>
      </c>
      <c r="AN37" s="208">
        <f t="shared" si="10"/>
        <v>3840.2777777777778</v>
      </c>
      <c r="AO37" s="223">
        <f t="shared" si="53"/>
        <v>20924000</v>
      </c>
      <c r="AP37" s="224">
        <v>3.9800000000000002E-2</v>
      </c>
      <c r="AQ37" s="208">
        <f t="shared" si="11"/>
        <v>2313.2644444444445</v>
      </c>
      <c r="AR37" s="223">
        <f t="shared" si="54"/>
        <v>124308000</v>
      </c>
      <c r="AS37" s="224">
        <v>3.9800000000000002E-2</v>
      </c>
      <c r="AT37" s="208">
        <f t="shared" si="12"/>
        <v>13742.94</v>
      </c>
      <c r="AW37" s="208">
        <f t="shared" si="13"/>
        <v>0</v>
      </c>
      <c r="AZ37" s="208">
        <f t="shared" si="14"/>
        <v>0</v>
      </c>
      <c r="BC37" s="208">
        <f t="shared" si="15"/>
        <v>0</v>
      </c>
      <c r="BF37" s="208">
        <f t="shared" si="16"/>
        <v>0</v>
      </c>
      <c r="BI37" s="208">
        <f t="shared" si="17"/>
        <v>0</v>
      </c>
      <c r="BL37" s="208">
        <f t="shared" si="18"/>
        <v>0</v>
      </c>
      <c r="BO37" s="208">
        <f t="shared" si="19"/>
        <v>0</v>
      </c>
      <c r="BR37" s="208">
        <f t="shared" si="20"/>
        <v>0</v>
      </c>
      <c r="BU37" s="208">
        <f t="shared" si="21"/>
        <v>0</v>
      </c>
      <c r="BX37" s="208">
        <f t="shared" si="22"/>
        <v>0</v>
      </c>
      <c r="CA37" s="208">
        <f t="shared" si="23"/>
        <v>0</v>
      </c>
      <c r="CD37" s="208">
        <f t="shared" si="24"/>
        <v>0</v>
      </c>
      <c r="CG37" s="208">
        <f t="shared" si="25"/>
        <v>0</v>
      </c>
      <c r="CJ37" s="208">
        <f t="shared" si="26"/>
        <v>0</v>
      </c>
      <c r="CM37" s="208">
        <f t="shared" si="27"/>
        <v>0</v>
      </c>
      <c r="CP37" s="208">
        <f t="shared" si="28"/>
        <v>0</v>
      </c>
      <c r="CS37" s="208">
        <f t="shared" si="29"/>
        <v>0</v>
      </c>
      <c r="CV37" s="208">
        <f t="shared" si="30"/>
        <v>0</v>
      </c>
      <c r="CY37" s="208">
        <f t="shared" si="31"/>
        <v>0</v>
      </c>
      <c r="DB37" s="208">
        <f t="shared" si="32"/>
        <v>0</v>
      </c>
      <c r="DE37" s="208">
        <f t="shared" si="33"/>
        <v>0</v>
      </c>
      <c r="DH37" s="208">
        <f t="shared" si="34"/>
        <v>0</v>
      </c>
      <c r="DK37" s="208">
        <f t="shared" si="35"/>
        <v>0</v>
      </c>
      <c r="DN37" s="208">
        <f t="shared" si="36"/>
        <v>0</v>
      </c>
      <c r="DQ37" s="208">
        <f t="shared" si="37"/>
        <v>0</v>
      </c>
      <c r="DT37" s="208">
        <f t="shared" si="38"/>
        <v>0</v>
      </c>
      <c r="DW37" s="208">
        <f t="shared" si="39"/>
        <v>0</v>
      </c>
      <c r="DZ37" s="208"/>
      <c r="EA37" s="208"/>
      <c r="EB37" s="228">
        <f t="shared" si="40"/>
        <v>290257000</v>
      </c>
      <c r="EC37" s="228">
        <f t="shared" si="41"/>
        <v>0</v>
      </c>
      <c r="ED37" s="208">
        <f t="shared" si="42"/>
        <v>31815.857222222221</v>
      </c>
      <c r="EE37" s="209">
        <f t="shared" si="43"/>
        <v>3.9460576661372503E-2</v>
      </c>
      <c r="EG37" s="228">
        <f t="shared" si="44"/>
        <v>0</v>
      </c>
      <c r="EH37" s="208">
        <f t="shared" si="45"/>
        <v>0</v>
      </c>
      <c r="EI37" s="209">
        <f t="shared" si="46"/>
        <v>0</v>
      </c>
      <c r="EJ37" s="209"/>
      <c r="EK37" s="228">
        <f t="shared" si="47"/>
        <v>290257000</v>
      </c>
      <c r="EL37" s="228">
        <f t="shared" si="48"/>
        <v>0</v>
      </c>
      <c r="EM37" s="228">
        <f t="shared" si="49"/>
        <v>31815.857222222225</v>
      </c>
      <c r="EN37" s="209">
        <f t="shared" si="50"/>
        <v>3.946057666137251E-2</v>
      </c>
      <c r="EP37" s="208"/>
    </row>
    <row r="38" spans="1:146" x14ac:dyDescent="0.25">
      <c r="A38" s="222">
        <f t="shared" si="51"/>
        <v>46140</v>
      </c>
      <c r="B38" s="208">
        <v>0</v>
      </c>
      <c r="C38" s="209">
        <v>3.9032589999999999E-2</v>
      </c>
      <c r="D38" s="208">
        <f t="shared" si="0"/>
        <v>0</v>
      </c>
      <c r="G38" s="208">
        <f t="shared" si="1"/>
        <v>0</v>
      </c>
      <c r="J38" s="208">
        <f t="shared" si="2"/>
        <v>0</v>
      </c>
      <c r="M38" s="208">
        <f t="shared" si="3"/>
        <v>0</v>
      </c>
      <c r="P38" s="208">
        <f t="shared" si="4"/>
        <v>0</v>
      </c>
      <c r="S38" s="208">
        <f t="shared" si="5"/>
        <v>0</v>
      </c>
      <c r="V38" s="208">
        <f t="shared" si="6"/>
        <v>0</v>
      </c>
      <c r="Y38" s="208">
        <f t="shared" si="7"/>
        <v>0</v>
      </c>
      <c r="AB38" s="208">
        <f t="shared" si="8"/>
        <v>0</v>
      </c>
      <c r="AE38" s="208">
        <v>0</v>
      </c>
      <c r="AH38" s="208">
        <v>0</v>
      </c>
      <c r="AI38" s="223">
        <f>70000000+30000000+74000000</f>
        <v>174000000</v>
      </c>
      <c r="AJ38" s="224">
        <v>3.9E-2</v>
      </c>
      <c r="AK38" s="208">
        <f t="shared" si="9"/>
        <v>18850</v>
      </c>
      <c r="AL38" s="223">
        <f>15000000+20000000</f>
        <v>35000000</v>
      </c>
      <c r="AM38" s="224">
        <v>3.95E-2</v>
      </c>
      <c r="AN38" s="208">
        <f t="shared" si="10"/>
        <v>3840.2777777777778</v>
      </c>
      <c r="AO38" s="223"/>
      <c r="AP38" s="224"/>
      <c r="AQ38" s="208">
        <f t="shared" si="11"/>
        <v>0</v>
      </c>
      <c r="AR38" s="223">
        <f t="shared" si="54"/>
        <v>124308000</v>
      </c>
      <c r="AS38" s="224">
        <v>3.9800000000000002E-2</v>
      </c>
      <c r="AT38" s="208">
        <f t="shared" si="12"/>
        <v>13742.94</v>
      </c>
      <c r="AW38" s="208">
        <f t="shared" si="13"/>
        <v>0</v>
      </c>
      <c r="AZ38" s="208">
        <f t="shared" si="14"/>
        <v>0</v>
      </c>
      <c r="BC38" s="208">
        <f t="shared" si="15"/>
        <v>0</v>
      </c>
      <c r="BF38" s="208">
        <f t="shared" si="16"/>
        <v>0</v>
      </c>
      <c r="BI38" s="208">
        <f t="shared" si="17"/>
        <v>0</v>
      </c>
      <c r="BL38" s="208">
        <f t="shared" si="18"/>
        <v>0</v>
      </c>
      <c r="BO38" s="208">
        <f t="shared" si="19"/>
        <v>0</v>
      </c>
      <c r="BR38" s="208">
        <f t="shared" si="20"/>
        <v>0</v>
      </c>
      <c r="BU38" s="208">
        <f t="shared" si="21"/>
        <v>0</v>
      </c>
      <c r="BX38" s="208">
        <f t="shared" si="22"/>
        <v>0</v>
      </c>
      <c r="CA38" s="208">
        <f t="shared" si="23"/>
        <v>0</v>
      </c>
      <c r="CD38" s="208">
        <f t="shared" si="24"/>
        <v>0</v>
      </c>
      <c r="CG38" s="208">
        <f t="shared" si="25"/>
        <v>0</v>
      </c>
      <c r="CJ38" s="208">
        <f t="shared" si="26"/>
        <v>0</v>
      </c>
      <c r="CM38" s="208">
        <f t="shared" si="27"/>
        <v>0</v>
      </c>
      <c r="CP38" s="208">
        <f t="shared" si="28"/>
        <v>0</v>
      </c>
      <c r="CS38" s="208">
        <f t="shared" si="29"/>
        <v>0</v>
      </c>
      <c r="CV38" s="208">
        <f t="shared" si="30"/>
        <v>0</v>
      </c>
      <c r="CY38" s="208">
        <f t="shared" si="31"/>
        <v>0</v>
      </c>
      <c r="DB38" s="208">
        <f t="shared" si="32"/>
        <v>0</v>
      </c>
      <c r="DE38" s="208">
        <f t="shared" si="33"/>
        <v>0</v>
      </c>
      <c r="DH38" s="208">
        <f t="shared" si="34"/>
        <v>0</v>
      </c>
      <c r="DK38" s="208">
        <f t="shared" si="35"/>
        <v>0</v>
      </c>
      <c r="DN38" s="208">
        <f t="shared" si="36"/>
        <v>0</v>
      </c>
      <c r="DQ38" s="208">
        <f t="shared" si="37"/>
        <v>0</v>
      </c>
      <c r="DT38" s="208">
        <f t="shared" si="38"/>
        <v>0</v>
      </c>
      <c r="DW38" s="208">
        <f t="shared" si="39"/>
        <v>0</v>
      </c>
      <c r="DZ38" s="208"/>
      <c r="EA38" s="208"/>
      <c r="EB38" s="228">
        <f t="shared" si="40"/>
        <v>333308000</v>
      </c>
      <c r="EC38" s="228">
        <f t="shared" si="41"/>
        <v>0</v>
      </c>
      <c r="ED38" s="208">
        <f t="shared" si="42"/>
        <v>36433.217777777776</v>
      </c>
      <c r="EE38" s="209">
        <f t="shared" si="43"/>
        <v>3.9350865865805801E-2</v>
      </c>
      <c r="EG38" s="228">
        <f t="shared" si="44"/>
        <v>0</v>
      </c>
      <c r="EH38" s="208">
        <f t="shared" si="45"/>
        <v>0</v>
      </c>
      <c r="EI38" s="209">
        <f t="shared" si="46"/>
        <v>0</v>
      </c>
      <c r="EJ38" s="209"/>
      <c r="EK38" s="228">
        <f t="shared" si="47"/>
        <v>333308000</v>
      </c>
      <c r="EL38" s="228">
        <f t="shared" si="48"/>
        <v>0</v>
      </c>
      <c r="EM38" s="228">
        <f t="shared" si="49"/>
        <v>36433.217777777783</v>
      </c>
      <c r="EN38" s="209">
        <f t="shared" si="50"/>
        <v>3.9350865865805808E-2</v>
      </c>
      <c r="EP38" s="208"/>
    </row>
    <row r="39" spans="1:146" x14ac:dyDescent="0.25">
      <c r="A39" s="222">
        <f t="shared" si="51"/>
        <v>46141</v>
      </c>
      <c r="B39" s="208">
        <v>0</v>
      </c>
      <c r="C39" s="209">
        <v>3.9049550000000002E-2</v>
      </c>
      <c r="D39" s="208">
        <f t="shared" si="0"/>
        <v>0</v>
      </c>
      <c r="G39" s="208">
        <f t="shared" si="1"/>
        <v>0</v>
      </c>
      <c r="J39" s="208">
        <f t="shared" si="2"/>
        <v>0</v>
      </c>
      <c r="M39" s="208">
        <f t="shared" si="3"/>
        <v>0</v>
      </c>
      <c r="P39" s="208">
        <f t="shared" si="4"/>
        <v>0</v>
      </c>
      <c r="S39" s="208">
        <f t="shared" si="5"/>
        <v>0</v>
      </c>
      <c r="V39" s="208">
        <f t="shared" si="6"/>
        <v>0</v>
      </c>
      <c r="Y39" s="208">
        <f t="shared" si="7"/>
        <v>0</v>
      </c>
      <c r="AB39" s="208">
        <f t="shared" si="8"/>
        <v>0</v>
      </c>
      <c r="AE39" s="208">
        <v>0</v>
      </c>
      <c r="AH39" s="208">
        <v>0</v>
      </c>
      <c r="AI39" s="223">
        <f>70000000+130000000+79950000</f>
        <v>279950000</v>
      </c>
      <c r="AJ39" s="224">
        <v>3.9E-2</v>
      </c>
      <c r="AK39" s="208">
        <f t="shared" si="9"/>
        <v>30327.916666666668</v>
      </c>
      <c r="AL39" s="223">
        <f>15000000+20000000</f>
        <v>35000000</v>
      </c>
      <c r="AM39" s="224">
        <v>3.95E-2</v>
      </c>
      <c r="AN39" s="208">
        <f t="shared" si="10"/>
        <v>3840.2777777777778</v>
      </c>
      <c r="AO39" s="223"/>
      <c r="AP39" s="224"/>
      <c r="AQ39" s="208">
        <f t="shared" si="11"/>
        <v>0</v>
      </c>
      <c r="AR39" s="223">
        <f>15000000</f>
        <v>15000000</v>
      </c>
      <c r="AS39" s="224">
        <v>3.9800000000000002E-2</v>
      </c>
      <c r="AT39" s="208">
        <f t="shared" si="12"/>
        <v>1658.3333333333333</v>
      </c>
      <c r="AW39" s="208">
        <f t="shared" si="13"/>
        <v>0</v>
      </c>
      <c r="AZ39" s="208">
        <f t="shared" si="14"/>
        <v>0</v>
      </c>
      <c r="BC39" s="208">
        <f t="shared" si="15"/>
        <v>0</v>
      </c>
      <c r="BF39" s="208">
        <f t="shared" si="16"/>
        <v>0</v>
      </c>
      <c r="BI39" s="208">
        <f t="shared" si="17"/>
        <v>0</v>
      </c>
      <c r="BL39" s="208">
        <f t="shared" si="18"/>
        <v>0</v>
      </c>
      <c r="BO39" s="208">
        <f t="shared" si="19"/>
        <v>0</v>
      </c>
      <c r="BR39" s="208">
        <f t="shared" si="20"/>
        <v>0</v>
      </c>
      <c r="BU39" s="208">
        <f t="shared" si="21"/>
        <v>0</v>
      </c>
      <c r="BX39" s="208">
        <f t="shared" si="22"/>
        <v>0</v>
      </c>
      <c r="CA39" s="208">
        <f t="shared" si="23"/>
        <v>0</v>
      </c>
      <c r="CD39" s="208">
        <f t="shared" si="24"/>
        <v>0</v>
      </c>
      <c r="CG39" s="208">
        <f t="shared" si="25"/>
        <v>0</v>
      </c>
      <c r="CJ39" s="208">
        <f t="shared" si="26"/>
        <v>0</v>
      </c>
      <c r="CM39" s="208">
        <f t="shared" si="27"/>
        <v>0</v>
      </c>
      <c r="CP39" s="208">
        <f t="shared" si="28"/>
        <v>0</v>
      </c>
      <c r="CS39" s="208">
        <f t="shared" si="29"/>
        <v>0</v>
      </c>
      <c r="CV39" s="208">
        <f t="shared" si="30"/>
        <v>0</v>
      </c>
      <c r="CY39" s="208">
        <f t="shared" si="31"/>
        <v>0</v>
      </c>
      <c r="DB39" s="208">
        <f t="shared" si="32"/>
        <v>0</v>
      </c>
      <c r="DE39" s="208">
        <f t="shared" si="33"/>
        <v>0</v>
      </c>
      <c r="DH39" s="208">
        <f t="shared" si="34"/>
        <v>0</v>
      </c>
      <c r="DK39" s="208">
        <f t="shared" si="35"/>
        <v>0</v>
      </c>
      <c r="DN39" s="208">
        <f t="shared" si="36"/>
        <v>0</v>
      </c>
      <c r="DQ39" s="208">
        <f t="shared" si="37"/>
        <v>0</v>
      </c>
      <c r="DT39" s="208">
        <f t="shared" si="38"/>
        <v>0</v>
      </c>
      <c r="DW39" s="208">
        <f t="shared" si="39"/>
        <v>0</v>
      </c>
      <c r="DZ39" s="208"/>
      <c r="EA39" s="208"/>
      <c r="EB39" s="228">
        <f t="shared" si="40"/>
        <v>329950000</v>
      </c>
      <c r="EC39" s="228">
        <f t="shared" si="41"/>
        <v>0</v>
      </c>
      <c r="ED39" s="208">
        <f t="shared" si="42"/>
        <v>35826.527777777781</v>
      </c>
      <c r="EE39" s="209">
        <f t="shared" si="43"/>
        <v>3.9089407485982726E-2</v>
      </c>
      <c r="EG39" s="228">
        <f t="shared" si="44"/>
        <v>0</v>
      </c>
      <c r="EH39" s="208">
        <f t="shared" si="45"/>
        <v>0</v>
      </c>
      <c r="EI39" s="209">
        <f t="shared" si="46"/>
        <v>0</v>
      </c>
      <c r="EJ39" s="209"/>
      <c r="EK39" s="228">
        <f t="shared" si="47"/>
        <v>329950000</v>
      </c>
      <c r="EL39" s="228">
        <f t="shared" si="48"/>
        <v>0</v>
      </c>
      <c r="EM39" s="228">
        <f t="shared" si="49"/>
        <v>35826.527777777781</v>
      </c>
      <c r="EN39" s="209">
        <f t="shared" si="50"/>
        <v>3.9089407485982726E-2</v>
      </c>
      <c r="EP39" s="208"/>
    </row>
    <row r="40" spans="1:146" x14ac:dyDescent="0.25">
      <c r="A40" s="222">
        <f t="shared" si="51"/>
        <v>46142</v>
      </c>
      <c r="B40" s="208">
        <v>0</v>
      </c>
      <c r="C40" s="209">
        <v>3.9045940000000001E-2</v>
      </c>
      <c r="D40" s="208">
        <f t="shared" si="0"/>
        <v>0</v>
      </c>
      <c r="G40" s="208">
        <f t="shared" si="1"/>
        <v>0</v>
      </c>
      <c r="J40" s="208">
        <f t="shared" si="2"/>
        <v>0</v>
      </c>
      <c r="M40" s="208">
        <f t="shared" si="3"/>
        <v>0</v>
      </c>
      <c r="P40" s="208">
        <f t="shared" si="4"/>
        <v>0</v>
      </c>
      <c r="S40" s="208">
        <f t="shared" si="5"/>
        <v>0</v>
      </c>
      <c r="V40" s="208">
        <f t="shared" si="6"/>
        <v>0</v>
      </c>
      <c r="Y40" s="208">
        <f t="shared" si="7"/>
        <v>0</v>
      </c>
      <c r="AB40" s="208">
        <f t="shared" si="8"/>
        <v>0</v>
      </c>
      <c r="AE40" s="208">
        <v>0</v>
      </c>
      <c r="AH40" s="208">
        <v>0</v>
      </c>
      <c r="AI40" s="223">
        <f>59250000+74736000+86310000</f>
        <v>220296000</v>
      </c>
      <c r="AJ40" s="224">
        <v>3.9E-2</v>
      </c>
      <c r="AK40" s="208">
        <f t="shared" si="9"/>
        <v>23865.4</v>
      </c>
      <c r="AL40" s="223">
        <f>15000000+20000000+15000000+73954000</f>
        <v>123954000</v>
      </c>
      <c r="AM40" s="224">
        <v>3.95E-2</v>
      </c>
      <c r="AN40" s="208">
        <f t="shared" si="10"/>
        <v>13600.508333333333</v>
      </c>
      <c r="AO40" s="223"/>
      <c r="AP40" s="224"/>
      <c r="AQ40" s="208">
        <f t="shared" si="11"/>
        <v>0</v>
      </c>
      <c r="AR40" s="223"/>
      <c r="AS40" s="224"/>
      <c r="AT40" s="208">
        <f t="shared" si="12"/>
        <v>0</v>
      </c>
      <c r="AW40" s="208">
        <f t="shared" si="13"/>
        <v>0</v>
      </c>
      <c r="AZ40" s="208">
        <f t="shared" si="14"/>
        <v>0</v>
      </c>
      <c r="BC40" s="208">
        <f t="shared" si="15"/>
        <v>0</v>
      </c>
      <c r="BF40" s="208">
        <f t="shared" si="16"/>
        <v>0</v>
      </c>
      <c r="BI40" s="208">
        <f t="shared" si="17"/>
        <v>0</v>
      </c>
      <c r="BL40" s="208">
        <f t="shared" si="18"/>
        <v>0</v>
      </c>
      <c r="BO40" s="208">
        <f t="shared" si="19"/>
        <v>0</v>
      </c>
      <c r="BR40" s="208">
        <f t="shared" si="20"/>
        <v>0</v>
      </c>
      <c r="BU40" s="208">
        <f t="shared" si="21"/>
        <v>0</v>
      </c>
      <c r="BX40" s="208">
        <f t="shared" si="22"/>
        <v>0</v>
      </c>
      <c r="CA40" s="208">
        <f t="shared" si="23"/>
        <v>0</v>
      </c>
      <c r="CD40" s="208">
        <f t="shared" si="24"/>
        <v>0</v>
      </c>
      <c r="CG40" s="208">
        <f t="shared" si="25"/>
        <v>0</v>
      </c>
      <c r="CJ40" s="208">
        <f t="shared" si="26"/>
        <v>0</v>
      </c>
      <c r="CM40" s="208">
        <f t="shared" si="27"/>
        <v>0</v>
      </c>
      <c r="CP40" s="208">
        <f t="shared" si="28"/>
        <v>0</v>
      </c>
      <c r="CS40" s="208">
        <f t="shared" si="29"/>
        <v>0</v>
      </c>
      <c r="CV40" s="208">
        <f t="shared" si="30"/>
        <v>0</v>
      </c>
      <c r="CY40" s="208">
        <f t="shared" si="31"/>
        <v>0</v>
      </c>
      <c r="DB40" s="208">
        <f t="shared" si="32"/>
        <v>0</v>
      </c>
      <c r="DE40" s="208">
        <f t="shared" si="33"/>
        <v>0</v>
      </c>
      <c r="DH40" s="208">
        <f t="shared" si="34"/>
        <v>0</v>
      </c>
      <c r="DK40" s="208">
        <f t="shared" si="35"/>
        <v>0</v>
      </c>
      <c r="DN40" s="208">
        <f t="shared" si="36"/>
        <v>0</v>
      </c>
      <c r="DQ40" s="208">
        <f t="shared" si="37"/>
        <v>0</v>
      </c>
      <c r="DT40" s="208">
        <f t="shared" si="38"/>
        <v>0</v>
      </c>
      <c r="DW40" s="208">
        <f t="shared" si="39"/>
        <v>0</v>
      </c>
      <c r="DZ40" s="208"/>
      <c r="EA40" s="208"/>
      <c r="EB40" s="228">
        <f t="shared" si="40"/>
        <v>344250000</v>
      </c>
      <c r="EC40" s="228">
        <f t="shared" si="41"/>
        <v>0</v>
      </c>
      <c r="ED40" s="208">
        <f t="shared" si="42"/>
        <v>37465.908333333333</v>
      </c>
      <c r="EE40" s="209">
        <f t="shared" si="43"/>
        <v>3.9180034858387801E-2</v>
      </c>
      <c r="EG40" s="228">
        <f t="shared" si="44"/>
        <v>0</v>
      </c>
      <c r="EH40" s="208">
        <f t="shared" si="45"/>
        <v>0</v>
      </c>
      <c r="EI40" s="209">
        <f t="shared" si="46"/>
        <v>0</v>
      </c>
      <c r="EJ40" s="209"/>
      <c r="EK40" s="228">
        <f t="shared" si="47"/>
        <v>344250000</v>
      </c>
      <c r="EL40" s="228">
        <f t="shared" si="48"/>
        <v>0</v>
      </c>
      <c r="EM40" s="228">
        <f t="shared" si="49"/>
        <v>37465.908333333333</v>
      </c>
      <c r="EN40" s="209">
        <f t="shared" si="50"/>
        <v>3.9180034858387801E-2</v>
      </c>
      <c r="EP40" s="208"/>
    </row>
    <row r="41" spans="1:146" x14ac:dyDescent="0.25">
      <c r="A41" s="243" t="s">
        <v>35</v>
      </c>
      <c r="D41" s="225">
        <f>SUM(D11:D40)</f>
        <v>54.913944444444432</v>
      </c>
      <c r="G41" s="225">
        <f>SUM(G11:G40)</f>
        <v>0</v>
      </c>
      <c r="J41" s="225">
        <f>SUM(J11:J40)</f>
        <v>0</v>
      </c>
      <c r="M41" s="225">
        <f>SUM(M11:M40)</f>
        <v>0</v>
      </c>
      <c r="P41" s="225">
        <f>SUM(P11:P40)</f>
        <v>0</v>
      </c>
      <c r="S41" s="225">
        <f>SUM(S11:S40)</f>
        <v>0</v>
      </c>
      <c r="V41" s="225">
        <f>SUM(V11:V40)</f>
        <v>0</v>
      </c>
      <c r="Y41" s="225">
        <f>SUM(Y11:Y40)</f>
        <v>0</v>
      </c>
      <c r="AB41" s="225">
        <f>SUM(AB11:AB40)</f>
        <v>0</v>
      </c>
      <c r="AE41" s="225">
        <f>SUM(AE11:AE40)</f>
        <v>0</v>
      </c>
      <c r="AH41" s="225">
        <f>SUM(AH11:AH40)</f>
        <v>0</v>
      </c>
      <c r="AK41" s="225">
        <f>SUM(AK11:AK40)</f>
        <v>825637.21249999991</v>
      </c>
      <c r="AN41" s="225">
        <f>SUM(AN11:AN40)</f>
        <v>39345.508333333339</v>
      </c>
      <c r="AQ41" s="225">
        <f>SUM(AQ11:AQ40)</f>
        <v>16192.851111111113</v>
      </c>
      <c r="AT41" s="225">
        <f>SUM(AT11:AT40)</f>
        <v>97023.913333333345</v>
      </c>
      <c r="AW41" s="225">
        <f>SUM(AW11:AW40)</f>
        <v>0</v>
      </c>
      <c r="AZ41" s="225">
        <f>SUM(AZ11:AZ40)</f>
        <v>0</v>
      </c>
      <c r="BC41" s="225">
        <f>SUM(BC11:BC40)</f>
        <v>0</v>
      </c>
      <c r="BF41" s="225">
        <f>SUM(BF11:BF40)</f>
        <v>0</v>
      </c>
      <c r="BI41" s="225">
        <f>SUM(BI11:BI40)</f>
        <v>0</v>
      </c>
      <c r="BL41" s="225">
        <f>SUM(BL11:BL40)</f>
        <v>0</v>
      </c>
      <c r="BO41" s="225">
        <f>SUM(BO11:BO40)</f>
        <v>0</v>
      </c>
      <c r="BR41" s="225">
        <f>SUM(BR11:BR40)</f>
        <v>0</v>
      </c>
      <c r="BU41" s="225">
        <f>SUM(BU11:BU40)</f>
        <v>0</v>
      </c>
      <c r="BX41" s="225">
        <f>SUM(BX11:BX40)</f>
        <v>0</v>
      </c>
      <c r="CA41" s="225">
        <f>SUM(CA11:CA40)</f>
        <v>0</v>
      </c>
      <c r="CD41" s="225">
        <f>SUM(CD11:CD40)</f>
        <v>0</v>
      </c>
      <c r="CG41" s="225">
        <f>SUM(CG11:CG40)</f>
        <v>0</v>
      </c>
      <c r="CJ41" s="225">
        <f>SUM(CJ11:CJ40)</f>
        <v>0</v>
      </c>
      <c r="CM41" s="225">
        <f>SUM(CM11:CM40)</f>
        <v>0</v>
      </c>
      <c r="CP41" s="225">
        <f>SUM(CP11:CP40)</f>
        <v>0</v>
      </c>
      <c r="CS41" s="225">
        <f>SUM(CS11:CS40)</f>
        <v>0</v>
      </c>
      <c r="CV41" s="225">
        <f>SUM(CV11:CV40)</f>
        <v>0</v>
      </c>
      <c r="CY41" s="225">
        <f>SUM(CY11:CY40)</f>
        <v>0</v>
      </c>
      <c r="DB41" s="225">
        <f>SUM(DB11:DB40)</f>
        <v>0</v>
      </c>
      <c r="DE41" s="225">
        <f>SUM(DE11:DE40)</f>
        <v>0</v>
      </c>
      <c r="DH41" s="225">
        <f>SUM(DH11:DH40)</f>
        <v>0</v>
      </c>
      <c r="DK41" s="225">
        <f>SUM(DK11:DK40)</f>
        <v>0</v>
      </c>
      <c r="DN41" s="225">
        <f>SUM(DN11:DN40)</f>
        <v>0</v>
      </c>
      <c r="DQ41" s="225">
        <f>SUM(DQ11:DQ40)</f>
        <v>0</v>
      </c>
      <c r="DT41" s="225">
        <f>SUM(DT11:DT40)</f>
        <v>0</v>
      </c>
      <c r="DW41" s="225">
        <f>SUM(DW11:DW40)</f>
        <v>0</v>
      </c>
      <c r="DZ41" s="208"/>
      <c r="EA41" s="208"/>
      <c r="EB41" s="208"/>
      <c r="EC41" s="208"/>
      <c r="ED41" s="225">
        <f>SUM(ED11:ED40)</f>
        <v>978254.39922222227</v>
      </c>
      <c r="EE41" s="209"/>
      <c r="EG41" s="208"/>
      <c r="EH41" s="225">
        <f>SUM(EH11:EH40)</f>
        <v>0</v>
      </c>
      <c r="EI41" s="209"/>
      <c r="EJ41" s="209"/>
      <c r="EK41" s="208"/>
      <c r="EL41" s="208"/>
      <c r="EM41" s="225">
        <f>SUM(EM11:EM40)</f>
        <v>978199.48527777789</v>
      </c>
      <c r="EN41" s="209"/>
    </row>
    <row r="43" spans="1:146" x14ac:dyDescent="0.25">
      <c r="EM43" s="226"/>
    </row>
    <row r="44" spans="1:146" x14ac:dyDescent="0.25">
      <c r="EM44" s="208"/>
    </row>
    <row r="45" spans="1:146" x14ac:dyDescent="0.25">
      <c r="EM45" s="208"/>
    </row>
    <row r="47" spans="1:146" x14ac:dyDescent="0.25">
      <c r="EM47" s="208"/>
    </row>
  </sheetData>
  <pageMargins left="0.7" right="0.7" top="0.75" bottom="0.75" header="0.3" footer="0.3"/>
  <pageSetup scale="63" orientation="portrait" r:id="rId1"/>
  <headerFooter>
    <oddFooter>&amp;CSchedule RL-1</oddFooter>
  </headerFooter>
  <colBreaks count="5" manualBreakCount="5">
    <brk id="34" max="1048575" man="1"/>
    <brk id="43" max="1048575" man="1"/>
    <brk id="52" max="40" man="1"/>
    <brk id="130" max="1048575" man="1"/>
    <brk id="14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8"/>
  <dimension ref="A1:EQ47"/>
  <sheetViews>
    <sheetView zoomScaleNormal="100" workbookViewId="0">
      <selection activeCell="B1" sqref="B1"/>
    </sheetView>
  </sheetViews>
  <sheetFormatPr defaultRowHeight="15" x14ac:dyDescent="0.25"/>
  <cols>
    <col min="1" max="1" width="14.5703125" style="166" bestFit="1" customWidth="1"/>
    <col min="2" max="2" width="18.42578125" style="208" customWidth="1"/>
    <col min="3" max="3" width="15.42578125" style="209" bestFit="1" customWidth="1"/>
    <col min="4" max="4" width="15.42578125" style="166" bestFit="1" customWidth="1"/>
    <col min="5" max="5" width="15.5703125" style="208" bestFit="1" customWidth="1"/>
    <col min="6" max="6" width="12.28515625" style="209" bestFit="1" customWidth="1"/>
    <col min="7" max="7" width="18.42578125" style="166" bestFit="1" customWidth="1"/>
    <col min="8" max="8" width="15.42578125" style="208" hidden="1" customWidth="1"/>
    <col min="9" max="9" width="10.28515625" style="209" hidden="1" customWidth="1"/>
    <col min="10" max="10" width="13.42578125" style="166" hidden="1" customWidth="1"/>
    <col min="11" max="11" width="14.42578125" style="208" hidden="1" customWidth="1"/>
    <col min="12" max="12" width="10.28515625" style="209" hidden="1" customWidth="1"/>
    <col min="13" max="13" width="11.7109375" style="166" hidden="1" customWidth="1"/>
    <col min="14" max="14" width="14.42578125" style="208" hidden="1" customWidth="1"/>
    <col min="15" max="15" width="10.28515625" style="209" hidden="1" customWidth="1"/>
    <col min="16" max="16" width="11.7109375" style="166" hidden="1" customWidth="1"/>
    <col min="17" max="17" width="15.42578125" style="208" hidden="1" customWidth="1"/>
    <col min="18" max="18" width="10.28515625" style="209" hidden="1" customWidth="1"/>
    <col min="19" max="19" width="11.7109375" style="166" hidden="1" customWidth="1"/>
    <col min="20" max="20" width="15.42578125" style="208" hidden="1" customWidth="1"/>
    <col min="21" max="21" width="10.28515625" style="209" hidden="1" customWidth="1"/>
    <col min="22" max="22" width="11.7109375" style="166" hidden="1" customWidth="1"/>
    <col min="23" max="23" width="15.42578125" style="208" hidden="1" customWidth="1"/>
    <col min="24" max="24" width="10.28515625" style="209" hidden="1" customWidth="1"/>
    <col min="25" max="25" width="11.7109375" style="166" hidden="1" customWidth="1"/>
    <col min="26" max="26" width="15.42578125" style="208" hidden="1" customWidth="1"/>
    <col min="27" max="27" width="10.28515625" style="209" hidden="1" customWidth="1"/>
    <col min="28" max="28" width="11.7109375" style="166" hidden="1" customWidth="1"/>
    <col min="29" max="29" width="15.42578125" style="208" hidden="1" customWidth="1"/>
    <col min="30" max="30" width="10.28515625" style="209" hidden="1" customWidth="1"/>
    <col min="31" max="31" width="11.7109375" style="166" hidden="1" customWidth="1"/>
    <col min="32" max="32" width="14.42578125" style="208" hidden="1" customWidth="1"/>
    <col min="33" max="33" width="10.28515625" style="209" hidden="1" customWidth="1"/>
    <col min="34" max="34" width="10.7109375" style="166" hidden="1" customWidth="1"/>
    <col min="35" max="35" width="18" style="208" customWidth="1"/>
    <col min="36" max="36" width="11.7109375" style="209" customWidth="1"/>
    <col min="37" max="37" width="16.28515625" style="166" customWidth="1"/>
    <col min="38" max="38" width="18.5703125" style="208" customWidth="1"/>
    <col min="39" max="39" width="13.140625" style="209" customWidth="1"/>
    <col min="40" max="40" width="13.7109375" style="166" bestFit="1" customWidth="1"/>
    <col min="41" max="41" width="15.42578125" style="208" bestFit="1" customWidth="1"/>
    <col min="42" max="42" width="12.28515625" style="209" bestFit="1" customWidth="1"/>
    <col min="43" max="43" width="15.42578125" style="166" customWidth="1"/>
    <col min="44" max="44" width="15.42578125" style="208" bestFit="1" customWidth="1"/>
    <col min="45" max="45" width="10.28515625" style="209" bestFit="1" customWidth="1"/>
    <col min="46" max="46" width="11.7109375" style="166" bestFit="1" customWidth="1"/>
    <col min="47" max="47" width="14.42578125" style="208" customWidth="1"/>
    <col min="48" max="48" width="10.28515625" style="209" customWidth="1"/>
    <col min="49" max="49" width="10.7109375" style="166" customWidth="1"/>
    <col min="50" max="50" width="14.42578125" style="208" customWidth="1"/>
    <col min="51" max="51" width="10.28515625" style="209" customWidth="1"/>
    <col min="52" max="52" width="10.7109375" style="166" customWidth="1"/>
    <col min="53" max="53" width="14.42578125" style="208" customWidth="1"/>
    <col min="54" max="54" width="10.28515625" style="209" customWidth="1"/>
    <col min="55" max="55" width="10.7109375" style="166" customWidth="1"/>
    <col min="56" max="56" width="14.42578125" style="208" customWidth="1"/>
    <col min="57" max="57" width="10.28515625" style="209" customWidth="1"/>
    <col min="58" max="58" width="10.7109375" style="166" customWidth="1"/>
    <col min="59" max="59" width="14.42578125" style="208" customWidth="1"/>
    <col min="60" max="60" width="10.28515625" style="209" customWidth="1"/>
    <col min="61" max="61" width="10.7109375" style="166" customWidth="1"/>
    <col min="62" max="62" width="14.42578125" style="208" customWidth="1"/>
    <col min="63" max="63" width="10.28515625" style="209" customWidth="1"/>
    <col min="64" max="64" width="10.7109375" style="166" customWidth="1"/>
    <col min="65" max="65" width="14.42578125" style="208" hidden="1" customWidth="1"/>
    <col min="66" max="66" width="10.28515625" style="209" hidden="1" customWidth="1"/>
    <col min="67" max="67" width="10.7109375" style="166" hidden="1" customWidth="1"/>
    <col min="68" max="68" width="14.42578125" style="208" hidden="1" customWidth="1"/>
    <col min="69" max="69" width="10.28515625" style="209" hidden="1" customWidth="1"/>
    <col min="70" max="70" width="10.7109375" style="166" hidden="1" customWidth="1"/>
    <col min="71" max="71" width="14.42578125" style="208" hidden="1" customWidth="1"/>
    <col min="72" max="72" width="10.28515625" style="209" hidden="1" customWidth="1"/>
    <col min="73" max="73" width="10.7109375" style="166" hidden="1" customWidth="1"/>
    <col min="74" max="74" width="14.42578125" style="208" hidden="1" customWidth="1"/>
    <col min="75" max="75" width="10.28515625" style="209" hidden="1" customWidth="1"/>
    <col min="76" max="76" width="10.7109375" style="166" hidden="1" customWidth="1"/>
    <col min="77" max="77" width="14.42578125" style="208" hidden="1" customWidth="1"/>
    <col min="78" max="78" width="10.28515625" style="209" hidden="1" customWidth="1"/>
    <col min="79" max="79" width="10.7109375" style="166" hidden="1" customWidth="1"/>
    <col min="80" max="80" width="14.42578125" style="208" hidden="1" customWidth="1"/>
    <col min="81" max="81" width="10.28515625" style="209" hidden="1" customWidth="1"/>
    <col min="82" max="82" width="10.7109375" style="166" hidden="1" customWidth="1"/>
    <col min="83" max="83" width="14.42578125" style="208" hidden="1" customWidth="1"/>
    <col min="84" max="84" width="10.28515625" style="209" hidden="1" customWidth="1"/>
    <col min="85" max="85" width="10.7109375" style="166" hidden="1" customWidth="1"/>
    <col min="86" max="86" width="14.42578125" style="208" hidden="1" customWidth="1"/>
    <col min="87" max="87" width="10.28515625" style="209" hidden="1" customWidth="1"/>
    <col min="88" max="88" width="10.7109375" style="166" hidden="1" customWidth="1"/>
    <col min="89" max="89" width="14.42578125" style="208" hidden="1" customWidth="1"/>
    <col min="90" max="90" width="10.28515625" style="209" hidden="1" customWidth="1"/>
    <col min="91" max="91" width="10.7109375" style="166" hidden="1" customWidth="1"/>
    <col min="92" max="92" width="14.42578125" style="208" hidden="1" customWidth="1"/>
    <col min="93" max="93" width="10.28515625" style="209" hidden="1" customWidth="1"/>
    <col min="94" max="94" width="10.7109375" style="166" hidden="1" customWidth="1"/>
    <col min="95" max="95" width="14.42578125" style="208" hidden="1" customWidth="1"/>
    <col min="96" max="96" width="10.28515625" style="209" hidden="1" customWidth="1"/>
    <col min="97" max="97" width="10.7109375" style="166" hidden="1" customWidth="1"/>
    <col min="98" max="98" width="14.42578125" style="208" hidden="1" customWidth="1"/>
    <col min="99" max="99" width="10.28515625" style="209" hidden="1" customWidth="1"/>
    <col min="100" max="100" width="10.7109375" style="166" hidden="1" customWidth="1"/>
    <col min="101" max="101" width="14.42578125" style="208" hidden="1" customWidth="1"/>
    <col min="102" max="102" width="10.28515625" style="209" hidden="1" customWidth="1"/>
    <col min="103" max="103" width="10.7109375" style="166" hidden="1" customWidth="1"/>
    <col min="104" max="104" width="14.42578125" style="208" hidden="1" customWidth="1"/>
    <col min="105" max="105" width="10.28515625" style="209" hidden="1" customWidth="1"/>
    <col min="106" max="106" width="10.7109375" style="166" hidden="1" customWidth="1"/>
    <col min="107" max="107" width="14.42578125" style="208" hidden="1" customWidth="1"/>
    <col min="108" max="108" width="10.28515625" style="209" hidden="1" customWidth="1"/>
    <col min="109" max="109" width="10.7109375" style="166" hidden="1" customWidth="1"/>
    <col min="110" max="110" width="14.42578125" style="208" hidden="1" customWidth="1"/>
    <col min="111" max="111" width="10.28515625" style="209" hidden="1" customWidth="1"/>
    <col min="112" max="112" width="10.7109375" style="166" hidden="1" customWidth="1"/>
    <col min="113" max="113" width="14.42578125" style="208" hidden="1" customWidth="1"/>
    <col min="114" max="114" width="10.28515625" style="209" hidden="1" customWidth="1"/>
    <col min="115" max="115" width="10.7109375" style="166" hidden="1" customWidth="1"/>
    <col min="116" max="116" width="14.42578125" style="208" hidden="1" customWidth="1"/>
    <col min="117" max="117" width="10.28515625" style="209" hidden="1" customWidth="1"/>
    <col min="118" max="118" width="10.7109375" style="166" hidden="1" customWidth="1"/>
    <col min="119" max="119" width="14.42578125" style="208" hidden="1" customWidth="1"/>
    <col min="120" max="120" width="10.28515625" style="209" hidden="1" customWidth="1"/>
    <col min="121" max="121" width="10.7109375" style="166" hidden="1" customWidth="1"/>
    <col min="122" max="122" width="14.42578125" style="208" hidden="1" customWidth="1"/>
    <col min="123" max="123" width="10.28515625" style="209" hidden="1" customWidth="1"/>
    <col min="124" max="124" width="10.7109375" style="166" hidden="1" customWidth="1"/>
    <col min="125" max="125" width="14.42578125" style="208" hidden="1" customWidth="1"/>
    <col min="126" max="126" width="10.28515625" style="209" hidden="1" customWidth="1"/>
    <col min="127" max="127" width="10.7109375" style="166" hidden="1" customWidth="1"/>
    <col min="128" max="128" width="14.42578125" style="208" hidden="1" customWidth="1"/>
    <col min="129" max="129" width="10.28515625" style="209" hidden="1" customWidth="1"/>
    <col min="130" max="130" width="10.7109375" style="166" hidden="1" customWidth="1"/>
    <col min="131" max="131" width="2.7109375" style="166" customWidth="1"/>
    <col min="132" max="132" width="18.7109375" style="166" customWidth="1"/>
    <col min="133" max="133" width="15.42578125" style="166" hidden="1" customWidth="1"/>
    <col min="134" max="134" width="14.42578125" style="166" bestFit="1" customWidth="1"/>
    <col min="135" max="135" width="20.140625" style="166" customWidth="1"/>
    <col min="136" max="136" width="2.7109375" style="166" customWidth="1"/>
    <col min="137" max="137" width="15.42578125" style="166" hidden="1" customWidth="1"/>
    <col min="138" max="138" width="14.42578125" style="166" hidden="1" customWidth="1"/>
    <col min="139" max="139" width="12.42578125" style="166" hidden="1" customWidth="1"/>
    <col min="140" max="140" width="2.7109375" style="166" hidden="1" customWidth="1"/>
    <col min="141" max="141" width="18.5703125" style="166" customWidth="1"/>
    <col min="142" max="142" width="15.42578125" style="166" hidden="1" customWidth="1"/>
    <col min="143" max="143" width="14.42578125" style="166" bestFit="1" customWidth="1"/>
    <col min="144" max="144" width="18.42578125" style="166" bestFit="1" customWidth="1"/>
    <col min="145" max="145" width="42.85546875" style="166" bestFit="1" customWidth="1"/>
    <col min="146" max="146" width="19.42578125" style="166" bestFit="1" customWidth="1"/>
    <col min="147" max="147" width="23.140625" style="166" bestFit="1" customWidth="1"/>
    <col min="148" max="16384" width="9.140625" style="166"/>
  </cols>
  <sheetData>
    <row r="1" spans="1:147" s="175" customFormat="1" x14ac:dyDescent="0.25">
      <c r="A1" s="227" t="s">
        <v>0</v>
      </c>
      <c r="B1" s="228"/>
      <c r="C1" s="229"/>
      <c r="E1" s="228"/>
      <c r="F1" s="229"/>
      <c r="H1" s="228"/>
      <c r="I1" s="229"/>
      <c r="K1" s="228"/>
      <c r="L1" s="229"/>
      <c r="N1" s="228"/>
      <c r="O1" s="229"/>
      <c r="Q1" s="228"/>
      <c r="R1" s="229"/>
      <c r="T1" s="228"/>
      <c r="U1" s="229"/>
      <c r="W1" s="228"/>
      <c r="X1" s="229"/>
      <c r="Z1" s="228"/>
      <c r="AA1" s="229"/>
      <c r="AC1" s="228"/>
      <c r="AD1" s="229"/>
      <c r="AF1" s="228"/>
      <c r="AG1" s="229"/>
      <c r="AI1" s="228"/>
      <c r="AJ1" s="229"/>
      <c r="AL1" s="228"/>
      <c r="AM1" s="229"/>
      <c r="AO1" s="228"/>
      <c r="AP1" s="229"/>
      <c r="AR1" s="228"/>
      <c r="AS1" s="229"/>
      <c r="AU1" s="228"/>
      <c r="AV1" s="229"/>
      <c r="AX1" s="228"/>
      <c r="AY1" s="229"/>
      <c r="BA1" s="228"/>
      <c r="BB1" s="229"/>
      <c r="BD1" s="228"/>
      <c r="BE1" s="229"/>
      <c r="BG1" s="228"/>
      <c r="BH1" s="229"/>
      <c r="BJ1" s="228"/>
      <c r="BK1" s="229"/>
      <c r="BM1" s="228"/>
      <c r="BN1" s="229"/>
      <c r="BP1" s="228"/>
      <c r="BQ1" s="229"/>
      <c r="BS1" s="228"/>
      <c r="BT1" s="229"/>
      <c r="BV1" s="228"/>
      <c r="BW1" s="229"/>
      <c r="BY1" s="228"/>
      <c r="BZ1" s="229"/>
      <c r="CB1" s="228"/>
      <c r="CC1" s="229"/>
      <c r="CE1" s="228"/>
      <c r="CF1" s="229"/>
      <c r="CH1" s="228"/>
      <c r="CI1" s="229"/>
      <c r="CK1" s="228"/>
      <c r="CL1" s="229"/>
      <c r="CN1" s="228"/>
      <c r="CO1" s="229"/>
      <c r="CQ1" s="228"/>
      <c r="CR1" s="229"/>
      <c r="CT1" s="228"/>
      <c r="CU1" s="229"/>
      <c r="CW1" s="228"/>
      <c r="CX1" s="229"/>
      <c r="CZ1" s="228"/>
      <c r="DA1" s="229"/>
      <c r="DC1" s="228"/>
      <c r="DD1" s="229"/>
      <c r="DF1" s="228"/>
      <c r="DG1" s="229"/>
      <c r="DI1" s="228"/>
      <c r="DJ1" s="229"/>
      <c r="DL1" s="228"/>
      <c r="DM1" s="229"/>
      <c r="DO1" s="228"/>
      <c r="DP1" s="229"/>
      <c r="DR1" s="228"/>
      <c r="DS1" s="229"/>
      <c r="DU1" s="228"/>
      <c r="DV1" s="229"/>
      <c r="DX1" s="228"/>
      <c r="DY1" s="229"/>
      <c r="DZ1" s="230"/>
      <c r="ED1" s="169"/>
      <c r="EE1" s="231" t="s">
        <v>37</v>
      </c>
      <c r="EI1" s="169" t="s">
        <v>38</v>
      </c>
      <c r="EM1" s="169"/>
      <c r="EN1" s="169" t="s">
        <v>39</v>
      </c>
      <c r="EO1" s="227" t="s">
        <v>40</v>
      </c>
      <c r="EP1" s="227" t="s">
        <v>41</v>
      </c>
      <c r="EQ1" s="227" t="s">
        <v>42</v>
      </c>
    </row>
    <row r="2" spans="1:147" s="175" customFormat="1" ht="15.75" thickBot="1" x14ac:dyDescent="0.3">
      <c r="A2" s="227" t="s">
        <v>43</v>
      </c>
      <c r="B2" s="228"/>
      <c r="C2" s="229"/>
      <c r="E2" s="230"/>
      <c r="F2" s="229"/>
      <c r="G2" s="169"/>
      <c r="H2" s="228"/>
      <c r="I2" s="229"/>
      <c r="K2" s="228"/>
      <c r="L2" s="229"/>
      <c r="N2" s="228"/>
      <c r="O2" s="229"/>
      <c r="Q2" s="228"/>
      <c r="R2" s="229"/>
      <c r="T2" s="228"/>
      <c r="U2" s="229"/>
      <c r="W2" s="228"/>
      <c r="X2" s="229"/>
      <c r="Z2" s="228"/>
      <c r="AA2" s="229"/>
      <c r="AC2" s="228"/>
      <c r="AD2" s="229"/>
      <c r="AF2" s="228"/>
      <c r="AG2" s="229"/>
      <c r="AI2" s="228"/>
      <c r="AJ2" s="229"/>
      <c r="AL2" s="228"/>
      <c r="AM2" s="229"/>
      <c r="AO2" s="228"/>
      <c r="AP2" s="229"/>
      <c r="AR2" s="228"/>
      <c r="AS2" s="229"/>
      <c r="AU2" s="228"/>
      <c r="AV2" s="229"/>
      <c r="AX2" s="228"/>
      <c r="AY2" s="229"/>
      <c r="BA2" s="228"/>
      <c r="BB2" s="229"/>
      <c r="BD2" s="228"/>
      <c r="BE2" s="229"/>
      <c r="BG2" s="228"/>
      <c r="BH2" s="229"/>
      <c r="BJ2" s="228"/>
      <c r="BK2" s="229"/>
      <c r="BM2" s="228"/>
      <c r="BN2" s="229"/>
      <c r="BP2" s="228"/>
      <c r="BQ2" s="229"/>
      <c r="BS2" s="228"/>
      <c r="BT2" s="229"/>
      <c r="BV2" s="228"/>
      <c r="BW2" s="229"/>
      <c r="BY2" s="228"/>
      <c r="BZ2" s="229"/>
      <c r="CB2" s="228"/>
      <c r="CC2" s="229"/>
      <c r="CE2" s="228"/>
      <c r="CF2" s="229"/>
      <c r="CH2" s="228"/>
      <c r="CI2" s="229"/>
      <c r="CK2" s="228"/>
      <c r="CL2" s="229"/>
      <c r="CN2" s="228"/>
      <c r="CO2" s="229"/>
      <c r="CQ2" s="228"/>
      <c r="CR2" s="229"/>
      <c r="CT2" s="228"/>
      <c r="CU2" s="229"/>
      <c r="CW2" s="228"/>
      <c r="CX2" s="229"/>
      <c r="CZ2" s="228"/>
      <c r="DA2" s="229"/>
      <c r="DC2" s="228"/>
      <c r="DD2" s="229"/>
      <c r="DF2" s="228"/>
      <c r="DG2" s="229"/>
      <c r="DI2" s="228"/>
      <c r="DJ2" s="229"/>
      <c r="DL2" s="228"/>
      <c r="DM2" s="229"/>
      <c r="DO2" s="228"/>
      <c r="DP2" s="229"/>
      <c r="DR2" s="228"/>
      <c r="DS2" s="229"/>
      <c r="DU2" s="228"/>
      <c r="DV2" s="229"/>
      <c r="DX2" s="228"/>
      <c r="DY2" s="229"/>
      <c r="EB2" s="166" t="s">
        <v>44</v>
      </c>
      <c r="EC2" s="166"/>
      <c r="ED2" s="208"/>
      <c r="EE2" s="208">
        <v>364800000</v>
      </c>
      <c r="EI2" s="208">
        <v>0</v>
      </c>
      <c r="EM2" s="208"/>
      <c r="EN2" s="208">
        <v>364800000</v>
      </c>
      <c r="EO2" s="232">
        <v>27562.22</v>
      </c>
      <c r="EP2" s="228">
        <v>364827562.22000003</v>
      </c>
      <c r="EQ2" s="228">
        <v>364827562.22000003</v>
      </c>
    </row>
    <row r="3" spans="1:147" ht="15.75" thickTop="1" x14ac:dyDescent="0.25">
      <c r="A3" s="233" t="s">
        <v>260</v>
      </c>
      <c r="E3" s="234" t="s">
        <v>45</v>
      </c>
      <c r="F3" s="210"/>
      <c r="G3" s="211"/>
      <c r="EB3" s="166" t="s">
        <v>46</v>
      </c>
      <c r="ED3" s="208"/>
      <c r="EE3" s="208">
        <v>322141903.22580647</v>
      </c>
      <c r="EI3" s="208">
        <v>0</v>
      </c>
      <c r="EM3" s="208"/>
      <c r="EN3" s="208">
        <v>318270935.48387098</v>
      </c>
    </row>
    <row r="4" spans="1:147" x14ac:dyDescent="0.25">
      <c r="E4" s="212" t="s">
        <v>44</v>
      </c>
      <c r="F4" s="208"/>
      <c r="G4" s="213">
        <v>364827562.22000003</v>
      </c>
      <c r="AI4" s="227" t="s">
        <v>47</v>
      </c>
      <c r="EB4" s="166" t="s">
        <v>48</v>
      </c>
      <c r="ED4" s="209"/>
      <c r="EE4" s="209">
        <v>3.9071046129841192E-2</v>
      </c>
      <c r="EI4" s="209">
        <v>0</v>
      </c>
      <c r="EM4" s="209"/>
      <c r="EN4" s="209">
        <v>3.9068049852838925E-2</v>
      </c>
      <c r="EO4" s="175" t="s">
        <v>239</v>
      </c>
      <c r="EQ4" s="169" t="s">
        <v>47</v>
      </c>
    </row>
    <row r="5" spans="1:147" x14ac:dyDescent="0.25">
      <c r="E5" s="212" t="s">
        <v>46</v>
      </c>
      <c r="F5" s="208"/>
      <c r="G5" s="213">
        <v>322141903.22580647</v>
      </c>
      <c r="AI5" s="235" t="s">
        <v>39</v>
      </c>
      <c r="EB5" s="166" t="s">
        <v>49</v>
      </c>
      <c r="ED5" s="208"/>
      <c r="EE5" s="208">
        <v>380000000</v>
      </c>
      <c r="EI5" s="208">
        <v>0</v>
      </c>
      <c r="EM5" s="208"/>
      <c r="EN5" s="208">
        <v>380000000</v>
      </c>
      <c r="EO5" s="166" t="s">
        <v>240</v>
      </c>
    </row>
    <row r="6" spans="1:147" x14ac:dyDescent="0.25">
      <c r="E6" s="212" t="s">
        <v>48</v>
      </c>
      <c r="F6" s="208"/>
      <c r="G6" s="214">
        <v>3.9071046129841192E-2</v>
      </c>
    </row>
    <row r="7" spans="1:147" ht="15.75" thickBot="1" x14ac:dyDescent="0.3">
      <c r="E7" s="215" t="s">
        <v>49</v>
      </c>
      <c r="F7" s="216"/>
      <c r="G7" s="217">
        <v>380000000</v>
      </c>
      <c r="AI7" s="235" t="s">
        <v>39</v>
      </c>
      <c r="EB7" s="236" t="s">
        <v>50</v>
      </c>
      <c r="EC7" s="236"/>
      <c r="ED7" s="218"/>
      <c r="EE7" s="218"/>
      <c r="EG7" s="236" t="s">
        <v>51</v>
      </c>
      <c r="EH7" s="218"/>
      <c r="EI7" s="218"/>
      <c r="EJ7" s="165"/>
      <c r="EK7" s="236" t="s">
        <v>52</v>
      </c>
      <c r="EL7" s="236"/>
      <c r="EM7" s="218"/>
      <c r="EN7" s="218"/>
    </row>
    <row r="8" spans="1:147" ht="15.75" thickTop="1" x14ac:dyDescent="0.25">
      <c r="AI8" s="230" t="s">
        <v>53</v>
      </c>
      <c r="AL8" s="230" t="s">
        <v>53</v>
      </c>
      <c r="AO8" s="230" t="s">
        <v>53</v>
      </c>
      <c r="AR8" s="230" t="s">
        <v>53</v>
      </c>
      <c r="AU8" s="230" t="s">
        <v>53</v>
      </c>
      <c r="AX8" s="230" t="s">
        <v>53</v>
      </c>
      <c r="BA8" s="230" t="s">
        <v>53</v>
      </c>
      <c r="BD8" s="230" t="s">
        <v>53</v>
      </c>
      <c r="BG8" s="230" t="s">
        <v>53</v>
      </c>
      <c r="BJ8" s="230" t="s">
        <v>53</v>
      </c>
      <c r="BM8" s="230" t="s">
        <v>53</v>
      </c>
      <c r="BP8" s="230" t="s">
        <v>53</v>
      </c>
      <c r="BS8" s="230" t="s">
        <v>53</v>
      </c>
      <c r="BV8" s="230" t="s">
        <v>53</v>
      </c>
      <c r="BY8" s="230" t="s">
        <v>53</v>
      </c>
      <c r="CB8" s="230" t="s">
        <v>53</v>
      </c>
      <c r="CE8" s="230" t="s">
        <v>53</v>
      </c>
      <c r="CH8" s="230" t="s">
        <v>53</v>
      </c>
      <c r="CK8" s="230" t="s">
        <v>53</v>
      </c>
      <c r="CN8" s="230" t="s">
        <v>53</v>
      </c>
      <c r="CQ8" s="230" t="s">
        <v>53</v>
      </c>
      <c r="CT8" s="230" t="s">
        <v>53</v>
      </c>
      <c r="CW8" s="230" t="s">
        <v>53</v>
      </c>
      <c r="CZ8" s="230" t="s">
        <v>53</v>
      </c>
      <c r="DC8" s="230" t="s">
        <v>53</v>
      </c>
      <c r="DF8" s="230" t="s">
        <v>53</v>
      </c>
      <c r="DI8" s="230" t="s">
        <v>53</v>
      </c>
      <c r="DL8" s="230" t="s">
        <v>53</v>
      </c>
      <c r="DO8" s="230" t="s">
        <v>53</v>
      </c>
      <c r="DR8" s="230" t="s">
        <v>53</v>
      </c>
      <c r="EB8" s="219"/>
      <c r="EC8" s="219"/>
      <c r="ED8" s="219"/>
      <c r="EE8" s="219" t="s">
        <v>54</v>
      </c>
      <c r="EG8" s="219"/>
      <c r="EH8" s="237" t="s">
        <v>38</v>
      </c>
      <c r="EI8" s="219" t="s">
        <v>54</v>
      </c>
      <c r="EJ8" s="219"/>
      <c r="EK8" s="169" t="s">
        <v>55</v>
      </c>
      <c r="EL8" s="169" t="s">
        <v>56</v>
      </c>
      <c r="EM8" s="237" t="s">
        <v>57</v>
      </c>
      <c r="EN8" s="219" t="s">
        <v>54</v>
      </c>
    </row>
    <row r="9" spans="1:147" x14ac:dyDescent="0.25">
      <c r="B9" s="220" t="s">
        <v>58</v>
      </c>
      <c r="C9" s="221"/>
      <c r="D9" s="218"/>
      <c r="E9" s="220" t="s">
        <v>59</v>
      </c>
      <c r="F9" s="221"/>
      <c r="G9" s="218"/>
      <c r="H9" s="220" t="s">
        <v>60</v>
      </c>
      <c r="I9" s="221"/>
      <c r="J9" s="218"/>
      <c r="K9" s="220" t="s">
        <v>61</v>
      </c>
      <c r="L9" s="221"/>
      <c r="M9" s="218"/>
      <c r="N9" s="220" t="s">
        <v>62</v>
      </c>
      <c r="O9" s="221"/>
      <c r="P9" s="218"/>
      <c r="Q9" s="220" t="s">
        <v>63</v>
      </c>
      <c r="R9" s="221"/>
      <c r="S9" s="218"/>
      <c r="T9" s="220" t="s">
        <v>64</v>
      </c>
      <c r="U9" s="221"/>
      <c r="V9" s="218"/>
      <c r="W9" s="220" t="s">
        <v>65</v>
      </c>
      <c r="X9" s="221"/>
      <c r="Y9" s="218"/>
      <c r="Z9" s="220" t="s">
        <v>66</v>
      </c>
      <c r="AA9" s="221"/>
      <c r="AB9" s="218"/>
      <c r="AC9" s="238" t="s">
        <v>67</v>
      </c>
      <c r="AD9" s="221"/>
      <c r="AE9" s="218"/>
      <c r="AF9" s="238" t="s">
        <v>68</v>
      </c>
      <c r="AG9" s="221"/>
      <c r="AH9" s="218"/>
      <c r="AI9" s="220" t="s">
        <v>69</v>
      </c>
      <c r="AJ9" s="221"/>
      <c r="AK9" s="218"/>
      <c r="AL9" s="220" t="s">
        <v>70</v>
      </c>
      <c r="AM9" s="221"/>
      <c r="AN9" s="218"/>
      <c r="AO9" s="220" t="s">
        <v>71</v>
      </c>
      <c r="AP9" s="221"/>
      <c r="AQ9" s="218"/>
      <c r="AR9" s="220" t="s">
        <v>72</v>
      </c>
      <c r="AS9" s="221"/>
      <c r="AT9" s="218"/>
      <c r="AU9" s="220" t="s">
        <v>73</v>
      </c>
      <c r="AV9" s="221"/>
      <c r="AW9" s="218"/>
      <c r="AX9" s="220" t="s">
        <v>74</v>
      </c>
      <c r="AY9" s="221"/>
      <c r="AZ9" s="218"/>
      <c r="BA9" s="220" t="s">
        <v>75</v>
      </c>
      <c r="BB9" s="221"/>
      <c r="BC9" s="218"/>
      <c r="BD9" s="220" t="s">
        <v>76</v>
      </c>
      <c r="BE9" s="221"/>
      <c r="BF9" s="218"/>
      <c r="BG9" s="220" t="s">
        <v>77</v>
      </c>
      <c r="BH9" s="221"/>
      <c r="BI9" s="218"/>
      <c r="BJ9" s="220" t="s">
        <v>78</v>
      </c>
      <c r="BK9" s="221"/>
      <c r="BL9" s="218"/>
      <c r="BM9" s="220" t="s">
        <v>79</v>
      </c>
      <c r="BN9" s="221"/>
      <c r="BO9" s="218"/>
      <c r="BP9" s="220" t="s">
        <v>80</v>
      </c>
      <c r="BQ9" s="221"/>
      <c r="BR9" s="218"/>
      <c r="BS9" s="220" t="s">
        <v>81</v>
      </c>
      <c r="BT9" s="221"/>
      <c r="BU9" s="218"/>
      <c r="BV9" s="220" t="s">
        <v>82</v>
      </c>
      <c r="BW9" s="221"/>
      <c r="BX9" s="218"/>
      <c r="BY9" s="220" t="s">
        <v>83</v>
      </c>
      <c r="BZ9" s="221"/>
      <c r="CA9" s="218"/>
      <c r="CB9" s="220" t="s">
        <v>84</v>
      </c>
      <c r="CC9" s="221"/>
      <c r="CD9" s="218"/>
      <c r="CE9" s="220" t="s">
        <v>85</v>
      </c>
      <c r="CF9" s="221"/>
      <c r="CG9" s="218"/>
      <c r="CH9" s="220" t="s">
        <v>86</v>
      </c>
      <c r="CI9" s="221"/>
      <c r="CJ9" s="218"/>
      <c r="CK9" s="220" t="s">
        <v>87</v>
      </c>
      <c r="CL9" s="221"/>
      <c r="CM9" s="218"/>
      <c r="CN9" s="220" t="s">
        <v>88</v>
      </c>
      <c r="CO9" s="221"/>
      <c r="CP9" s="218"/>
      <c r="CQ9" s="220" t="s">
        <v>89</v>
      </c>
      <c r="CR9" s="221"/>
      <c r="CS9" s="218"/>
      <c r="CT9" s="220" t="s">
        <v>90</v>
      </c>
      <c r="CU9" s="221"/>
      <c r="CV9" s="218"/>
      <c r="CW9" s="220" t="s">
        <v>91</v>
      </c>
      <c r="CX9" s="221"/>
      <c r="CY9" s="218"/>
      <c r="CZ9" s="220" t="s">
        <v>92</v>
      </c>
      <c r="DA9" s="221"/>
      <c r="DB9" s="218"/>
      <c r="DC9" s="220" t="s">
        <v>93</v>
      </c>
      <c r="DD9" s="221"/>
      <c r="DE9" s="218"/>
      <c r="DF9" s="220" t="s">
        <v>94</v>
      </c>
      <c r="DG9" s="221"/>
      <c r="DH9" s="218"/>
      <c r="DI9" s="220" t="s">
        <v>95</v>
      </c>
      <c r="DJ9" s="221"/>
      <c r="DK9" s="218"/>
      <c r="DL9" s="220" t="s">
        <v>96</v>
      </c>
      <c r="DM9" s="221"/>
      <c r="DN9" s="218"/>
      <c r="DO9" s="220" t="s">
        <v>97</v>
      </c>
      <c r="DP9" s="221"/>
      <c r="DQ9" s="218"/>
      <c r="DR9" s="220" t="s">
        <v>98</v>
      </c>
      <c r="DS9" s="221"/>
      <c r="DT9" s="218"/>
      <c r="DU9" s="220" t="s">
        <v>99</v>
      </c>
      <c r="DV9" s="221"/>
      <c r="DW9" s="218"/>
      <c r="DX9" s="239" t="s">
        <v>100</v>
      </c>
      <c r="DY9" s="221"/>
      <c r="DZ9" s="218"/>
      <c r="EA9" s="165"/>
      <c r="EB9" s="169" t="s">
        <v>101</v>
      </c>
      <c r="EC9" s="169" t="s">
        <v>102</v>
      </c>
      <c r="ED9" s="219" t="s">
        <v>103</v>
      </c>
      <c r="EE9" s="219" t="s">
        <v>104</v>
      </c>
      <c r="EG9" s="237" t="s">
        <v>105</v>
      </c>
      <c r="EH9" s="219" t="s">
        <v>103</v>
      </c>
      <c r="EI9" s="219" t="s">
        <v>104</v>
      </c>
      <c r="EJ9" s="219"/>
      <c r="EK9" s="237" t="s">
        <v>57</v>
      </c>
      <c r="EL9" s="237" t="s">
        <v>57</v>
      </c>
      <c r="EM9" s="219" t="s">
        <v>103</v>
      </c>
      <c r="EN9" s="219" t="s">
        <v>104</v>
      </c>
    </row>
    <row r="10" spans="1:147" x14ac:dyDescent="0.25">
      <c r="A10" s="219" t="s">
        <v>106</v>
      </c>
      <c r="B10" s="240" t="s">
        <v>107</v>
      </c>
      <c r="C10" s="241" t="s">
        <v>108</v>
      </c>
      <c r="D10" s="242" t="s">
        <v>12</v>
      </c>
      <c r="E10" s="240" t="s">
        <v>107</v>
      </c>
      <c r="F10" s="241" t="s">
        <v>108</v>
      </c>
      <c r="G10" s="242" t="s">
        <v>12</v>
      </c>
      <c r="H10" s="240" t="s">
        <v>107</v>
      </c>
      <c r="I10" s="241" t="s">
        <v>108</v>
      </c>
      <c r="J10" s="242" t="s">
        <v>12</v>
      </c>
      <c r="K10" s="240" t="s">
        <v>107</v>
      </c>
      <c r="L10" s="241" t="s">
        <v>108</v>
      </c>
      <c r="M10" s="242" t="s">
        <v>12</v>
      </c>
      <c r="N10" s="240" t="s">
        <v>107</v>
      </c>
      <c r="O10" s="241" t="s">
        <v>108</v>
      </c>
      <c r="P10" s="242" t="s">
        <v>12</v>
      </c>
      <c r="Q10" s="240" t="s">
        <v>107</v>
      </c>
      <c r="R10" s="241" t="s">
        <v>108</v>
      </c>
      <c r="S10" s="242" t="s">
        <v>12</v>
      </c>
      <c r="T10" s="240" t="s">
        <v>107</v>
      </c>
      <c r="U10" s="241" t="s">
        <v>108</v>
      </c>
      <c r="V10" s="242" t="s">
        <v>12</v>
      </c>
      <c r="W10" s="240" t="s">
        <v>107</v>
      </c>
      <c r="X10" s="241" t="s">
        <v>108</v>
      </c>
      <c r="Y10" s="242" t="s">
        <v>12</v>
      </c>
      <c r="Z10" s="240" t="s">
        <v>107</v>
      </c>
      <c r="AA10" s="241" t="s">
        <v>108</v>
      </c>
      <c r="AB10" s="242" t="s">
        <v>12</v>
      </c>
      <c r="AC10" s="240" t="s">
        <v>107</v>
      </c>
      <c r="AD10" s="241" t="s">
        <v>108</v>
      </c>
      <c r="AE10" s="242" t="s">
        <v>12</v>
      </c>
      <c r="AF10" s="240" t="s">
        <v>107</v>
      </c>
      <c r="AG10" s="241" t="s">
        <v>108</v>
      </c>
      <c r="AH10" s="242" t="s">
        <v>12</v>
      </c>
      <c r="AI10" s="240" t="s">
        <v>107</v>
      </c>
      <c r="AJ10" s="241" t="s">
        <v>108</v>
      </c>
      <c r="AK10" s="242" t="s">
        <v>12</v>
      </c>
      <c r="AL10" s="240" t="s">
        <v>107</v>
      </c>
      <c r="AM10" s="241" t="s">
        <v>108</v>
      </c>
      <c r="AN10" s="242" t="s">
        <v>12</v>
      </c>
      <c r="AO10" s="240" t="s">
        <v>107</v>
      </c>
      <c r="AP10" s="241" t="s">
        <v>108</v>
      </c>
      <c r="AQ10" s="242" t="s">
        <v>12</v>
      </c>
      <c r="AR10" s="240" t="s">
        <v>107</v>
      </c>
      <c r="AS10" s="241" t="s">
        <v>108</v>
      </c>
      <c r="AT10" s="242" t="s">
        <v>12</v>
      </c>
      <c r="AU10" s="240" t="s">
        <v>107</v>
      </c>
      <c r="AV10" s="241" t="s">
        <v>108</v>
      </c>
      <c r="AW10" s="242" t="s">
        <v>12</v>
      </c>
      <c r="AX10" s="240" t="s">
        <v>107</v>
      </c>
      <c r="AY10" s="241" t="s">
        <v>108</v>
      </c>
      <c r="AZ10" s="242" t="s">
        <v>12</v>
      </c>
      <c r="BA10" s="240" t="s">
        <v>107</v>
      </c>
      <c r="BB10" s="241" t="s">
        <v>108</v>
      </c>
      <c r="BC10" s="242" t="s">
        <v>12</v>
      </c>
      <c r="BD10" s="240" t="s">
        <v>107</v>
      </c>
      <c r="BE10" s="241" t="s">
        <v>108</v>
      </c>
      <c r="BF10" s="242" t="s">
        <v>12</v>
      </c>
      <c r="BG10" s="240" t="s">
        <v>107</v>
      </c>
      <c r="BH10" s="241" t="s">
        <v>108</v>
      </c>
      <c r="BI10" s="242" t="s">
        <v>12</v>
      </c>
      <c r="BJ10" s="240" t="s">
        <v>107</v>
      </c>
      <c r="BK10" s="241" t="s">
        <v>108</v>
      </c>
      <c r="BL10" s="242" t="s">
        <v>12</v>
      </c>
      <c r="BM10" s="240" t="s">
        <v>107</v>
      </c>
      <c r="BN10" s="241" t="s">
        <v>108</v>
      </c>
      <c r="BO10" s="242" t="s">
        <v>12</v>
      </c>
      <c r="BP10" s="240" t="s">
        <v>107</v>
      </c>
      <c r="BQ10" s="241" t="s">
        <v>108</v>
      </c>
      <c r="BR10" s="242" t="s">
        <v>12</v>
      </c>
      <c r="BS10" s="240" t="s">
        <v>107</v>
      </c>
      <c r="BT10" s="241" t="s">
        <v>108</v>
      </c>
      <c r="BU10" s="242" t="s">
        <v>12</v>
      </c>
      <c r="BV10" s="240" t="s">
        <v>107</v>
      </c>
      <c r="BW10" s="241" t="s">
        <v>108</v>
      </c>
      <c r="BX10" s="242" t="s">
        <v>12</v>
      </c>
      <c r="BY10" s="240" t="s">
        <v>107</v>
      </c>
      <c r="BZ10" s="241" t="s">
        <v>108</v>
      </c>
      <c r="CA10" s="242" t="s">
        <v>12</v>
      </c>
      <c r="CB10" s="240" t="s">
        <v>107</v>
      </c>
      <c r="CC10" s="241" t="s">
        <v>108</v>
      </c>
      <c r="CD10" s="242" t="s">
        <v>12</v>
      </c>
      <c r="CE10" s="240" t="s">
        <v>107</v>
      </c>
      <c r="CF10" s="241" t="s">
        <v>108</v>
      </c>
      <c r="CG10" s="242" t="s">
        <v>12</v>
      </c>
      <c r="CH10" s="240" t="s">
        <v>107</v>
      </c>
      <c r="CI10" s="241" t="s">
        <v>108</v>
      </c>
      <c r="CJ10" s="242" t="s">
        <v>12</v>
      </c>
      <c r="CK10" s="240" t="s">
        <v>107</v>
      </c>
      <c r="CL10" s="241" t="s">
        <v>108</v>
      </c>
      <c r="CM10" s="242" t="s">
        <v>12</v>
      </c>
      <c r="CN10" s="240" t="s">
        <v>107</v>
      </c>
      <c r="CO10" s="241" t="s">
        <v>108</v>
      </c>
      <c r="CP10" s="242" t="s">
        <v>12</v>
      </c>
      <c r="CQ10" s="240" t="s">
        <v>107</v>
      </c>
      <c r="CR10" s="241" t="s">
        <v>108</v>
      </c>
      <c r="CS10" s="242" t="s">
        <v>12</v>
      </c>
      <c r="CT10" s="240" t="s">
        <v>107</v>
      </c>
      <c r="CU10" s="241" t="s">
        <v>108</v>
      </c>
      <c r="CV10" s="242" t="s">
        <v>12</v>
      </c>
      <c r="CW10" s="240" t="s">
        <v>107</v>
      </c>
      <c r="CX10" s="241" t="s">
        <v>108</v>
      </c>
      <c r="CY10" s="242" t="s">
        <v>12</v>
      </c>
      <c r="CZ10" s="240" t="s">
        <v>107</v>
      </c>
      <c r="DA10" s="241" t="s">
        <v>108</v>
      </c>
      <c r="DB10" s="242" t="s">
        <v>12</v>
      </c>
      <c r="DC10" s="240" t="s">
        <v>107</v>
      </c>
      <c r="DD10" s="241" t="s">
        <v>108</v>
      </c>
      <c r="DE10" s="242" t="s">
        <v>12</v>
      </c>
      <c r="DF10" s="240" t="s">
        <v>107</v>
      </c>
      <c r="DG10" s="241" t="s">
        <v>108</v>
      </c>
      <c r="DH10" s="242" t="s">
        <v>12</v>
      </c>
      <c r="DI10" s="240" t="s">
        <v>107</v>
      </c>
      <c r="DJ10" s="241" t="s">
        <v>108</v>
      </c>
      <c r="DK10" s="242" t="s">
        <v>12</v>
      </c>
      <c r="DL10" s="240" t="s">
        <v>107</v>
      </c>
      <c r="DM10" s="241" t="s">
        <v>108</v>
      </c>
      <c r="DN10" s="242" t="s">
        <v>12</v>
      </c>
      <c r="DO10" s="240" t="s">
        <v>107</v>
      </c>
      <c r="DP10" s="241" t="s">
        <v>108</v>
      </c>
      <c r="DQ10" s="242" t="s">
        <v>12</v>
      </c>
      <c r="DR10" s="240" t="s">
        <v>107</v>
      </c>
      <c r="DS10" s="241" t="s">
        <v>108</v>
      </c>
      <c r="DT10" s="242" t="s">
        <v>12</v>
      </c>
      <c r="DU10" s="240" t="s">
        <v>107</v>
      </c>
      <c r="DV10" s="241" t="s">
        <v>108</v>
      </c>
      <c r="DW10" s="242" t="s">
        <v>12</v>
      </c>
      <c r="DX10" s="240" t="s">
        <v>107</v>
      </c>
      <c r="DY10" s="241"/>
      <c r="DZ10" s="242"/>
      <c r="EA10" s="242"/>
      <c r="EB10" s="242" t="s">
        <v>109</v>
      </c>
      <c r="EC10" s="242" t="s">
        <v>109</v>
      </c>
      <c r="ED10" s="242" t="s">
        <v>12</v>
      </c>
      <c r="EE10" s="242" t="s">
        <v>108</v>
      </c>
      <c r="EG10" s="242" t="s">
        <v>109</v>
      </c>
      <c r="EH10" s="242" t="s">
        <v>12</v>
      </c>
      <c r="EI10" s="242" t="s">
        <v>108</v>
      </c>
      <c r="EJ10" s="242"/>
      <c r="EK10" s="242" t="s">
        <v>109</v>
      </c>
      <c r="EL10" s="242" t="s">
        <v>109</v>
      </c>
      <c r="EM10" s="242" t="s">
        <v>12</v>
      </c>
      <c r="EN10" s="242" t="s">
        <v>108</v>
      </c>
    </row>
    <row r="11" spans="1:147" x14ac:dyDescent="0.25">
      <c r="A11" s="222">
        <v>46143</v>
      </c>
      <c r="B11" s="208">
        <v>0</v>
      </c>
      <c r="C11" s="209">
        <v>3.9020560000000003E-2</v>
      </c>
      <c r="D11" s="208">
        <v>0</v>
      </c>
      <c r="G11" s="208">
        <v>0</v>
      </c>
      <c r="J11" s="208">
        <v>0</v>
      </c>
      <c r="M11" s="208">
        <v>0</v>
      </c>
      <c r="P11" s="208">
        <v>0</v>
      </c>
      <c r="S11" s="208">
        <v>0</v>
      </c>
      <c r="V11" s="208">
        <v>0</v>
      </c>
      <c r="Y11" s="208">
        <v>0</v>
      </c>
      <c r="AB11" s="208">
        <v>0</v>
      </c>
      <c r="AE11" s="208">
        <v>0</v>
      </c>
      <c r="AH11" s="208">
        <v>0</v>
      </c>
      <c r="AI11" s="223">
        <v>260000000</v>
      </c>
      <c r="AJ11" s="224">
        <v>3.8800000000000001E-2</v>
      </c>
      <c r="AK11" s="208">
        <v>28022.222222222223</v>
      </c>
      <c r="AL11" s="223">
        <v>108954000</v>
      </c>
      <c r="AM11" s="224">
        <v>3.95E-2</v>
      </c>
      <c r="AN11" s="208">
        <v>11954.674999999999</v>
      </c>
      <c r="AO11" s="223"/>
      <c r="AP11" s="224"/>
      <c r="AQ11" s="208">
        <v>0</v>
      </c>
      <c r="AR11" s="223"/>
      <c r="AS11" s="224"/>
      <c r="AT11" s="208">
        <v>0</v>
      </c>
      <c r="AW11" s="208">
        <v>0</v>
      </c>
      <c r="AZ11" s="208">
        <v>0</v>
      </c>
      <c r="BC11" s="208">
        <v>0</v>
      </c>
      <c r="BF11" s="208">
        <v>0</v>
      </c>
      <c r="BI11" s="208">
        <v>0</v>
      </c>
      <c r="BL11" s="208">
        <v>0</v>
      </c>
      <c r="BO11" s="208">
        <v>0</v>
      </c>
      <c r="BR11" s="208">
        <v>0</v>
      </c>
      <c r="BU11" s="208">
        <v>0</v>
      </c>
      <c r="BX11" s="208">
        <v>0</v>
      </c>
      <c r="CA11" s="208">
        <v>0</v>
      </c>
      <c r="CD11" s="208">
        <v>0</v>
      </c>
      <c r="CG11" s="208">
        <v>0</v>
      </c>
      <c r="CJ11" s="208">
        <v>0</v>
      </c>
      <c r="CM11" s="208">
        <v>0</v>
      </c>
      <c r="CP11" s="208">
        <v>0</v>
      </c>
      <c r="CS11" s="208">
        <v>0</v>
      </c>
      <c r="CV11" s="208">
        <v>0</v>
      </c>
      <c r="CY11" s="208">
        <v>0</v>
      </c>
      <c r="DB11" s="208">
        <v>0</v>
      </c>
      <c r="DE11" s="208">
        <v>0</v>
      </c>
      <c r="DH11" s="208">
        <v>0</v>
      </c>
      <c r="DK11" s="208">
        <v>0</v>
      </c>
      <c r="DN11" s="208">
        <v>0</v>
      </c>
      <c r="DQ11" s="208">
        <v>0</v>
      </c>
      <c r="DT11" s="208">
        <v>0</v>
      </c>
      <c r="DW11" s="208">
        <v>0</v>
      </c>
      <c r="DZ11" s="208"/>
      <c r="EA11" s="208"/>
      <c r="EB11" s="228">
        <v>368954000</v>
      </c>
      <c r="EC11" s="228">
        <v>0</v>
      </c>
      <c r="ED11" s="208">
        <v>39976.897222222222</v>
      </c>
      <c r="EE11" s="209">
        <v>3.9006713574049882E-2</v>
      </c>
      <c r="EG11" s="228">
        <v>0</v>
      </c>
      <c r="EH11" s="208">
        <v>0</v>
      </c>
      <c r="EI11" s="209">
        <v>0</v>
      </c>
      <c r="EJ11" s="209"/>
      <c r="EK11" s="228">
        <v>368954000</v>
      </c>
      <c r="EL11" s="228">
        <v>0</v>
      </c>
      <c r="EM11" s="228">
        <v>39976.897222222222</v>
      </c>
      <c r="EN11" s="209">
        <v>3.9006713574049882E-2</v>
      </c>
      <c r="EP11" s="208"/>
    </row>
    <row r="12" spans="1:147" x14ac:dyDescent="0.25">
      <c r="A12" s="222">
        <v>46144</v>
      </c>
      <c r="B12" s="208">
        <v>0</v>
      </c>
      <c r="C12" s="209">
        <v>3.9020560000000003E-2</v>
      </c>
      <c r="D12" s="208">
        <v>0</v>
      </c>
      <c r="G12" s="208">
        <v>0</v>
      </c>
      <c r="J12" s="208">
        <v>0</v>
      </c>
      <c r="M12" s="208">
        <v>0</v>
      </c>
      <c r="P12" s="208">
        <v>0</v>
      </c>
      <c r="S12" s="208">
        <v>0</v>
      </c>
      <c r="V12" s="208">
        <v>0</v>
      </c>
      <c r="Y12" s="208">
        <v>0</v>
      </c>
      <c r="AB12" s="208">
        <v>0</v>
      </c>
      <c r="AE12" s="208">
        <v>0</v>
      </c>
      <c r="AH12" s="208">
        <v>0</v>
      </c>
      <c r="AI12" s="223">
        <v>260000000</v>
      </c>
      <c r="AJ12" s="224">
        <v>3.8800000000000001E-2</v>
      </c>
      <c r="AK12" s="208">
        <v>28022.222222222223</v>
      </c>
      <c r="AL12" s="223">
        <v>108954000</v>
      </c>
      <c r="AM12" s="224">
        <v>3.95E-2</v>
      </c>
      <c r="AN12" s="208">
        <v>11954.674999999999</v>
      </c>
      <c r="AO12" s="223"/>
      <c r="AP12" s="224"/>
      <c r="AQ12" s="208">
        <v>0</v>
      </c>
      <c r="AR12" s="223"/>
      <c r="AS12" s="224"/>
      <c r="AT12" s="208">
        <v>0</v>
      </c>
      <c r="AW12" s="208">
        <v>0</v>
      </c>
      <c r="AZ12" s="208">
        <v>0</v>
      </c>
      <c r="BC12" s="208">
        <v>0</v>
      </c>
      <c r="BF12" s="208">
        <v>0</v>
      </c>
      <c r="BI12" s="208">
        <v>0</v>
      </c>
      <c r="BL12" s="208">
        <v>0</v>
      </c>
      <c r="BO12" s="208">
        <v>0</v>
      </c>
      <c r="BR12" s="208">
        <v>0</v>
      </c>
      <c r="BU12" s="208">
        <v>0</v>
      </c>
      <c r="BX12" s="208">
        <v>0</v>
      </c>
      <c r="CA12" s="208">
        <v>0</v>
      </c>
      <c r="CD12" s="208">
        <v>0</v>
      </c>
      <c r="CG12" s="208">
        <v>0</v>
      </c>
      <c r="CJ12" s="208">
        <v>0</v>
      </c>
      <c r="CM12" s="208">
        <v>0</v>
      </c>
      <c r="CP12" s="208">
        <v>0</v>
      </c>
      <c r="CS12" s="208">
        <v>0</v>
      </c>
      <c r="CV12" s="208">
        <v>0</v>
      </c>
      <c r="CY12" s="208">
        <v>0</v>
      </c>
      <c r="DB12" s="208">
        <v>0</v>
      </c>
      <c r="DE12" s="208">
        <v>0</v>
      </c>
      <c r="DH12" s="208">
        <v>0</v>
      </c>
      <c r="DK12" s="208">
        <v>0</v>
      </c>
      <c r="DN12" s="208">
        <v>0</v>
      </c>
      <c r="DQ12" s="208">
        <v>0</v>
      </c>
      <c r="DT12" s="208">
        <v>0</v>
      </c>
      <c r="DW12" s="208">
        <v>0</v>
      </c>
      <c r="DZ12" s="208"/>
      <c r="EA12" s="208"/>
      <c r="EB12" s="228">
        <v>368954000</v>
      </c>
      <c r="EC12" s="228">
        <v>0</v>
      </c>
      <c r="ED12" s="208">
        <v>39976.897222222222</v>
      </c>
      <c r="EE12" s="209">
        <v>3.9006713574049882E-2</v>
      </c>
      <c r="EG12" s="228">
        <v>0</v>
      </c>
      <c r="EH12" s="208">
        <v>0</v>
      </c>
      <c r="EI12" s="209">
        <v>0</v>
      </c>
      <c r="EJ12" s="209"/>
      <c r="EK12" s="228">
        <v>368954000</v>
      </c>
      <c r="EL12" s="228">
        <v>0</v>
      </c>
      <c r="EM12" s="228">
        <v>39976.897222222222</v>
      </c>
      <c r="EN12" s="209">
        <v>3.9006713574049882E-2</v>
      </c>
      <c r="EP12" s="208"/>
    </row>
    <row r="13" spans="1:147" x14ac:dyDescent="0.25">
      <c r="A13" s="222">
        <v>46145</v>
      </c>
      <c r="B13" s="208">
        <v>0</v>
      </c>
      <c r="C13" s="209">
        <v>3.9020560000000003E-2</v>
      </c>
      <c r="D13" s="208">
        <v>0</v>
      </c>
      <c r="G13" s="208">
        <v>0</v>
      </c>
      <c r="J13" s="208">
        <v>0</v>
      </c>
      <c r="M13" s="208">
        <v>0</v>
      </c>
      <c r="P13" s="208">
        <v>0</v>
      </c>
      <c r="S13" s="208">
        <v>0</v>
      </c>
      <c r="V13" s="208">
        <v>0</v>
      </c>
      <c r="Y13" s="208">
        <v>0</v>
      </c>
      <c r="AB13" s="208">
        <v>0</v>
      </c>
      <c r="AE13" s="208">
        <v>0</v>
      </c>
      <c r="AH13" s="208">
        <v>0</v>
      </c>
      <c r="AI13" s="223">
        <v>260000000</v>
      </c>
      <c r="AJ13" s="224">
        <v>3.8800000000000001E-2</v>
      </c>
      <c r="AK13" s="208">
        <v>28022.222222222223</v>
      </c>
      <c r="AL13" s="223">
        <v>108954000</v>
      </c>
      <c r="AM13" s="224">
        <v>3.95E-2</v>
      </c>
      <c r="AN13" s="208">
        <v>11954.674999999999</v>
      </c>
      <c r="AO13" s="223"/>
      <c r="AP13" s="224"/>
      <c r="AQ13" s="208">
        <v>0</v>
      </c>
      <c r="AR13" s="223"/>
      <c r="AS13" s="224"/>
      <c r="AT13" s="208">
        <v>0</v>
      </c>
      <c r="AW13" s="208">
        <v>0</v>
      </c>
      <c r="AZ13" s="208">
        <v>0</v>
      </c>
      <c r="BC13" s="208">
        <v>0</v>
      </c>
      <c r="BF13" s="208">
        <v>0</v>
      </c>
      <c r="BI13" s="208">
        <v>0</v>
      </c>
      <c r="BL13" s="208">
        <v>0</v>
      </c>
      <c r="BO13" s="208">
        <v>0</v>
      </c>
      <c r="BR13" s="208">
        <v>0</v>
      </c>
      <c r="BU13" s="208">
        <v>0</v>
      </c>
      <c r="BX13" s="208">
        <v>0</v>
      </c>
      <c r="CA13" s="208">
        <v>0</v>
      </c>
      <c r="CD13" s="208">
        <v>0</v>
      </c>
      <c r="CG13" s="208">
        <v>0</v>
      </c>
      <c r="CJ13" s="208">
        <v>0</v>
      </c>
      <c r="CM13" s="208">
        <v>0</v>
      </c>
      <c r="CP13" s="208">
        <v>0</v>
      </c>
      <c r="CS13" s="208">
        <v>0</v>
      </c>
      <c r="CV13" s="208">
        <v>0</v>
      </c>
      <c r="CY13" s="208">
        <v>0</v>
      </c>
      <c r="DB13" s="208">
        <v>0</v>
      </c>
      <c r="DE13" s="208">
        <v>0</v>
      </c>
      <c r="DH13" s="208">
        <v>0</v>
      </c>
      <c r="DK13" s="208">
        <v>0</v>
      </c>
      <c r="DN13" s="208">
        <v>0</v>
      </c>
      <c r="DQ13" s="208">
        <v>0</v>
      </c>
      <c r="DT13" s="208">
        <v>0</v>
      </c>
      <c r="DW13" s="208">
        <v>0</v>
      </c>
      <c r="DZ13" s="208"/>
      <c r="EA13" s="208"/>
      <c r="EB13" s="228">
        <v>368954000</v>
      </c>
      <c r="EC13" s="228">
        <v>0</v>
      </c>
      <c r="ED13" s="208">
        <v>39976.897222222222</v>
      </c>
      <c r="EE13" s="209">
        <v>3.9006713574049882E-2</v>
      </c>
      <c r="EG13" s="228">
        <v>0</v>
      </c>
      <c r="EH13" s="208">
        <v>0</v>
      </c>
      <c r="EI13" s="209">
        <v>0</v>
      </c>
      <c r="EJ13" s="209"/>
      <c r="EK13" s="228">
        <v>368954000</v>
      </c>
      <c r="EL13" s="228">
        <v>0</v>
      </c>
      <c r="EM13" s="228">
        <v>39976.897222222222</v>
      </c>
      <c r="EN13" s="209">
        <v>3.9006713574049882E-2</v>
      </c>
      <c r="EP13" s="208"/>
    </row>
    <row r="14" spans="1:147" x14ac:dyDescent="0.25">
      <c r="A14" s="222">
        <v>46146</v>
      </c>
      <c r="B14" s="208">
        <v>0</v>
      </c>
      <c r="C14" s="209">
        <v>3.9016670000000003E-2</v>
      </c>
      <c r="D14" s="208">
        <v>0</v>
      </c>
      <c r="G14" s="208">
        <v>0</v>
      </c>
      <c r="J14" s="208">
        <v>0</v>
      </c>
      <c r="M14" s="208">
        <v>0</v>
      </c>
      <c r="P14" s="208">
        <v>0</v>
      </c>
      <c r="S14" s="208">
        <v>0</v>
      </c>
      <c r="V14" s="208">
        <v>0</v>
      </c>
      <c r="Y14" s="208">
        <v>0</v>
      </c>
      <c r="AB14" s="208">
        <v>0</v>
      </c>
      <c r="AE14" s="208">
        <v>0</v>
      </c>
      <c r="AH14" s="208">
        <v>0</v>
      </c>
      <c r="AI14" s="223">
        <v>190600000</v>
      </c>
      <c r="AJ14" s="224">
        <v>3.8800000000000001E-2</v>
      </c>
      <c r="AK14" s="208">
        <v>20542.444444444445</v>
      </c>
      <c r="AL14" s="223">
        <v>158954000</v>
      </c>
      <c r="AM14" s="224">
        <v>3.95E-2</v>
      </c>
      <c r="AN14" s="208">
        <v>17440.786111111112</v>
      </c>
      <c r="AO14" s="223"/>
      <c r="AP14" s="224"/>
      <c r="AQ14" s="208">
        <v>0</v>
      </c>
      <c r="AR14" s="223"/>
      <c r="AS14" s="224"/>
      <c r="AT14" s="208">
        <v>0</v>
      </c>
      <c r="AW14" s="208">
        <v>0</v>
      </c>
      <c r="AZ14" s="208">
        <v>0</v>
      </c>
      <c r="BC14" s="208">
        <v>0</v>
      </c>
      <c r="BF14" s="208">
        <v>0</v>
      </c>
      <c r="BI14" s="208">
        <v>0</v>
      </c>
      <c r="BL14" s="208">
        <v>0</v>
      </c>
      <c r="BO14" s="208">
        <v>0</v>
      </c>
      <c r="BR14" s="208">
        <v>0</v>
      </c>
      <c r="BU14" s="208">
        <v>0</v>
      </c>
      <c r="BX14" s="208">
        <v>0</v>
      </c>
      <c r="CA14" s="208">
        <v>0</v>
      </c>
      <c r="CD14" s="208">
        <v>0</v>
      </c>
      <c r="CG14" s="208">
        <v>0</v>
      </c>
      <c r="CJ14" s="208">
        <v>0</v>
      </c>
      <c r="CM14" s="208">
        <v>0</v>
      </c>
      <c r="CP14" s="208">
        <v>0</v>
      </c>
      <c r="CS14" s="208">
        <v>0</v>
      </c>
      <c r="CV14" s="208">
        <v>0</v>
      </c>
      <c r="CY14" s="208">
        <v>0</v>
      </c>
      <c r="DB14" s="208">
        <v>0</v>
      </c>
      <c r="DE14" s="208">
        <v>0</v>
      </c>
      <c r="DH14" s="208">
        <v>0</v>
      </c>
      <c r="DK14" s="208">
        <v>0</v>
      </c>
      <c r="DN14" s="208">
        <v>0</v>
      </c>
      <c r="DQ14" s="208">
        <v>0</v>
      </c>
      <c r="DT14" s="208">
        <v>0</v>
      </c>
      <c r="DW14" s="208">
        <v>0</v>
      </c>
      <c r="DZ14" s="208"/>
      <c r="EA14" s="208"/>
      <c r="EB14" s="228">
        <v>349554000</v>
      </c>
      <c r="EC14" s="228">
        <v>0</v>
      </c>
      <c r="ED14" s="208">
        <v>37983.230555555558</v>
      </c>
      <c r="EE14" s="209">
        <v>3.9118313622501823E-2</v>
      </c>
      <c r="EG14" s="228">
        <v>0</v>
      </c>
      <c r="EH14" s="208">
        <v>0</v>
      </c>
      <c r="EI14" s="209">
        <v>0</v>
      </c>
      <c r="EJ14" s="209"/>
      <c r="EK14" s="228">
        <v>349554000</v>
      </c>
      <c r="EL14" s="228">
        <v>0</v>
      </c>
      <c r="EM14" s="228">
        <v>37983.230555555558</v>
      </c>
      <c r="EN14" s="209">
        <v>3.9118313622501823E-2</v>
      </c>
      <c r="EP14" s="208"/>
    </row>
    <row r="15" spans="1:147" x14ac:dyDescent="0.25">
      <c r="A15" s="222">
        <v>46147</v>
      </c>
      <c r="B15" s="208">
        <v>0</v>
      </c>
      <c r="C15" s="209">
        <v>3.9014470000000002E-2</v>
      </c>
      <c r="D15" s="208">
        <v>0</v>
      </c>
      <c r="G15" s="208">
        <v>0</v>
      </c>
      <c r="J15" s="208">
        <v>0</v>
      </c>
      <c r="M15" s="208">
        <v>0</v>
      </c>
      <c r="P15" s="208">
        <v>0</v>
      </c>
      <c r="S15" s="208">
        <v>0</v>
      </c>
      <c r="V15" s="208">
        <v>0</v>
      </c>
      <c r="Y15" s="208">
        <v>0</v>
      </c>
      <c r="AB15" s="208">
        <v>0</v>
      </c>
      <c r="AE15" s="208">
        <v>0</v>
      </c>
      <c r="AH15" s="208">
        <v>0</v>
      </c>
      <c r="AI15" s="223">
        <v>91900000</v>
      </c>
      <c r="AJ15" s="224">
        <v>3.8800000000000001E-2</v>
      </c>
      <c r="AK15" s="208">
        <v>9904.7777777777774</v>
      </c>
      <c r="AL15" s="223">
        <v>238954000</v>
      </c>
      <c r="AM15" s="224">
        <v>3.95E-2</v>
      </c>
      <c r="AN15" s="208">
        <v>26218.56388888889</v>
      </c>
      <c r="AO15" s="223"/>
      <c r="AP15" s="224"/>
      <c r="AQ15" s="208">
        <v>0</v>
      </c>
      <c r="AR15" s="223"/>
      <c r="AS15" s="224"/>
      <c r="AT15" s="208">
        <v>0</v>
      </c>
      <c r="AW15" s="208">
        <v>0</v>
      </c>
      <c r="AZ15" s="208">
        <v>0</v>
      </c>
      <c r="BC15" s="208">
        <v>0</v>
      </c>
      <c r="BF15" s="208">
        <v>0</v>
      </c>
      <c r="BI15" s="208">
        <v>0</v>
      </c>
      <c r="BL15" s="208">
        <v>0</v>
      </c>
      <c r="BO15" s="208">
        <v>0</v>
      </c>
      <c r="BR15" s="208">
        <v>0</v>
      </c>
      <c r="BU15" s="208">
        <v>0</v>
      </c>
      <c r="BX15" s="208">
        <v>0</v>
      </c>
      <c r="CA15" s="208">
        <v>0</v>
      </c>
      <c r="CD15" s="208">
        <v>0</v>
      </c>
      <c r="CG15" s="208">
        <v>0</v>
      </c>
      <c r="CJ15" s="208">
        <v>0</v>
      </c>
      <c r="CM15" s="208">
        <v>0</v>
      </c>
      <c r="CP15" s="208">
        <v>0</v>
      </c>
      <c r="CS15" s="208">
        <v>0</v>
      </c>
      <c r="CV15" s="208">
        <v>0</v>
      </c>
      <c r="CY15" s="208">
        <v>0</v>
      </c>
      <c r="DB15" s="208">
        <v>0</v>
      </c>
      <c r="DE15" s="208">
        <v>0</v>
      </c>
      <c r="DH15" s="208">
        <v>0</v>
      </c>
      <c r="DK15" s="208">
        <v>0</v>
      </c>
      <c r="DN15" s="208">
        <v>0</v>
      </c>
      <c r="DQ15" s="208">
        <v>0</v>
      </c>
      <c r="DT15" s="208">
        <v>0</v>
      </c>
      <c r="DW15" s="208">
        <v>0</v>
      </c>
      <c r="DZ15" s="208"/>
      <c r="EA15" s="208"/>
      <c r="EB15" s="228">
        <v>330854000</v>
      </c>
      <c r="EC15" s="228">
        <v>0</v>
      </c>
      <c r="ED15" s="208">
        <v>36123.341666666667</v>
      </c>
      <c r="EE15" s="209">
        <v>3.9305563783421087E-2</v>
      </c>
      <c r="EG15" s="228">
        <v>0</v>
      </c>
      <c r="EH15" s="208">
        <v>0</v>
      </c>
      <c r="EI15" s="209">
        <v>0</v>
      </c>
      <c r="EJ15" s="209"/>
      <c r="EK15" s="228">
        <v>330854000</v>
      </c>
      <c r="EL15" s="228">
        <v>0</v>
      </c>
      <c r="EM15" s="228">
        <v>36123.341666666667</v>
      </c>
      <c r="EN15" s="209">
        <v>3.9305563783421087E-2</v>
      </c>
      <c r="EP15" s="208"/>
    </row>
    <row r="16" spans="1:147" x14ac:dyDescent="0.25">
      <c r="A16" s="222">
        <v>46148</v>
      </c>
      <c r="B16" s="208">
        <v>0</v>
      </c>
      <c r="C16" s="209">
        <v>3.8991930000000001E-2</v>
      </c>
      <c r="D16" s="208">
        <v>0</v>
      </c>
      <c r="G16" s="208">
        <v>0</v>
      </c>
      <c r="J16" s="208">
        <v>0</v>
      </c>
      <c r="M16" s="208">
        <v>0</v>
      </c>
      <c r="P16" s="208">
        <v>0</v>
      </c>
      <c r="S16" s="208">
        <v>0</v>
      </c>
      <c r="V16" s="208">
        <v>0</v>
      </c>
      <c r="Y16" s="208">
        <v>0</v>
      </c>
      <c r="AB16" s="208">
        <v>0</v>
      </c>
      <c r="AE16" s="208">
        <v>0</v>
      </c>
      <c r="AH16" s="208">
        <v>0</v>
      </c>
      <c r="AI16" s="223">
        <v>86200000</v>
      </c>
      <c r="AJ16" s="224">
        <v>3.8800000000000001E-2</v>
      </c>
      <c r="AK16" s="208">
        <v>9290.4444444444453</v>
      </c>
      <c r="AL16" s="223">
        <v>238954000</v>
      </c>
      <c r="AM16" s="224">
        <v>3.95E-2</v>
      </c>
      <c r="AN16" s="208">
        <v>26218.56388888889</v>
      </c>
      <c r="AO16" s="223"/>
      <c r="AP16" s="224"/>
      <c r="AQ16" s="208">
        <v>0</v>
      </c>
      <c r="AR16" s="223"/>
      <c r="AS16" s="224"/>
      <c r="AT16" s="208">
        <v>0</v>
      </c>
      <c r="AW16" s="208">
        <v>0</v>
      </c>
      <c r="AZ16" s="208">
        <v>0</v>
      </c>
      <c r="BC16" s="208">
        <v>0</v>
      </c>
      <c r="BF16" s="208">
        <v>0</v>
      </c>
      <c r="BI16" s="208">
        <v>0</v>
      </c>
      <c r="BL16" s="208">
        <v>0</v>
      </c>
      <c r="BO16" s="208">
        <v>0</v>
      </c>
      <c r="BR16" s="208">
        <v>0</v>
      </c>
      <c r="BU16" s="208">
        <v>0</v>
      </c>
      <c r="BX16" s="208">
        <v>0</v>
      </c>
      <c r="CA16" s="208">
        <v>0</v>
      </c>
      <c r="CD16" s="208">
        <v>0</v>
      </c>
      <c r="CG16" s="208">
        <v>0</v>
      </c>
      <c r="CJ16" s="208">
        <v>0</v>
      </c>
      <c r="CM16" s="208">
        <v>0</v>
      </c>
      <c r="CP16" s="208">
        <v>0</v>
      </c>
      <c r="CS16" s="208">
        <v>0</v>
      </c>
      <c r="CV16" s="208">
        <v>0</v>
      </c>
      <c r="CY16" s="208">
        <v>0</v>
      </c>
      <c r="DB16" s="208">
        <v>0</v>
      </c>
      <c r="DE16" s="208">
        <v>0</v>
      </c>
      <c r="DH16" s="208">
        <v>0</v>
      </c>
      <c r="DK16" s="208">
        <v>0</v>
      </c>
      <c r="DN16" s="208">
        <v>0</v>
      </c>
      <c r="DQ16" s="208">
        <v>0</v>
      </c>
      <c r="DT16" s="208">
        <v>0</v>
      </c>
      <c r="DW16" s="208">
        <v>0</v>
      </c>
      <c r="DZ16" s="208"/>
      <c r="EA16" s="208"/>
      <c r="EB16" s="228">
        <v>325154000</v>
      </c>
      <c r="EC16" s="228">
        <v>0</v>
      </c>
      <c r="ED16" s="208">
        <v>35509.008333333331</v>
      </c>
      <c r="EE16" s="209">
        <v>3.9314426394877505E-2</v>
      </c>
      <c r="EG16" s="228">
        <v>0</v>
      </c>
      <c r="EH16" s="208">
        <v>0</v>
      </c>
      <c r="EI16" s="209">
        <v>0</v>
      </c>
      <c r="EJ16" s="209"/>
      <c r="EK16" s="228">
        <v>325154000</v>
      </c>
      <c r="EL16" s="228">
        <v>0</v>
      </c>
      <c r="EM16" s="228">
        <v>35509.008333333331</v>
      </c>
      <c r="EN16" s="209">
        <v>3.9314426394877505E-2</v>
      </c>
      <c r="EP16" s="208"/>
    </row>
    <row r="17" spans="1:146" x14ac:dyDescent="0.25">
      <c r="A17" s="222">
        <v>46149</v>
      </c>
      <c r="B17" s="208">
        <v>0</v>
      </c>
      <c r="C17" s="209">
        <v>3.906925E-2</v>
      </c>
      <c r="D17" s="208">
        <v>0</v>
      </c>
      <c r="G17" s="208">
        <v>0</v>
      </c>
      <c r="J17" s="208">
        <v>0</v>
      </c>
      <c r="M17" s="208">
        <v>0</v>
      </c>
      <c r="P17" s="208">
        <v>0</v>
      </c>
      <c r="S17" s="208">
        <v>0</v>
      </c>
      <c r="V17" s="208">
        <v>0</v>
      </c>
      <c r="Y17" s="208">
        <v>0</v>
      </c>
      <c r="AB17" s="208">
        <v>0</v>
      </c>
      <c r="AE17" s="208">
        <v>0</v>
      </c>
      <c r="AH17" s="208">
        <v>0</v>
      </c>
      <c r="AI17" s="223">
        <v>99500000</v>
      </c>
      <c r="AJ17" s="224">
        <v>3.8800000000000001E-2</v>
      </c>
      <c r="AK17" s="208">
        <v>10723.888888888889</v>
      </c>
      <c r="AL17" s="223">
        <v>230000000</v>
      </c>
      <c r="AM17" s="224">
        <v>3.95E-2</v>
      </c>
      <c r="AN17" s="208">
        <v>25236.111111111109</v>
      </c>
      <c r="AO17" s="223"/>
      <c r="AP17" s="224"/>
      <c r="AQ17" s="208">
        <v>0</v>
      </c>
      <c r="AR17" s="223"/>
      <c r="AS17" s="224"/>
      <c r="AT17" s="208">
        <v>0</v>
      </c>
      <c r="AW17" s="208">
        <v>0</v>
      </c>
      <c r="AZ17" s="208">
        <v>0</v>
      </c>
      <c r="BC17" s="208">
        <v>0</v>
      </c>
      <c r="BF17" s="208">
        <v>0</v>
      </c>
      <c r="BI17" s="208">
        <v>0</v>
      </c>
      <c r="BL17" s="208">
        <v>0</v>
      </c>
      <c r="BO17" s="208">
        <v>0</v>
      </c>
      <c r="BR17" s="208">
        <v>0</v>
      </c>
      <c r="BU17" s="208">
        <v>0</v>
      </c>
      <c r="BX17" s="208">
        <v>0</v>
      </c>
      <c r="CA17" s="208">
        <v>0</v>
      </c>
      <c r="CD17" s="208">
        <v>0</v>
      </c>
      <c r="CG17" s="208">
        <v>0</v>
      </c>
      <c r="CJ17" s="208">
        <v>0</v>
      </c>
      <c r="CM17" s="208">
        <v>0</v>
      </c>
      <c r="CP17" s="208">
        <v>0</v>
      </c>
      <c r="CS17" s="208">
        <v>0</v>
      </c>
      <c r="CV17" s="208">
        <v>0</v>
      </c>
      <c r="CY17" s="208">
        <v>0</v>
      </c>
      <c r="DB17" s="208">
        <v>0</v>
      </c>
      <c r="DE17" s="208">
        <v>0</v>
      </c>
      <c r="DH17" s="208">
        <v>0</v>
      </c>
      <c r="DK17" s="208">
        <v>0</v>
      </c>
      <c r="DN17" s="208">
        <v>0</v>
      </c>
      <c r="DQ17" s="208">
        <v>0</v>
      </c>
      <c r="DT17" s="208">
        <v>0</v>
      </c>
      <c r="DW17" s="208">
        <v>0</v>
      </c>
      <c r="DZ17" s="208"/>
      <c r="EA17" s="208"/>
      <c r="EB17" s="228">
        <v>329500000</v>
      </c>
      <c r="EC17" s="228">
        <v>0</v>
      </c>
      <c r="ED17" s="208">
        <v>35960</v>
      </c>
      <c r="EE17" s="209">
        <v>3.9288619119878604E-2</v>
      </c>
      <c r="EG17" s="228">
        <v>0</v>
      </c>
      <c r="EH17" s="208">
        <v>0</v>
      </c>
      <c r="EI17" s="209">
        <v>0</v>
      </c>
      <c r="EJ17" s="209"/>
      <c r="EK17" s="228">
        <v>329500000</v>
      </c>
      <c r="EL17" s="228">
        <v>0</v>
      </c>
      <c r="EM17" s="228">
        <v>35960</v>
      </c>
      <c r="EN17" s="209">
        <v>3.9288619119878604E-2</v>
      </c>
      <c r="EP17" s="208"/>
    </row>
    <row r="18" spans="1:146" x14ac:dyDescent="0.25">
      <c r="A18" s="222">
        <v>46150</v>
      </c>
      <c r="B18" s="208">
        <v>0</v>
      </c>
      <c r="C18" s="209">
        <v>3.914028E-2</v>
      </c>
      <c r="D18" s="208">
        <v>0</v>
      </c>
      <c r="G18" s="208">
        <v>0</v>
      </c>
      <c r="J18" s="208">
        <v>0</v>
      </c>
      <c r="M18" s="208">
        <v>0</v>
      </c>
      <c r="P18" s="208">
        <v>0</v>
      </c>
      <c r="S18" s="208">
        <v>0</v>
      </c>
      <c r="V18" s="208">
        <v>0</v>
      </c>
      <c r="Y18" s="208">
        <v>0</v>
      </c>
      <c r="AB18" s="208">
        <v>0</v>
      </c>
      <c r="AE18" s="208">
        <v>0</v>
      </c>
      <c r="AH18" s="208">
        <v>0</v>
      </c>
      <c r="AI18" s="223">
        <v>135000000</v>
      </c>
      <c r="AJ18" s="224">
        <v>3.8800000000000001E-2</v>
      </c>
      <c r="AK18" s="208">
        <v>14550</v>
      </c>
      <c r="AL18" s="223">
        <v>245000000</v>
      </c>
      <c r="AM18" s="224">
        <v>3.95E-2</v>
      </c>
      <c r="AN18" s="208">
        <v>26881.944444444445</v>
      </c>
      <c r="AO18" s="223"/>
      <c r="AP18" s="224"/>
      <c r="AQ18" s="208">
        <v>0</v>
      </c>
      <c r="AR18" s="223"/>
      <c r="AS18" s="224"/>
      <c r="AT18" s="208">
        <v>0</v>
      </c>
      <c r="AW18" s="208">
        <v>0</v>
      </c>
      <c r="AZ18" s="208">
        <v>0</v>
      </c>
      <c r="BC18" s="208">
        <v>0</v>
      </c>
      <c r="BF18" s="208">
        <v>0</v>
      </c>
      <c r="BI18" s="208">
        <v>0</v>
      </c>
      <c r="BL18" s="208">
        <v>0</v>
      </c>
      <c r="BO18" s="208">
        <v>0</v>
      </c>
      <c r="BR18" s="208">
        <v>0</v>
      </c>
      <c r="BU18" s="208">
        <v>0</v>
      </c>
      <c r="BX18" s="208">
        <v>0</v>
      </c>
      <c r="CA18" s="208">
        <v>0</v>
      </c>
      <c r="CD18" s="208">
        <v>0</v>
      </c>
      <c r="CG18" s="208">
        <v>0</v>
      </c>
      <c r="CJ18" s="208">
        <v>0</v>
      </c>
      <c r="CM18" s="208">
        <v>0</v>
      </c>
      <c r="CP18" s="208">
        <v>0</v>
      </c>
      <c r="CS18" s="208">
        <v>0</v>
      </c>
      <c r="CV18" s="208">
        <v>0</v>
      </c>
      <c r="CY18" s="208">
        <v>0</v>
      </c>
      <c r="DB18" s="208">
        <v>0</v>
      </c>
      <c r="DE18" s="208">
        <v>0</v>
      </c>
      <c r="DH18" s="208">
        <v>0</v>
      </c>
      <c r="DK18" s="208">
        <v>0</v>
      </c>
      <c r="DN18" s="208">
        <v>0</v>
      </c>
      <c r="DQ18" s="208">
        <v>0</v>
      </c>
      <c r="DT18" s="208">
        <v>0</v>
      </c>
      <c r="DW18" s="208">
        <v>0</v>
      </c>
      <c r="DZ18" s="208"/>
      <c r="EA18" s="208"/>
      <c r="EB18" s="228">
        <v>380000000</v>
      </c>
      <c r="EC18" s="228">
        <v>0</v>
      </c>
      <c r="ED18" s="208">
        <v>41431.944444444445</v>
      </c>
      <c r="EE18" s="209">
        <v>3.925131578947369E-2</v>
      </c>
      <c r="EG18" s="228">
        <v>0</v>
      </c>
      <c r="EH18" s="208">
        <v>0</v>
      </c>
      <c r="EI18" s="209">
        <v>0</v>
      </c>
      <c r="EJ18" s="209"/>
      <c r="EK18" s="228">
        <v>380000000</v>
      </c>
      <c r="EL18" s="228">
        <v>0</v>
      </c>
      <c r="EM18" s="228">
        <v>41431.944444444445</v>
      </c>
      <c r="EN18" s="209">
        <v>3.925131578947369E-2</v>
      </c>
      <c r="EP18" s="208"/>
    </row>
    <row r="19" spans="1:146" x14ac:dyDescent="0.25">
      <c r="A19" s="222">
        <v>46151</v>
      </c>
      <c r="B19" s="208">
        <v>0</v>
      </c>
      <c r="C19" s="209">
        <v>3.914028E-2</v>
      </c>
      <c r="D19" s="208">
        <v>0</v>
      </c>
      <c r="G19" s="208">
        <v>0</v>
      </c>
      <c r="J19" s="208">
        <v>0</v>
      </c>
      <c r="M19" s="208">
        <v>0</v>
      </c>
      <c r="P19" s="208">
        <v>0</v>
      </c>
      <c r="S19" s="208">
        <v>0</v>
      </c>
      <c r="V19" s="208">
        <v>0</v>
      </c>
      <c r="Y19" s="208">
        <v>0</v>
      </c>
      <c r="AB19" s="208">
        <v>0</v>
      </c>
      <c r="AE19" s="208">
        <v>0</v>
      </c>
      <c r="AH19" s="208">
        <v>0</v>
      </c>
      <c r="AI19" s="223">
        <v>135000000</v>
      </c>
      <c r="AJ19" s="224">
        <v>3.8800000000000001E-2</v>
      </c>
      <c r="AK19" s="208">
        <v>14550</v>
      </c>
      <c r="AL19" s="223">
        <v>245000000</v>
      </c>
      <c r="AM19" s="224">
        <v>3.95E-2</v>
      </c>
      <c r="AN19" s="208">
        <v>26881.944444444445</v>
      </c>
      <c r="AO19" s="223"/>
      <c r="AP19" s="224"/>
      <c r="AQ19" s="208">
        <v>0</v>
      </c>
      <c r="AR19" s="223"/>
      <c r="AS19" s="224"/>
      <c r="AT19" s="208">
        <v>0</v>
      </c>
      <c r="AW19" s="208">
        <v>0</v>
      </c>
      <c r="AZ19" s="208">
        <v>0</v>
      </c>
      <c r="BC19" s="208">
        <v>0</v>
      </c>
      <c r="BF19" s="208">
        <v>0</v>
      </c>
      <c r="BI19" s="208">
        <v>0</v>
      </c>
      <c r="BL19" s="208">
        <v>0</v>
      </c>
      <c r="BO19" s="208">
        <v>0</v>
      </c>
      <c r="BR19" s="208">
        <v>0</v>
      </c>
      <c r="BU19" s="208">
        <v>0</v>
      </c>
      <c r="BX19" s="208">
        <v>0</v>
      </c>
      <c r="CA19" s="208">
        <v>0</v>
      </c>
      <c r="CD19" s="208">
        <v>0</v>
      </c>
      <c r="CG19" s="208">
        <v>0</v>
      </c>
      <c r="CJ19" s="208">
        <v>0</v>
      </c>
      <c r="CM19" s="208">
        <v>0</v>
      </c>
      <c r="CP19" s="208">
        <v>0</v>
      </c>
      <c r="CS19" s="208">
        <v>0</v>
      </c>
      <c r="CV19" s="208">
        <v>0</v>
      </c>
      <c r="CY19" s="208">
        <v>0</v>
      </c>
      <c r="DB19" s="208">
        <v>0</v>
      </c>
      <c r="DE19" s="208">
        <v>0</v>
      </c>
      <c r="DH19" s="208">
        <v>0</v>
      </c>
      <c r="DK19" s="208">
        <v>0</v>
      </c>
      <c r="DN19" s="208">
        <v>0</v>
      </c>
      <c r="DQ19" s="208">
        <v>0</v>
      </c>
      <c r="DT19" s="208">
        <v>0</v>
      </c>
      <c r="DW19" s="208">
        <v>0</v>
      </c>
      <c r="DZ19" s="208"/>
      <c r="EA19" s="208"/>
      <c r="EB19" s="228">
        <v>380000000</v>
      </c>
      <c r="EC19" s="228">
        <v>0</v>
      </c>
      <c r="ED19" s="208">
        <v>41431.944444444445</v>
      </c>
      <c r="EE19" s="209">
        <v>3.925131578947369E-2</v>
      </c>
      <c r="EG19" s="228">
        <v>0</v>
      </c>
      <c r="EH19" s="208">
        <v>0</v>
      </c>
      <c r="EI19" s="209">
        <v>0</v>
      </c>
      <c r="EJ19" s="209"/>
      <c r="EK19" s="228">
        <v>380000000</v>
      </c>
      <c r="EL19" s="228">
        <v>0</v>
      </c>
      <c r="EM19" s="228">
        <v>41431.944444444445</v>
      </c>
      <c r="EN19" s="209">
        <v>3.925131578947369E-2</v>
      </c>
      <c r="EP19" s="208"/>
    </row>
    <row r="20" spans="1:146" x14ac:dyDescent="0.25">
      <c r="A20" s="222">
        <v>46152</v>
      </c>
      <c r="B20" s="208">
        <v>0</v>
      </c>
      <c r="C20" s="209">
        <v>3.914028E-2</v>
      </c>
      <c r="D20" s="208">
        <v>0</v>
      </c>
      <c r="G20" s="208">
        <v>0</v>
      </c>
      <c r="J20" s="208">
        <v>0</v>
      </c>
      <c r="M20" s="208">
        <v>0</v>
      </c>
      <c r="P20" s="208">
        <v>0</v>
      </c>
      <c r="S20" s="208">
        <v>0</v>
      </c>
      <c r="V20" s="208">
        <v>0</v>
      </c>
      <c r="Y20" s="208">
        <v>0</v>
      </c>
      <c r="AB20" s="208">
        <v>0</v>
      </c>
      <c r="AE20" s="208">
        <v>0</v>
      </c>
      <c r="AH20" s="208">
        <v>0</v>
      </c>
      <c r="AI20" s="223">
        <v>135000000</v>
      </c>
      <c r="AJ20" s="224">
        <v>3.8800000000000001E-2</v>
      </c>
      <c r="AK20" s="208">
        <v>14550</v>
      </c>
      <c r="AL20" s="223">
        <v>245000000</v>
      </c>
      <c r="AM20" s="224">
        <v>3.95E-2</v>
      </c>
      <c r="AN20" s="208">
        <v>26881.944444444445</v>
      </c>
      <c r="AO20" s="223"/>
      <c r="AP20" s="224"/>
      <c r="AQ20" s="208">
        <v>0</v>
      </c>
      <c r="AR20" s="223"/>
      <c r="AS20" s="224"/>
      <c r="AT20" s="208">
        <v>0</v>
      </c>
      <c r="AW20" s="208">
        <v>0</v>
      </c>
      <c r="AZ20" s="208">
        <v>0</v>
      </c>
      <c r="BC20" s="208">
        <v>0</v>
      </c>
      <c r="BF20" s="208">
        <v>0</v>
      </c>
      <c r="BI20" s="208">
        <v>0</v>
      </c>
      <c r="BL20" s="208">
        <v>0</v>
      </c>
      <c r="BO20" s="208">
        <v>0</v>
      </c>
      <c r="BR20" s="208">
        <v>0</v>
      </c>
      <c r="BU20" s="208">
        <v>0</v>
      </c>
      <c r="BX20" s="208">
        <v>0</v>
      </c>
      <c r="CA20" s="208">
        <v>0</v>
      </c>
      <c r="CD20" s="208">
        <v>0</v>
      </c>
      <c r="CG20" s="208">
        <v>0</v>
      </c>
      <c r="CJ20" s="208">
        <v>0</v>
      </c>
      <c r="CM20" s="208">
        <v>0</v>
      </c>
      <c r="CP20" s="208">
        <v>0</v>
      </c>
      <c r="CS20" s="208">
        <v>0</v>
      </c>
      <c r="CV20" s="208">
        <v>0</v>
      </c>
      <c r="CY20" s="208">
        <v>0</v>
      </c>
      <c r="DB20" s="208">
        <v>0</v>
      </c>
      <c r="DE20" s="208">
        <v>0</v>
      </c>
      <c r="DH20" s="208">
        <v>0</v>
      </c>
      <c r="DK20" s="208">
        <v>0</v>
      </c>
      <c r="DN20" s="208">
        <v>0</v>
      </c>
      <c r="DQ20" s="208">
        <v>0</v>
      </c>
      <c r="DT20" s="208">
        <v>0</v>
      </c>
      <c r="DW20" s="208">
        <v>0</v>
      </c>
      <c r="DZ20" s="208"/>
      <c r="EA20" s="208"/>
      <c r="EB20" s="228">
        <v>380000000</v>
      </c>
      <c r="EC20" s="228">
        <v>0</v>
      </c>
      <c r="ED20" s="208">
        <v>41431.944444444445</v>
      </c>
      <c r="EE20" s="209">
        <v>3.925131578947369E-2</v>
      </c>
      <c r="EG20" s="228">
        <v>0</v>
      </c>
      <c r="EH20" s="208">
        <v>0</v>
      </c>
      <c r="EI20" s="209">
        <v>0</v>
      </c>
      <c r="EJ20" s="209"/>
      <c r="EK20" s="228">
        <v>380000000</v>
      </c>
      <c r="EL20" s="228">
        <v>0</v>
      </c>
      <c r="EM20" s="228">
        <v>41431.944444444445</v>
      </c>
      <c r="EN20" s="209">
        <v>3.925131578947369E-2</v>
      </c>
      <c r="EP20" s="208"/>
    </row>
    <row r="21" spans="1:146" x14ac:dyDescent="0.25">
      <c r="A21" s="222">
        <v>46153</v>
      </c>
      <c r="B21" s="208">
        <v>0</v>
      </c>
      <c r="C21" s="209">
        <v>3.9103230000000003E-2</v>
      </c>
      <c r="D21" s="208">
        <v>0</v>
      </c>
      <c r="G21" s="208">
        <v>0</v>
      </c>
      <c r="J21" s="208">
        <v>0</v>
      </c>
      <c r="M21" s="208">
        <v>0</v>
      </c>
      <c r="P21" s="208">
        <v>0</v>
      </c>
      <c r="S21" s="208">
        <v>0</v>
      </c>
      <c r="V21" s="208">
        <v>0</v>
      </c>
      <c r="Y21" s="208">
        <v>0</v>
      </c>
      <c r="AB21" s="208">
        <v>0</v>
      </c>
      <c r="AE21" s="208">
        <v>0</v>
      </c>
      <c r="AH21" s="208">
        <v>0</v>
      </c>
      <c r="AI21" s="223">
        <v>84225000</v>
      </c>
      <c r="AJ21" s="224">
        <v>3.8800000000000001E-2</v>
      </c>
      <c r="AK21" s="208">
        <v>9077.5833333333339</v>
      </c>
      <c r="AL21" s="223">
        <v>175000000</v>
      </c>
      <c r="AM21" s="224">
        <v>3.95E-2</v>
      </c>
      <c r="AN21" s="208">
        <v>19201.388888888891</v>
      </c>
      <c r="AO21" s="223">
        <v>55000000</v>
      </c>
      <c r="AP21" s="224">
        <v>3.95E-2</v>
      </c>
      <c r="AQ21" s="208">
        <v>6034.7222222222226</v>
      </c>
      <c r="AR21" s="223"/>
      <c r="AS21" s="224"/>
      <c r="AT21" s="208">
        <v>0</v>
      </c>
      <c r="AW21" s="208">
        <v>0</v>
      </c>
      <c r="AZ21" s="208">
        <v>0</v>
      </c>
      <c r="BC21" s="208">
        <v>0</v>
      </c>
      <c r="BF21" s="208">
        <v>0</v>
      </c>
      <c r="BI21" s="208">
        <v>0</v>
      </c>
      <c r="BL21" s="208">
        <v>0</v>
      </c>
      <c r="BO21" s="208">
        <v>0</v>
      </c>
      <c r="BR21" s="208">
        <v>0</v>
      </c>
      <c r="BU21" s="208">
        <v>0</v>
      </c>
      <c r="BX21" s="208">
        <v>0</v>
      </c>
      <c r="CA21" s="208">
        <v>0</v>
      </c>
      <c r="CD21" s="208">
        <v>0</v>
      </c>
      <c r="CG21" s="208">
        <v>0</v>
      </c>
      <c r="CJ21" s="208">
        <v>0</v>
      </c>
      <c r="CM21" s="208">
        <v>0</v>
      </c>
      <c r="CP21" s="208">
        <v>0</v>
      </c>
      <c r="CS21" s="208">
        <v>0</v>
      </c>
      <c r="CV21" s="208">
        <v>0</v>
      </c>
      <c r="CY21" s="208">
        <v>0</v>
      </c>
      <c r="DB21" s="208">
        <v>0</v>
      </c>
      <c r="DE21" s="208">
        <v>0</v>
      </c>
      <c r="DH21" s="208">
        <v>0</v>
      </c>
      <c r="DK21" s="208">
        <v>0</v>
      </c>
      <c r="DN21" s="208">
        <v>0</v>
      </c>
      <c r="DQ21" s="208">
        <v>0</v>
      </c>
      <c r="DT21" s="208">
        <v>0</v>
      </c>
      <c r="DW21" s="208">
        <v>0</v>
      </c>
      <c r="DZ21" s="208"/>
      <c r="EA21" s="208"/>
      <c r="EB21" s="228">
        <v>314225000</v>
      </c>
      <c r="EC21" s="228">
        <v>0</v>
      </c>
      <c r="ED21" s="208">
        <v>34313.694444444453</v>
      </c>
      <c r="EE21" s="209">
        <v>3.931237170817091E-2</v>
      </c>
      <c r="EG21" s="228">
        <v>0</v>
      </c>
      <c r="EH21" s="208">
        <v>0</v>
      </c>
      <c r="EI21" s="209">
        <v>0</v>
      </c>
      <c r="EJ21" s="209"/>
      <c r="EK21" s="228">
        <v>314225000</v>
      </c>
      <c r="EL21" s="228">
        <v>0</v>
      </c>
      <c r="EM21" s="228">
        <v>34313.694444444445</v>
      </c>
      <c r="EN21" s="209">
        <v>3.9312371708170896E-2</v>
      </c>
      <c r="EP21" s="208"/>
    </row>
    <row r="22" spans="1:146" x14ac:dyDescent="0.25">
      <c r="A22" s="222">
        <v>46154</v>
      </c>
      <c r="B22" s="208">
        <v>0</v>
      </c>
      <c r="C22" s="209">
        <v>3.9101279999999995E-2</v>
      </c>
      <c r="D22" s="208">
        <v>0</v>
      </c>
      <c r="G22" s="208">
        <v>0</v>
      </c>
      <c r="J22" s="208">
        <v>0</v>
      </c>
      <c r="M22" s="208">
        <v>0</v>
      </c>
      <c r="P22" s="208">
        <v>0</v>
      </c>
      <c r="S22" s="208">
        <v>0</v>
      </c>
      <c r="V22" s="208">
        <v>0</v>
      </c>
      <c r="Y22" s="208">
        <v>0</v>
      </c>
      <c r="AB22" s="208">
        <v>0</v>
      </c>
      <c r="AE22" s="208">
        <v>0</v>
      </c>
      <c r="AH22" s="208">
        <v>0</v>
      </c>
      <c r="AI22" s="223">
        <v>147850000</v>
      </c>
      <c r="AJ22" s="224">
        <v>3.8800000000000001E-2</v>
      </c>
      <c r="AK22" s="208">
        <v>15934.944444444445</v>
      </c>
      <c r="AL22" s="223">
        <v>95000000</v>
      </c>
      <c r="AM22" s="224">
        <v>3.95E-2</v>
      </c>
      <c r="AN22" s="208">
        <v>10423.611111111111</v>
      </c>
      <c r="AO22" s="223">
        <v>55000000</v>
      </c>
      <c r="AP22" s="224">
        <v>3.95E-2</v>
      </c>
      <c r="AQ22" s="208">
        <v>6034.7222222222226</v>
      </c>
      <c r="AR22" s="223"/>
      <c r="AS22" s="224"/>
      <c r="AT22" s="208">
        <v>0</v>
      </c>
      <c r="AW22" s="208">
        <v>0</v>
      </c>
      <c r="AZ22" s="208">
        <v>0</v>
      </c>
      <c r="BC22" s="208">
        <v>0</v>
      </c>
      <c r="BF22" s="208">
        <v>0</v>
      </c>
      <c r="BI22" s="208">
        <v>0</v>
      </c>
      <c r="BL22" s="208">
        <v>0</v>
      </c>
      <c r="BO22" s="208">
        <v>0</v>
      </c>
      <c r="BR22" s="208">
        <v>0</v>
      </c>
      <c r="BU22" s="208">
        <v>0</v>
      </c>
      <c r="BX22" s="208">
        <v>0</v>
      </c>
      <c r="CA22" s="208">
        <v>0</v>
      </c>
      <c r="CD22" s="208">
        <v>0</v>
      </c>
      <c r="CG22" s="208">
        <v>0</v>
      </c>
      <c r="CJ22" s="208">
        <v>0</v>
      </c>
      <c r="CM22" s="208">
        <v>0</v>
      </c>
      <c r="CP22" s="208">
        <v>0</v>
      </c>
      <c r="CS22" s="208">
        <v>0</v>
      </c>
      <c r="CV22" s="208">
        <v>0</v>
      </c>
      <c r="CY22" s="208">
        <v>0</v>
      </c>
      <c r="DB22" s="208">
        <v>0</v>
      </c>
      <c r="DE22" s="208">
        <v>0</v>
      </c>
      <c r="DH22" s="208">
        <v>0</v>
      </c>
      <c r="DK22" s="208">
        <v>0</v>
      </c>
      <c r="DN22" s="208">
        <v>0</v>
      </c>
      <c r="DQ22" s="208">
        <v>0</v>
      </c>
      <c r="DT22" s="208">
        <v>0</v>
      </c>
      <c r="DW22" s="208">
        <v>0</v>
      </c>
      <c r="DZ22" s="208"/>
      <c r="EA22" s="208"/>
      <c r="EB22" s="228">
        <v>297850000</v>
      </c>
      <c r="EC22" s="228">
        <v>0</v>
      </c>
      <c r="ED22" s="208">
        <v>32393.277777777777</v>
      </c>
      <c r="EE22" s="209">
        <v>3.9152526439482964E-2</v>
      </c>
      <c r="EG22" s="228">
        <v>0</v>
      </c>
      <c r="EH22" s="208">
        <v>0</v>
      </c>
      <c r="EI22" s="209">
        <v>0</v>
      </c>
      <c r="EJ22" s="209"/>
      <c r="EK22" s="228">
        <v>297850000</v>
      </c>
      <c r="EL22" s="228">
        <v>0</v>
      </c>
      <c r="EM22" s="228">
        <v>32393.277777777781</v>
      </c>
      <c r="EN22" s="209">
        <v>3.9152526439482964E-2</v>
      </c>
      <c r="EP22" s="208"/>
    </row>
    <row r="23" spans="1:146" x14ac:dyDescent="0.25">
      <c r="A23" s="222">
        <v>46155</v>
      </c>
      <c r="B23" s="208">
        <v>0</v>
      </c>
      <c r="C23" s="209">
        <v>3.9050979999999999E-2</v>
      </c>
      <c r="D23" s="208">
        <v>0</v>
      </c>
      <c r="G23" s="208">
        <v>0</v>
      </c>
      <c r="J23" s="208">
        <v>0</v>
      </c>
      <c r="M23" s="208">
        <v>0</v>
      </c>
      <c r="P23" s="208">
        <v>0</v>
      </c>
      <c r="S23" s="208">
        <v>0</v>
      </c>
      <c r="V23" s="208">
        <v>0</v>
      </c>
      <c r="Y23" s="208">
        <v>0</v>
      </c>
      <c r="AB23" s="208">
        <v>0</v>
      </c>
      <c r="AE23" s="208">
        <v>0</v>
      </c>
      <c r="AH23" s="208">
        <v>0</v>
      </c>
      <c r="AI23" s="223">
        <v>146400000</v>
      </c>
      <c r="AJ23" s="224">
        <v>3.8800000000000001E-2</v>
      </c>
      <c r="AK23" s="208">
        <v>15778.666666666666</v>
      </c>
      <c r="AL23" s="223">
        <v>109200000</v>
      </c>
      <c r="AM23" s="224">
        <v>3.95E-2</v>
      </c>
      <c r="AN23" s="208">
        <v>11981.666666666666</v>
      </c>
      <c r="AO23" s="223">
        <v>55000000</v>
      </c>
      <c r="AP23" s="224">
        <v>3.95E-2</v>
      </c>
      <c r="AQ23" s="208">
        <v>6034.7222222222226</v>
      </c>
      <c r="AR23" s="223"/>
      <c r="AS23" s="224"/>
      <c r="AT23" s="208">
        <v>0</v>
      </c>
      <c r="AW23" s="208">
        <v>0</v>
      </c>
      <c r="AZ23" s="208">
        <v>0</v>
      </c>
      <c r="BC23" s="208">
        <v>0</v>
      </c>
      <c r="BF23" s="208">
        <v>0</v>
      </c>
      <c r="BI23" s="208">
        <v>0</v>
      </c>
      <c r="BL23" s="208">
        <v>0</v>
      </c>
      <c r="BO23" s="208">
        <v>0</v>
      </c>
      <c r="BR23" s="208">
        <v>0</v>
      </c>
      <c r="BU23" s="208">
        <v>0</v>
      </c>
      <c r="BX23" s="208">
        <v>0</v>
      </c>
      <c r="CA23" s="208">
        <v>0</v>
      </c>
      <c r="CD23" s="208">
        <v>0</v>
      </c>
      <c r="CG23" s="208">
        <v>0</v>
      </c>
      <c r="CJ23" s="208">
        <v>0</v>
      </c>
      <c r="CM23" s="208">
        <v>0</v>
      </c>
      <c r="CP23" s="208">
        <v>0</v>
      </c>
      <c r="CS23" s="208">
        <v>0</v>
      </c>
      <c r="CV23" s="208">
        <v>0</v>
      </c>
      <c r="CY23" s="208">
        <v>0</v>
      </c>
      <c r="DB23" s="208">
        <v>0</v>
      </c>
      <c r="DE23" s="208">
        <v>0</v>
      </c>
      <c r="DH23" s="208">
        <v>0</v>
      </c>
      <c r="DK23" s="208">
        <v>0</v>
      </c>
      <c r="DN23" s="208">
        <v>0</v>
      </c>
      <c r="DQ23" s="208">
        <v>0</v>
      </c>
      <c r="DT23" s="208">
        <v>0</v>
      </c>
      <c r="DW23" s="208">
        <v>0</v>
      </c>
      <c r="DZ23" s="208"/>
      <c r="EA23" s="208"/>
      <c r="EB23" s="228">
        <v>310600000</v>
      </c>
      <c r="EC23" s="228">
        <v>0</v>
      </c>
      <c r="ED23" s="208">
        <v>33795.055555555555</v>
      </c>
      <c r="EE23" s="209">
        <v>3.917005795235029E-2</v>
      </c>
      <c r="EG23" s="228">
        <v>0</v>
      </c>
      <c r="EH23" s="208">
        <v>0</v>
      </c>
      <c r="EI23" s="209">
        <v>0</v>
      </c>
      <c r="EJ23" s="209"/>
      <c r="EK23" s="228">
        <v>310600000</v>
      </c>
      <c r="EL23" s="228">
        <v>0</v>
      </c>
      <c r="EM23" s="228">
        <v>33795.055555555555</v>
      </c>
      <c r="EN23" s="209">
        <v>3.917005795235029E-2</v>
      </c>
      <c r="EP23" s="208"/>
    </row>
    <row r="24" spans="1:146" x14ac:dyDescent="0.25">
      <c r="A24" s="222">
        <v>46156</v>
      </c>
      <c r="B24" s="208">
        <v>0</v>
      </c>
      <c r="C24" s="209">
        <v>3.8983179999999999E-2</v>
      </c>
      <c r="D24" s="208">
        <v>0</v>
      </c>
      <c r="G24" s="208">
        <v>0</v>
      </c>
      <c r="J24" s="208">
        <v>0</v>
      </c>
      <c r="M24" s="208">
        <v>0</v>
      </c>
      <c r="P24" s="208">
        <v>0</v>
      </c>
      <c r="S24" s="208">
        <v>0</v>
      </c>
      <c r="V24" s="208">
        <v>0</v>
      </c>
      <c r="Y24" s="208">
        <v>0</v>
      </c>
      <c r="AB24" s="208">
        <v>0</v>
      </c>
      <c r="AE24" s="208">
        <v>0</v>
      </c>
      <c r="AH24" s="208">
        <v>0</v>
      </c>
      <c r="AI24" s="223">
        <v>193175000</v>
      </c>
      <c r="AJ24" s="224">
        <v>3.8800000000000001E-2</v>
      </c>
      <c r="AK24" s="208">
        <v>20819.972222222223</v>
      </c>
      <c r="AL24" s="223">
        <v>55200000</v>
      </c>
      <c r="AM24" s="224">
        <v>3.95E-2</v>
      </c>
      <c r="AN24" s="208">
        <v>6056.666666666667</v>
      </c>
      <c r="AO24" s="223">
        <v>55000000</v>
      </c>
      <c r="AP24" s="224">
        <v>3.95E-2</v>
      </c>
      <c r="AQ24" s="208">
        <v>6034.7222222222226</v>
      </c>
      <c r="AR24" s="223"/>
      <c r="AS24" s="224"/>
      <c r="AT24" s="208">
        <v>0</v>
      </c>
      <c r="AW24" s="208">
        <v>0</v>
      </c>
      <c r="AZ24" s="208">
        <v>0</v>
      </c>
      <c r="BC24" s="208">
        <v>0</v>
      </c>
      <c r="BF24" s="208">
        <v>0</v>
      </c>
      <c r="BI24" s="208">
        <v>0</v>
      </c>
      <c r="BL24" s="208">
        <v>0</v>
      </c>
      <c r="BO24" s="208">
        <v>0</v>
      </c>
      <c r="BR24" s="208">
        <v>0</v>
      </c>
      <c r="BU24" s="208">
        <v>0</v>
      </c>
      <c r="BX24" s="208">
        <v>0</v>
      </c>
      <c r="CA24" s="208">
        <v>0</v>
      </c>
      <c r="CD24" s="208">
        <v>0</v>
      </c>
      <c r="CG24" s="208">
        <v>0</v>
      </c>
      <c r="CJ24" s="208">
        <v>0</v>
      </c>
      <c r="CM24" s="208">
        <v>0</v>
      </c>
      <c r="CP24" s="208">
        <v>0</v>
      </c>
      <c r="CS24" s="208">
        <v>0</v>
      </c>
      <c r="CV24" s="208">
        <v>0</v>
      </c>
      <c r="CY24" s="208">
        <v>0</v>
      </c>
      <c r="DB24" s="208">
        <v>0</v>
      </c>
      <c r="DE24" s="208">
        <v>0</v>
      </c>
      <c r="DH24" s="208">
        <v>0</v>
      </c>
      <c r="DK24" s="208">
        <v>0</v>
      </c>
      <c r="DN24" s="208">
        <v>0</v>
      </c>
      <c r="DQ24" s="208">
        <v>0</v>
      </c>
      <c r="DT24" s="208">
        <v>0</v>
      </c>
      <c r="DW24" s="208">
        <v>0</v>
      </c>
      <c r="DZ24" s="208"/>
      <c r="EA24" s="208"/>
      <c r="EB24" s="228">
        <v>303375000</v>
      </c>
      <c r="EC24" s="228">
        <v>0</v>
      </c>
      <c r="ED24" s="208">
        <v>32911.361111111109</v>
      </c>
      <c r="EE24" s="209">
        <v>3.905427276473012E-2</v>
      </c>
      <c r="EG24" s="228">
        <v>0</v>
      </c>
      <c r="EH24" s="208">
        <v>0</v>
      </c>
      <c r="EI24" s="209">
        <v>0</v>
      </c>
      <c r="EJ24" s="209"/>
      <c r="EK24" s="228">
        <v>303375000</v>
      </c>
      <c r="EL24" s="228">
        <v>0</v>
      </c>
      <c r="EM24" s="228">
        <v>32911.361111111109</v>
      </c>
      <c r="EN24" s="209">
        <v>3.905427276473012E-2</v>
      </c>
      <c r="EP24" s="208"/>
    </row>
    <row r="25" spans="1:146" x14ac:dyDescent="0.25">
      <c r="A25" s="222">
        <v>46157</v>
      </c>
      <c r="B25" s="208">
        <v>0</v>
      </c>
      <c r="C25" s="209">
        <v>3.8873120000000004E-2</v>
      </c>
      <c r="D25" s="208">
        <v>0</v>
      </c>
      <c r="G25" s="208">
        <v>0</v>
      </c>
      <c r="J25" s="208">
        <v>0</v>
      </c>
      <c r="M25" s="208">
        <v>0</v>
      </c>
      <c r="P25" s="208">
        <v>0</v>
      </c>
      <c r="S25" s="208">
        <v>0</v>
      </c>
      <c r="V25" s="208">
        <v>0</v>
      </c>
      <c r="Y25" s="208">
        <v>0</v>
      </c>
      <c r="AB25" s="208">
        <v>0</v>
      </c>
      <c r="AE25" s="208">
        <v>0</v>
      </c>
      <c r="AH25" s="208">
        <v>0</v>
      </c>
      <c r="AI25" s="223">
        <v>150000000</v>
      </c>
      <c r="AJ25" s="224">
        <v>3.8800000000000001E-2</v>
      </c>
      <c r="AK25" s="208">
        <v>16166.666666666666</v>
      </c>
      <c r="AL25" s="223">
        <v>40200000</v>
      </c>
      <c r="AM25" s="224">
        <v>3.95E-2</v>
      </c>
      <c r="AN25" s="208">
        <v>4410.833333333333</v>
      </c>
      <c r="AO25" s="223">
        <v>55000000</v>
      </c>
      <c r="AP25" s="224">
        <v>3.95E-2</v>
      </c>
      <c r="AQ25" s="208">
        <v>6034.7222222222226</v>
      </c>
      <c r="AR25" s="223"/>
      <c r="AS25" s="224"/>
      <c r="AT25" s="208">
        <v>0</v>
      </c>
      <c r="AW25" s="208">
        <v>0</v>
      </c>
      <c r="AZ25" s="208">
        <v>0</v>
      </c>
      <c r="BC25" s="208">
        <v>0</v>
      </c>
      <c r="BF25" s="208">
        <v>0</v>
      </c>
      <c r="BI25" s="208">
        <v>0</v>
      </c>
      <c r="BL25" s="208">
        <v>0</v>
      </c>
      <c r="BO25" s="208">
        <v>0</v>
      </c>
      <c r="BR25" s="208">
        <v>0</v>
      </c>
      <c r="BU25" s="208">
        <v>0</v>
      </c>
      <c r="BX25" s="208">
        <v>0</v>
      </c>
      <c r="CA25" s="208">
        <v>0</v>
      </c>
      <c r="CD25" s="208">
        <v>0</v>
      </c>
      <c r="CG25" s="208">
        <v>0</v>
      </c>
      <c r="CJ25" s="208">
        <v>0</v>
      </c>
      <c r="CM25" s="208">
        <v>0</v>
      </c>
      <c r="CP25" s="208">
        <v>0</v>
      </c>
      <c r="CS25" s="208">
        <v>0</v>
      </c>
      <c r="CV25" s="208">
        <v>0</v>
      </c>
      <c r="CY25" s="208">
        <v>0</v>
      </c>
      <c r="DB25" s="208">
        <v>0</v>
      </c>
      <c r="DE25" s="208">
        <v>0</v>
      </c>
      <c r="DH25" s="208">
        <v>0</v>
      </c>
      <c r="DK25" s="208">
        <v>0</v>
      </c>
      <c r="DN25" s="208">
        <v>0</v>
      </c>
      <c r="DQ25" s="208">
        <v>0</v>
      </c>
      <c r="DT25" s="208">
        <v>0</v>
      </c>
      <c r="DW25" s="208">
        <v>0</v>
      </c>
      <c r="DZ25" s="208"/>
      <c r="EA25" s="208"/>
      <c r="EB25" s="228">
        <v>245200000</v>
      </c>
      <c r="EC25" s="228">
        <v>0</v>
      </c>
      <c r="ED25" s="208">
        <v>26612.222222222223</v>
      </c>
      <c r="EE25" s="209">
        <v>3.9071778140293639E-2</v>
      </c>
      <c r="EG25" s="228">
        <v>0</v>
      </c>
      <c r="EH25" s="208">
        <v>0</v>
      </c>
      <c r="EI25" s="209">
        <v>0</v>
      </c>
      <c r="EJ25" s="209"/>
      <c r="EK25" s="228">
        <v>245200000</v>
      </c>
      <c r="EL25" s="228">
        <v>0</v>
      </c>
      <c r="EM25" s="228">
        <v>26612.222222222219</v>
      </c>
      <c r="EN25" s="209">
        <v>3.9071778140293632E-2</v>
      </c>
      <c r="EP25" s="208"/>
    </row>
    <row r="26" spans="1:146" x14ac:dyDescent="0.25">
      <c r="A26" s="222">
        <v>46158</v>
      </c>
      <c r="B26" s="208">
        <v>0</v>
      </c>
      <c r="C26" s="209">
        <v>3.8848639999999997E-2</v>
      </c>
      <c r="D26" s="208">
        <v>0</v>
      </c>
      <c r="G26" s="208">
        <v>0</v>
      </c>
      <c r="J26" s="208">
        <v>0</v>
      </c>
      <c r="M26" s="208">
        <v>0</v>
      </c>
      <c r="P26" s="208">
        <v>0</v>
      </c>
      <c r="S26" s="208">
        <v>0</v>
      </c>
      <c r="V26" s="208">
        <v>0</v>
      </c>
      <c r="Y26" s="208">
        <v>0</v>
      </c>
      <c r="AB26" s="208">
        <v>0</v>
      </c>
      <c r="AE26" s="208">
        <v>0</v>
      </c>
      <c r="AH26" s="208">
        <v>0</v>
      </c>
      <c r="AI26" s="223">
        <v>150000000</v>
      </c>
      <c r="AJ26" s="224">
        <v>3.8800000000000001E-2</v>
      </c>
      <c r="AK26" s="208">
        <v>16166.666666666666</v>
      </c>
      <c r="AL26" s="223">
        <v>40200000</v>
      </c>
      <c r="AM26" s="224">
        <v>3.95E-2</v>
      </c>
      <c r="AN26" s="208">
        <v>4410.833333333333</v>
      </c>
      <c r="AO26" s="223">
        <v>55000000</v>
      </c>
      <c r="AP26" s="224">
        <v>3.95E-2</v>
      </c>
      <c r="AQ26" s="208">
        <v>6034.7222222222226</v>
      </c>
      <c r="AR26" s="223"/>
      <c r="AS26" s="224"/>
      <c r="AT26" s="208">
        <v>0</v>
      </c>
      <c r="AW26" s="208">
        <v>0</v>
      </c>
      <c r="AZ26" s="208">
        <v>0</v>
      </c>
      <c r="BC26" s="208">
        <v>0</v>
      </c>
      <c r="BF26" s="208">
        <v>0</v>
      </c>
      <c r="BI26" s="208">
        <v>0</v>
      </c>
      <c r="BL26" s="208">
        <v>0</v>
      </c>
      <c r="BO26" s="208">
        <v>0</v>
      </c>
      <c r="BR26" s="208">
        <v>0</v>
      </c>
      <c r="BU26" s="208">
        <v>0</v>
      </c>
      <c r="BX26" s="208">
        <v>0</v>
      </c>
      <c r="CA26" s="208">
        <v>0</v>
      </c>
      <c r="CD26" s="208">
        <v>0</v>
      </c>
      <c r="CG26" s="208">
        <v>0</v>
      </c>
      <c r="CJ26" s="208">
        <v>0</v>
      </c>
      <c r="CM26" s="208">
        <v>0</v>
      </c>
      <c r="CP26" s="208">
        <v>0</v>
      </c>
      <c r="CS26" s="208">
        <v>0</v>
      </c>
      <c r="CV26" s="208">
        <v>0</v>
      </c>
      <c r="CY26" s="208">
        <v>0</v>
      </c>
      <c r="DB26" s="208">
        <v>0</v>
      </c>
      <c r="DE26" s="208">
        <v>0</v>
      </c>
      <c r="DH26" s="208">
        <v>0</v>
      </c>
      <c r="DK26" s="208">
        <v>0</v>
      </c>
      <c r="DN26" s="208">
        <v>0</v>
      </c>
      <c r="DQ26" s="208">
        <v>0</v>
      </c>
      <c r="DT26" s="208">
        <v>0</v>
      </c>
      <c r="DW26" s="208">
        <v>0</v>
      </c>
      <c r="DZ26" s="208"/>
      <c r="EA26" s="208"/>
      <c r="EB26" s="228">
        <v>245200000</v>
      </c>
      <c r="EC26" s="228">
        <v>0</v>
      </c>
      <c r="ED26" s="208">
        <v>26612.222222222223</v>
      </c>
      <c r="EE26" s="209">
        <v>3.9071778140293639E-2</v>
      </c>
      <c r="EG26" s="228">
        <v>0</v>
      </c>
      <c r="EH26" s="208">
        <v>0</v>
      </c>
      <c r="EI26" s="209">
        <v>0</v>
      </c>
      <c r="EJ26" s="209"/>
      <c r="EK26" s="228">
        <v>245200000</v>
      </c>
      <c r="EL26" s="228">
        <v>0</v>
      </c>
      <c r="EM26" s="228">
        <v>26612.222222222219</v>
      </c>
      <c r="EN26" s="209">
        <v>3.9071778140293632E-2</v>
      </c>
      <c r="EP26" s="208"/>
    </row>
    <row r="27" spans="1:146" x14ac:dyDescent="0.25">
      <c r="A27" s="222">
        <v>46159</v>
      </c>
      <c r="B27" s="208">
        <v>0</v>
      </c>
      <c r="C27" s="209">
        <v>3.8848639999999997E-2</v>
      </c>
      <c r="D27" s="208">
        <v>0</v>
      </c>
      <c r="G27" s="208">
        <v>0</v>
      </c>
      <c r="J27" s="208">
        <v>0</v>
      </c>
      <c r="M27" s="208">
        <v>0</v>
      </c>
      <c r="P27" s="208">
        <v>0</v>
      </c>
      <c r="S27" s="208">
        <v>0</v>
      </c>
      <c r="V27" s="208">
        <v>0</v>
      </c>
      <c r="Y27" s="208">
        <v>0</v>
      </c>
      <c r="AB27" s="208">
        <v>0</v>
      </c>
      <c r="AE27" s="208">
        <v>0</v>
      </c>
      <c r="AH27" s="208">
        <v>0</v>
      </c>
      <c r="AI27" s="223">
        <v>150000000</v>
      </c>
      <c r="AJ27" s="224">
        <v>3.8800000000000001E-2</v>
      </c>
      <c r="AK27" s="208">
        <v>16166.666666666666</v>
      </c>
      <c r="AL27" s="223">
        <v>40200000</v>
      </c>
      <c r="AM27" s="224">
        <v>3.95E-2</v>
      </c>
      <c r="AN27" s="208">
        <v>4410.833333333333</v>
      </c>
      <c r="AO27" s="223">
        <v>55000000</v>
      </c>
      <c r="AP27" s="224">
        <v>3.95E-2</v>
      </c>
      <c r="AQ27" s="208">
        <v>6034.7222222222226</v>
      </c>
      <c r="AR27" s="223"/>
      <c r="AS27" s="224"/>
      <c r="AT27" s="208">
        <v>0</v>
      </c>
      <c r="AW27" s="208">
        <v>0</v>
      </c>
      <c r="AZ27" s="208">
        <v>0</v>
      </c>
      <c r="BC27" s="208">
        <v>0</v>
      </c>
      <c r="BF27" s="208">
        <v>0</v>
      </c>
      <c r="BI27" s="208">
        <v>0</v>
      </c>
      <c r="BL27" s="208">
        <v>0</v>
      </c>
      <c r="BO27" s="208">
        <v>0</v>
      </c>
      <c r="BR27" s="208">
        <v>0</v>
      </c>
      <c r="BU27" s="208">
        <v>0</v>
      </c>
      <c r="BX27" s="208">
        <v>0</v>
      </c>
      <c r="CA27" s="208">
        <v>0</v>
      </c>
      <c r="CD27" s="208">
        <v>0</v>
      </c>
      <c r="CG27" s="208">
        <v>0</v>
      </c>
      <c r="CJ27" s="208">
        <v>0</v>
      </c>
      <c r="CM27" s="208">
        <v>0</v>
      </c>
      <c r="CP27" s="208">
        <v>0</v>
      </c>
      <c r="CS27" s="208">
        <v>0</v>
      </c>
      <c r="CV27" s="208">
        <v>0</v>
      </c>
      <c r="CY27" s="208">
        <v>0</v>
      </c>
      <c r="DB27" s="208">
        <v>0</v>
      </c>
      <c r="DE27" s="208">
        <v>0</v>
      </c>
      <c r="DH27" s="208">
        <v>0</v>
      </c>
      <c r="DK27" s="208">
        <v>0</v>
      </c>
      <c r="DN27" s="208">
        <v>0</v>
      </c>
      <c r="DQ27" s="208">
        <v>0</v>
      </c>
      <c r="DT27" s="208">
        <v>0</v>
      </c>
      <c r="DW27" s="208">
        <v>0</v>
      </c>
      <c r="DZ27" s="208"/>
      <c r="EA27" s="208"/>
      <c r="EB27" s="228">
        <v>245200000</v>
      </c>
      <c r="EC27" s="228">
        <v>0</v>
      </c>
      <c r="ED27" s="208">
        <v>26612.222222222223</v>
      </c>
      <c r="EE27" s="209">
        <v>3.9071778140293639E-2</v>
      </c>
      <c r="EG27" s="228">
        <v>0</v>
      </c>
      <c r="EH27" s="208">
        <v>0</v>
      </c>
      <c r="EI27" s="209">
        <v>0</v>
      </c>
      <c r="EJ27" s="209"/>
      <c r="EK27" s="228">
        <v>245200000</v>
      </c>
      <c r="EL27" s="228">
        <v>0</v>
      </c>
      <c r="EM27" s="228">
        <v>26612.222222222219</v>
      </c>
      <c r="EN27" s="209">
        <v>3.9071778140293632E-2</v>
      </c>
      <c r="EP27" s="208"/>
    </row>
    <row r="28" spans="1:146" x14ac:dyDescent="0.25">
      <c r="A28" s="222">
        <v>46160</v>
      </c>
      <c r="B28" s="208">
        <v>0</v>
      </c>
      <c r="C28" s="209">
        <v>3.884348E-2</v>
      </c>
      <c r="D28" s="208">
        <v>0</v>
      </c>
      <c r="G28" s="208">
        <v>0</v>
      </c>
      <c r="J28" s="208">
        <v>0</v>
      </c>
      <c r="M28" s="208">
        <v>0</v>
      </c>
      <c r="P28" s="208">
        <v>0</v>
      </c>
      <c r="S28" s="208">
        <v>0</v>
      </c>
      <c r="V28" s="208">
        <v>0</v>
      </c>
      <c r="Y28" s="208">
        <v>0</v>
      </c>
      <c r="AB28" s="208">
        <v>0</v>
      </c>
      <c r="AE28" s="208">
        <v>0</v>
      </c>
      <c r="AH28" s="208">
        <v>0</v>
      </c>
      <c r="AI28" s="223">
        <v>260550000</v>
      </c>
      <c r="AJ28" s="224">
        <v>3.8800000000000001E-2</v>
      </c>
      <c r="AK28" s="208">
        <v>28081.5</v>
      </c>
      <c r="AL28" s="223">
        <v>40200000</v>
      </c>
      <c r="AM28" s="224">
        <v>3.95E-2</v>
      </c>
      <c r="AN28" s="208">
        <v>4410.833333333333</v>
      </c>
      <c r="AO28" s="223"/>
      <c r="AP28" s="224"/>
      <c r="AQ28" s="208">
        <v>0</v>
      </c>
      <c r="AR28" s="223"/>
      <c r="AS28" s="224"/>
      <c r="AT28" s="208">
        <v>0</v>
      </c>
      <c r="AW28" s="208">
        <v>0</v>
      </c>
      <c r="AZ28" s="208">
        <v>0</v>
      </c>
      <c r="BC28" s="208">
        <v>0</v>
      </c>
      <c r="BF28" s="208">
        <v>0</v>
      </c>
      <c r="BI28" s="208">
        <v>0</v>
      </c>
      <c r="BL28" s="208">
        <v>0</v>
      </c>
      <c r="BO28" s="208">
        <v>0</v>
      </c>
      <c r="BR28" s="208">
        <v>0</v>
      </c>
      <c r="BU28" s="208">
        <v>0</v>
      </c>
      <c r="BX28" s="208">
        <v>0</v>
      </c>
      <c r="CA28" s="208">
        <v>0</v>
      </c>
      <c r="CD28" s="208">
        <v>0</v>
      </c>
      <c r="CG28" s="208">
        <v>0</v>
      </c>
      <c r="CJ28" s="208">
        <v>0</v>
      </c>
      <c r="CM28" s="208">
        <v>0</v>
      </c>
      <c r="CP28" s="208">
        <v>0</v>
      </c>
      <c r="CS28" s="208">
        <v>0</v>
      </c>
      <c r="CV28" s="208">
        <v>0</v>
      </c>
      <c r="CY28" s="208">
        <v>0</v>
      </c>
      <c r="DB28" s="208">
        <v>0</v>
      </c>
      <c r="DE28" s="208">
        <v>0</v>
      </c>
      <c r="DH28" s="208">
        <v>0</v>
      </c>
      <c r="DK28" s="208">
        <v>0</v>
      </c>
      <c r="DN28" s="208">
        <v>0</v>
      </c>
      <c r="DQ28" s="208">
        <v>0</v>
      </c>
      <c r="DT28" s="208">
        <v>0</v>
      </c>
      <c r="DW28" s="208">
        <v>0</v>
      </c>
      <c r="DZ28" s="208"/>
      <c r="EA28" s="208"/>
      <c r="EB28" s="228">
        <v>300750000</v>
      </c>
      <c r="EC28" s="228">
        <v>0</v>
      </c>
      <c r="ED28" s="208">
        <v>32492.333333333332</v>
      </c>
      <c r="EE28" s="209">
        <v>3.8893566084788028E-2</v>
      </c>
      <c r="EG28" s="228">
        <v>0</v>
      </c>
      <c r="EH28" s="208">
        <v>0</v>
      </c>
      <c r="EI28" s="209">
        <v>0</v>
      </c>
      <c r="EJ28" s="209"/>
      <c r="EK28" s="228">
        <v>300750000</v>
      </c>
      <c r="EL28" s="228">
        <v>0</v>
      </c>
      <c r="EM28" s="228">
        <v>32492.333333333332</v>
      </c>
      <c r="EN28" s="209">
        <v>3.8893566084788028E-2</v>
      </c>
      <c r="EP28" s="208"/>
    </row>
    <row r="29" spans="1:146" x14ac:dyDescent="0.25">
      <c r="A29" s="222">
        <v>46161</v>
      </c>
      <c r="B29" s="208">
        <v>0</v>
      </c>
      <c r="C29" s="209">
        <v>3.8901819999999997E-2</v>
      </c>
      <c r="D29" s="208">
        <v>0</v>
      </c>
      <c r="G29" s="208">
        <v>0</v>
      </c>
      <c r="J29" s="208">
        <v>0</v>
      </c>
      <c r="M29" s="208">
        <v>0</v>
      </c>
      <c r="P29" s="208">
        <v>0</v>
      </c>
      <c r="S29" s="208">
        <v>0</v>
      </c>
      <c r="V29" s="208">
        <v>0</v>
      </c>
      <c r="Y29" s="208">
        <v>0</v>
      </c>
      <c r="AB29" s="208">
        <v>0</v>
      </c>
      <c r="AE29" s="208">
        <v>0</v>
      </c>
      <c r="AH29" s="208">
        <v>0</v>
      </c>
      <c r="AI29" s="223">
        <v>252750000</v>
      </c>
      <c r="AJ29" s="224">
        <v>3.8800000000000001E-2</v>
      </c>
      <c r="AK29" s="208">
        <v>27240.833333333332</v>
      </c>
      <c r="AL29" s="223">
        <v>40200000</v>
      </c>
      <c r="AM29" s="224">
        <v>3.95E-2</v>
      </c>
      <c r="AN29" s="208">
        <v>4410.833333333333</v>
      </c>
      <c r="AO29" s="223"/>
      <c r="AP29" s="224"/>
      <c r="AQ29" s="208">
        <v>0</v>
      </c>
      <c r="AR29" s="223"/>
      <c r="AS29" s="224"/>
      <c r="AT29" s="208">
        <v>0</v>
      </c>
      <c r="AW29" s="208">
        <v>0</v>
      </c>
      <c r="AZ29" s="208">
        <v>0</v>
      </c>
      <c r="BC29" s="208">
        <v>0</v>
      </c>
      <c r="BF29" s="208">
        <v>0</v>
      </c>
      <c r="BI29" s="208">
        <v>0</v>
      </c>
      <c r="BL29" s="208">
        <v>0</v>
      </c>
      <c r="BO29" s="208">
        <v>0</v>
      </c>
      <c r="BR29" s="208">
        <v>0</v>
      </c>
      <c r="BU29" s="208">
        <v>0</v>
      </c>
      <c r="BX29" s="208">
        <v>0</v>
      </c>
      <c r="CA29" s="208">
        <v>0</v>
      </c>
      <c r="CD29" s="208">
        <v>0</v>
      </c>
      <c r="CG29" s="208">
        <v>0</v>
      </c>
      <c r="CJ29" s="208">
        <v>0</v>
      </c>
      <c r="CM29" s="208">
        <v>0</v>
      </c>
      <c r="CP29" s="208">
        <v>0</v>
      </c>
      <c r="CS29" s="208">
        <v>0</v>
      </c>
      <c r="CV29" s="208">
        <v>0</v>
      </c>
      <c r="CY29" s="208">
        <v>0</v>
      </c>
      <c r="DB29" s="208">
        <v>0</v>
      </c>
      <c r="DE29" s="208">
        <v>0</v>
      </c>
      <c r="DH29" s="208">
        <v>0</v>
      </c>
      <c r="DK29" s="208">
        <v>0</v>
      </c>
      <c r="DN29" s="208">
        <v>0</v>
      </c>
      <c r="DQ29" s="208">
        <v>0</v>
      </c>
      <c r="DT29" s="208">
        <v>0</v>
      </c>
      <c r="DW29" s="208">
        <v>0</v>
      </c>
      <c r="DZ29" s="208"/>
      <c r="EA29" s="208"/>
      <c r="EB29" s="228">
        <v>292950000</v>
      </c>
      <c r="EC29" s="228">
        <v>0</v>
      </c>
      <c r="ED29" s="208">
        <v>31651.666666666664</v>
      </c>
      <c r="EE29" s="209">
        <v>3.8896057347670245E-2</v>
      </c>
      <c r="EG29" s="228">
        <v>0</v>
      </c>
      <c r="EH29" s="208">
        <v>0</v>
      </c>
      <c r="EI29" s="209">
        <v>0</v>
      </c>
      <c r="EJ29" s="209"/>
      <c r="EK29" s="228">
        <v>292950000</v>
      </c>
      <c r="EL29" s="228">
        <v>0</v>
      </c>
      <c r="EM29" s="228">
        <v>31651.666666666664</v>
      </c>
      <c r="EN29" s="209">
        <v>3.8896057347670245E-2</v>
      </c>
      <c r="EP29" s="208"/>
    </row>
    <row r="30" spans="1:146" x14ac:dyDescent="0.25">
      <c r="A30" s="222">
        <v>46162</v>
      </c>
      <c r="B30" s="208">
        <v>0</v>
      </c>
      <c r="C30" s="209">
        <v>3.8900420000000005E-2</v>
      </c>
      <c r="D30" s="208">
        <v>0</v>
      </c>
      <c r="G30" s="208">
        <v>0</v>
      </c>
      <c r="J30" s="208">
        <v>0</v>
      </c>
      <c r="M30" s="208">
        <v>0</v>
      </c>
      <c r="P30" s="208">
        <v>0</v>
      </c>
      <c r="S30" s="208">
        <v>0</v>
      </c>
      <c r="V30" s="208">
        <v>0</v>
      </c>
      <c r="Y30" s="208">
        <v>0</v>
      </c>
      <c r="AB30" s="208">
        <v>0</v>
      </c>
      <c r="AE30" s="208">
        <v>0</v>
      </c>
      <c r="AH30" s="208">
        <v>0</v>
      </c>
      <c r="AI30" s="223">
        <v>268850000</v>
      </c>
      <c r="AJ30" s="224">
        <v>3.8800000000000001E-2</v>
      </c>
      <c r="AK30" s="208">
        <v>28976.055555555555</v>
      </c>
      <c r="AL30" s="223">
        <v>26000000</v>
      </c>
      <c r="AM30" s="224">
        <v>3.95E-2</v>
      </c>
      <c r="AN30" s="208">
        <v>2852.7777777777778</v>
      </c>
      <c r="AO30" s="223"/>
      <c r="AP30" s="224"/>
      <c r="AQ30" s="208">
        <v>0</v>
      </c>
      <c r="AR30" s="223"/>
      <c r="AS30" s="224"/>
      <c r="AT30" s="208">
        <v>0</v>
      </c>
      <c r="AW30" s="208">
        <v>0</v>
      </c>
      <c r="AZ30" s="208">
        <v>0</v>
      </c>
      <c r="BC30" s="208">
        <v>0</v>
      </c>
      <c r="BF30" s="208">
        <v>0</v>
      </c>
      <c r="BI30" s="208">
        <v>0</v>
      </c>
      <c r="BL30" s="208">
        <v>0</v>
      </c>
      <c r="BO30" s="208">
        <v>0</v>
      </c>
      <c r="BR30" s="208">
        <v>0</v>
      </c>
      <c r="BU30" s="208">
        <v>0</v>
      </c>
      <c r="BX30" s="208">
        <v>0</v>
      </c>
      <c r="CA30" s="208">
        <v>0</v>
      </c>
      <c r="CD30" s="208">
        <v>0</v>
      </c>
      <c r="CG30" s="208">
        <v>0</v>
      </c>
      <c r="CJ30" s="208">
        <v>0</v>
      </c>
      <c r="CM30" s="208">
        <v>0</v>
      </c>
      <c r="CP30" s="208">
        <v>0</v>
      </c>
      <c r="CS30" s="208">
        <v>0</v>
      </c>
      <c r="CV30" s="208">
        <v>0</v>
      </c>
      <c r="CY30" s="208">
        <v>0</v>
      </c>
      <c r="DB30" s="208">
        <v>0</v>
      </c>
      <c r="DE30" s="208">
        <v>0</v>
      </c>
      <c r="DH30" s="208">
        <v>0</v>
      </c>
      <c r="DK30" s="208">
        <v>0</v>
      </c>
      <c r="DN30" s="208">
        <v>0</v>
      </c>
      <c r="DQ30" s="208">
        <v>0</v>
      </c>
      <c r="DT30" s="208">
        <v>0</v>
      </c>
      <c r="DW30" s="208">
        <v>0</v>
      </c>
      <c r="DZ30" s="208"/>
      <c r="EA30" s="208"/>
      <c r="EB30" s="228">
        <v>294850000</v>
      </c>
      <c r="EC30" s="228">
        <v>0</v>
      </c>
      <c r="ED30" s="208">
        <v>31828.833333333332</v>
      </c>
      <c r="EE30" s="209">
        <v>3.886172630150924E-2</v>
      </c>
      <c r="EG30" s="228">
        <v>0</v>
      </c>
      <c r="EH30" s="208">
        <v>0</v>
      </c>
      <c r="EI30" s="209">
        <v>0</v>
      </c>
      <c r="EJ30" s="209"/>
      <c r="EK30" s="228">
        <v>294850000</v>
      </c>
      <c r="EL30" s="228">
        <v>0</v>
      </c>
      <c r="EM30" s="228">
        <v>31828.833333333332</v>
      </c>
      <c r="EN30" s="209">
        <v>3.886172630150924E-2</v>
      </c>
      <c r="EP30" s="208"/>
    </row>
    <row r="31" spans="1:146" x14ac:dyDescent="0.25">
      <c r="A31" s="222">
        <v>46163</v>
      </c>
      <c r="B31" s="208">
        <v>0</v>
      </c>
      <c r="C31" s="209">
        <v>3.8857300000000004E-2</v>
      </c>
      <c r="D31" s="208">
        <v>0</v>
      </c>
      <c r="G31" s="208">
        <v>0</v>
      </c>
      <c r="J31" s="208">
        <v>0</v>
      </c>
      <c r="M31" s="208">
        <v>0</v>
      </c>
      <c r="P31" s="208">
        <v>0</v>
      </c>
      <c r="S31" s="208">
        <v>0</v>
      </c>
      <c r="V31" s="208">
        <v>0</v>
      </c>
      <c r="Y31" s="208">
        <v>0</v>
      </c>
      <c r="AB31" s="208">
        <v>0</v>
      </c>
      <c r="AE31" s="208">
        <v>0</v>
      </c>
      <c r="AH31" s="208">
        <v>0</v>
      </c>
      <c r="AI31" s="223">
        <v>262875000</v>
      </c>
      <c r="AJ31" s="224">
        <v>3.8800000000000001E-2</v>
      </c>
      <c r="AK31" s="208">
        <v>28332.083333333332</v>
      </c>
      <c r="AL31" s="223">
        <v>30000000</v>
      </c>
      <c r="AM31" s="224">
        <v>3.95E-2</v>
      </c>
      <c r="AN31" s="208">
        <v>3291.6666666666665</v>
      </c>
      <c r="AO31" s="223"/>
      <c r="AP31" s="224"/>
      <c r="AQ31" s="208">
        <v>0</v>
      </c>
      <c r="AR31" s="223"/>
      <c r="AS31" s="224"/>
      <c r="AT31" s="208">
        <v>0</v>
      </c>
      <c r="AW31" s="208">
        <v>0</v>
      </c>
      <c r="AZ31" s="208">
        <v>0</v>
      </c>
      <c r="BC31" s="208">
        <v>0</v>
      </c>
      <c r="BF31" s="208">
        <v>0</v>
      </c>
      <c r="BI31" s="208">
        <v>0</v>
      </c>
      <c r="BL31" s="208">
        <v>0</v>
      </c>
      <c r="BO31" s="208">
        <v>0</v>
      </c>
      <c r="BR31" s="208">
        <v>0</v>
      </c>
      <c r="BU31" s="208">
        <v>0</v>
      </c>
      <c r="BX31" s="208">
        <v>0</v>
      </c>
      <c r="CA31" s="208">
        <v>0</v>
      </c>
      <c r="CD31" s="208">
        <v>0</v>
      </c>
      <c r="CG31" s="208">
        <v>0</v>
      </c>
      <c r="CJ31" s="208">
        <v>0</v>
      </c>
      <c r="CM31" s="208">
        <v>0</v>
      </c>
      <c r="CP31" s="208">
        <v>0</v>
      </c>
      <c r="CS31" s="208">
        <v>0</v>
      </c>
      <c r="CV31" s="208">
        <v>0</v>
      </c>
      <c r="CY31" s="208">
        <v>0</v>
      </c>
      <c r="DB31" s="208">
        <v>0</v>
      </c>
      <c r="DE31" s="208">
        <v>0</v>
      </c>
      <c r="DH31" s="208">
        <v>0</v>
      </c>
      <c r="DK31" s="208">
        <v>0</v>
      </c>
      <c r="DN31" s="208">
        <v>0</v>
      </c>
      <c r="DQ31" s="208">
        <v>0</v>
      </c>
      <c r="DT31" s="208">
        <v>0</v>
      </c>
      <c r="DW31" s="208">
        <v>0</v>
      </c>
      <c r="DZ31" s="208"/>
      <c r="EA31" s="208"/>
      <c r="EB31" s="228">
        <v>292875000</v>
      </c>
      <c r="EC31" s="228">
        <v>0</v>
      </c>
      <c r="ED31" s="208">
        <v>31623.75</v>
      </c>
      <c r="EE31" s="209">
        <v>3.8871702944942382E-2</v>
      </c>
      <c r="EG31" s="228">
        <v>0</v>
      </c>
      <c r="EH31" s="208">
        <v>0</v>
      </c>
      <c r="EI31" s="209">
        <v>0</v>
      </c>
      <c r="EJ31" s="209"/>
      <c r="EK31" s="228">
        <v>292875000</v>
      </c>
      <c r="EL31" s="228">
        <v>0</v>
      </c>
      <c r="EM31" s="228">
        <v>31623.75</v>
      </c>
      <c r="EN31" s="209">
        <v>3.8871702944942382E-2</v>
      </c>
      <c r="EP31" s="208"/>
    </row>
    <row r="32" spans="1:146" x14ac:dyDescent="0.25">
      <c r="A32" s="222">
        <v>46164</v>
      </c>
      <c r="B32" s="208">
        <v>0</v>
      </c>
      <c r="C32" s="209">
        <v>3.890031E-2</v>
      </c>
      <c r="D32" s="208">
        <v>0</v>
      </c>
      <c r="G32" s="208">
        <v>0</v>
      </c>
      <c r="J32" s="208">
        <v>0</v>
      </c>
      <c r="M32" s="208">
        <v>0</v>
      </c>
      <c r="P32" s="208">
        <v>0</v>
      </c>
      <c r="S32" s="208">
        <v>0</v>
      </c>
      <c r="V32" s="208">
        <v>0</v>
      </c>
      <c r="Y32" s="208">
        <v>0</v>
      </c>
      <c r="AB32" s="208">
        <v>0</v>
      </c>
      <c r="AE32" s="208">
        <v>0</v>
      </c>
      <c r="AH32" s="208">
        <v>0</v>
      </c>
      <c r="AI32" s="223">
        <v>279900000</v>
      </c>
      <c r="AJ32" s="224">
        <v>3.8800000000000001E-2</v>
      </c>
      <c r="AK32" s="208">
        <v>30167</v>
      </c>
      <c r="AL32" s="223">
        <v>30000000</v>
      </c>
      <c r="AM32" s="224">
        <v>3.95E-2</v>
      </c>
      <c r="AN32" s="208">
        <v>3291.6666666666665</v>
      </c>
      <c r="AO32" s="223"/>
      <c r="AP32" s="224"/>
      <c r="AQ32" s="208">
        <v>0</v>
      </c>
      <c r="AR32" s="223"/>
      <c r="AS32" s="224"/>
      <c r="AT32" s="208">
        <v>0</v>
      </c>
      <c r="AW32" s="208">
        <v>0</v>
      </c>
      <c r="AZ32" s="208">
        <v>0</v>
      </c>
      <c r="BC32" s="208">
        <v>0</v>
      </c>
      <c r="BF32" s="208">
        <v>0</v>
      </c>
      <c r="BI32" s="208">
        <v>0</v>
      </c>
      <c r="BL32" s="208">
        <v>0</v>
      </c>
      <c r="BO32" s="208">
        <v>0</v>
      </c>
      <c r="BR32" s="208">
        <v>0</v>
      </c>
      <c r="BU32" s="208">
        <v>0</v>
      </c>
      <c r="BX32" s="208">
        <v>0</v>
      </c>
      <c r="CA32" s="208">
        <v>0</v>
      </c>
      <c r="CD32" s="208">
        <v>0</v>
      </c>
      <c r="CG32" s="208">
        <v>0</v>
      </c>
      <c r="CJ32" s="208">
        <v>0</v>
      </c>
      <c r="CM32" s="208">
        <v>0</v>
      </c>
      <c r="CP32" s="208">
        <v>0</v>
      </c>
      <c r="CS32" s="208">
        <v>0</v>
      </c>
      <c r="CV32" s="208">
        <v>0</v>
      </c>
      <c r="CY32" s="208">
        <v>0</v>
      </c>
      <c r="DB32" s="208">
        <v>0</v>
      </c>
      <c r="DE32" s="208">
        <v>0</v>
      </c>
      <c r="DH32" s="208">
        <v>0</v>
      </c>
      <c r="DK32" s="208">
        <v>0</v>
      </c>
      <c r="DN32" s="208">
        <v>0</v>
      </c>
      <c r="DQ32" s="208">
        <v>0</v>
      </c>
      <c r="DT32" s="208">
        <v>0</v>
      </c>
      <c r="DW32" s="208">
        <v>0</v>
      </c>
      <c r="DZ32" s="208"/>
      <c r="EA32" s="208"/>
      <c r="EB32" s="228">
        <v>309900000</v>
      </c>
      <c r="EC32" s="228">
        <v>0</v>
      </c>
      <c r="ED32" s="208">
        <v>33458.666666666664</v>
      </c>
      <c r="EE32" s="209">
        <v>3.8867763794772504E-2</v>
      </c>
      <c r="EG32" s="228">
        <v>0</v>
      </c>
      <c r="EH32" s="208">
        <v>0</v>
      </c>
      <c r="EI32" s="209">
        <v>0</v>
      </c>
      <c r="EJ32" s="209"/>
      <c r="EK32" s="228">
        <v>309900000</v>
      </c>
      <c r="EL32" s="228">
        <v>0</v>
      </c>
      <c r="EM32" s="228">
        <v>33458.666666666664</v>
      </c>
      <c r="EN32" s="209">
        <v>3.8867763794772504E-2</v>
      </c>
      <c r="EP32" s="208"/>
    </row>
    <row r="33" spans="1:146" x14ac:dyDescent="0.25">
      <c r="A33" s="222">
        <v>46165</v>
      </c>
      <c r="B33" s="208">
        <v>0</v>
      </c>
      <c r="C33" s="209">
        <v>3.890031E-2</v>
      </c>
      <c r="D33" s="208">
        <v>0</v>
      </c>
      <c r="G33" s="208">
        <v>0</v>
      </c>
      <c r="J33" s="208">
        <v>0</v>
      </c>
      <c r="M33" s="208">
        <v>0</v>
      </c>
      <c r="P33" s="208">
        <v>0</v>
      </c>
      <c r="S33" s="208">
        <v>0</v>
      </c>
      <c r="V33" s="208">
        <v>0</v>
      </c>
      <c r="Y33" s="208">
        <v>0</v>
      </c>
      <c r="AB33" s="208">
        <v>0</v>
      </c>
      <c r="AE33" s="208">
        <v>0</v>
      </c>
      <c r="AH33" s="208">
        <v>0</v>
      </c>
      <c r="AI33" s="223">
        <v>279900000</v>
      </c>
      <c r="AJ33" s="224">
        <v>3.8800000000000001E-2</v>
      </c>
      <c r="AK33" s="208">
        <v>30167</v>
      </c>
      <c r="AL33" s="223">
        <v>30000000</v>
      </c>
      <c r="AM33" s="224">
        <v>3.95E-2</v>
      </c>
      <c r="AN33" s="208">
        <v>3291.6666666666665</v>
      </c>
      <c r="AO33" s="223"/>
      <c r="AP33" s="224"/>
      <c r="AQ33" s="208">
        <v>0</v>
      </c>
      <c r="AR33" s="223"/>
      <c r="AS33" s="224"/>
      <c r="AT33" s="208">
        <v>0</v>
      </c>
      <c r="AW33" s="208">
        <v>0</v>
      </c>
      <c r="AZ33" s="208">
        <v>0</v>
      </c>
      <c r="BC33" s="208">
        <v>0</v>
      </c>
      <c r="BF33" s="208">
        <v>0</v>
      </c>
      <c r="BI33" s="208">
        <v>0</v>
      </c>
      <c r="BL33" s="208">
        <v>0</v>
      </c>
      <c r="BO33" s="208">
        <v>0</v>
      </c>
      <c r="BR33" s="208">
        <v>0</v>
      </c>
      <c r="BU33" s="208">
        <v>0</v>
      </c>
      <c r="BX33" s="208">
        <v>0</v>
      </c>
      <c r="CA33" s="208">
        <v>0</v>
      </c>
      <c r="CD33" s="208">
        <v>0</v>
      </c>
      <c r="CG33" s="208">
        <v>0</v>
      </c>
      <c r="CJ33" s="208">
        <v>0</v>
      </c>
      <c r="CM33" s="208">
        <v>0</v>
      </c>
      <c r="CP33" s="208">
        <v>0</v>
      </c>
      <c r="CS33" s="208">
        <v>0</v>
      </c>
      <c r="CV33" s="208">
        <v>0</v>
      </c>
      <c r="CY33" s="208">
        <v>0</v>
      </c>
      <c r="DB33" s="208">
        <v>0</v>
      </c>
      <c r="DE33" s="208">
        <v>0</v>
      </c>
      <c r="DH33" s="208">
        <v>0</v>
      </c>
      <c r="DK33" s="208">
        <v>0</v>
      </c>
      <c r="DN33" s="208">
        <v>0</v>
      </c>
      <c r="DQ33" s="208">
        <v>0</v>
      </c>
      <c r="DT33" s="208">
        <v>0</v>
      </c>
      <c r="DW33" s="208">
        <v>0</v>
      </c>
      <c r="DZ33" s="208"/>
      <c r="EA33" s="208"/>
      <c r="EB33" s="228">
        <v>309900000</v>
      </c>
      <c r="EC33" s="228">
        <v>0</v>
      </c>
      <c r="ED33" s="208">
        <v>33458.666666666664</v>
      </c>
      <c r="EE33" s="209">
        <v>3.8867763794772504E-2</v>
      </c>
      <c r="EG33" s="228">
        <v>0</v>
      </c>
      <c r="EH33" s="208">
        <v>0</v>
      </c>
      <c r="EI33" s="209">
        <v>0</v>
      </c>
      <c r="EJ33" s="209"/>
      <c r="EK33" s="228">
        <v>309900000</v>
      </c>
      <c r="EL33" s="228">
        <v>0</v>
      </c>
      <c r="EM33" s="228">
        <v>33458.666666666664</v>
      </c>
      <c r="EN33" s="209">
        <v>3.8867763794772504E-2</v>
      </c>
      <c r="EP33" s="208"/>
    </row>
    <row r="34" spans="1:146" x14ac:dyDescent="0.25">
      <c r="A34" s="222">
        <v>46166</v>
      </c>
      <c r="B34" s="208">
        <v>0</v>
      </c>
      <c r="C34" s="209">
        <v>3.890031E-2</v>
      </c>
      <c r="D34" s="208">
        <v>0</v>
      </c>
      <c r="G34" s="208">
        <v>0</v>
      </c>
      <c r="J34" s="208">
        <v>0</v>
      </c>
      <c r="M34" s="208">
        <v>0</v>
      </c>
      <c r="P34" s="208">
        <v>0</v>
      </c>
      <c r="S34" s="208">
        <v>0</v>
      </c>
      <c r="V34" s="208">
        <v>0</v>
      </c>
      <c r="Y34" s="208">
        <v>0</v>
      </c>
      <c r="AB34" s="208">
        <v>0</v>
      </c>
      <c r="AE34" s="208">
        <v>0</v>
      </c>
      <c r="AH34" s="208">
        <v>0</v>
      </c>
      <c r="AI34" s="223">
        <v>279900000</v>
      </c>
      <c r="AJ34" s="224">
        <v>3.8800000000000001E-2</v>
      </c>
      <c r="AK34" s="208">
        <v>30167</v>
      </c>
      <c r="AL34" s="223">
        <v>30000000</v>
      </c>
      <c r="AM34" s="224">
        <v>3.95E-2</v>
      </c>
      <c r="AN34" s="208">
        <v>3291.6666666666665</v>
      </c>
      <c r="AO34" s="223"/>
      <c r="AP34" s="224"/>
      <c r="AQ34" s="208">
        <v>0</v>
      </c>
      <c r="AR34" s="223"/>
      <c r="AS34" s="224"/>
      <c r="AT34" s="208">
        <v>0</v>
      </c>
      <c r="AW34" s="208">
        <v>0</v>
      </c>
      <c r="AZ34" s="208">
        <v>0</v>
      </c>
      <c r="BC34" s="208">
        <v>0</v>
      </c>
      <c r="BF34" s="208">
        <v>0</v>
      </c>
      <c r="BI34" s="208">
        <v>0</v>
      </c>
      <c r="BL34" s="208">
        <v>0</v>
      </c>
      <c r="BO34" s="208">
        <v>0</v>
      </c>
      <c r="BR34" s="208">
        <v>0</v>
      </c>
      <c r="BU34" s="208">
        <v>0</v>
      </c>
      <c r="BX34" s="208">
        <v>0</v>
      </c>
      <c r="CA34" s="208">
        <v>0</v>
      </c>
      <c r="CD34" s="208">
        <v>0</v>
      </c>
      <c r="CG34" s="208">
        <v>0</v>
      </c>
      <c r="CJ34" s="208">
        <v>0</v>
      </c>
      <c r="CM34" s="208">
        <v>0</v>
      </c>
      <c r="CP34" s="208">
        <v>0</v>
      </c>
      <c r="CS34" s="208">
        <v>0</v>
      </c>
      <c r="CV34" s="208">
        <v>0</v>
      </c>
      <c r="CY34" s="208">
        <v>0</v>
      </c>
      <c r="DB34" s="208">
        <v>0</v>
      </c>
      <c r="DE34" s="208">
        <v>0</v>
      </c>
      <c r="DH34" s="208">
        <v>0</v>
      </c>
      <c r="DK34" s="208">
        <v>0</v>
      </c>
      <c r="DN34" s="208">
        <v>0</v>
      </c>
      <c r="DQ34" s="208">
        <v>0</v>
      </c>
      <c r="DT34" s="208">
        <v>0</v>
      </c>
      <c r="DW34" s="208">
        <v>0</v>
      </c>
      <c r="DZ34" s="208"/>
      <c r="EA34" s="208"/>
      <c r="EB34" s="228">
        <v>309900000</v>
      </c>
      <c r="EC34" s="228">
        <v>0</v>
      </c>
      <c r="ED34" s="208">
        <v>33458.666666666664</v>
      </c>
      <c r="EE34" s="209">
        <v>3.8867763794772504E-2</v>
      </c>
      <c r="EG34" s="228">
        <v>0</v>
      </c>
      <c r="EH34" s="208">
        <v>0</v>
      </c>
      <c r="EI34" s="209">
        <v>0</v>
      </c>
      <c r="EJ34" s="209"/>
      <c r="EK34" s="228">
        <v>309900000</v>
      </c>
      <c r="EL34" s="228">
        <v>0</v>
      </c>
      <c r="EM34" s="228">
        <v>33458.666666666664</v>
      </c>
      <c r="EN34" s="209">
        <v>3.8867763794772504E-2</v>
      </c>
      <c r="EP34" s="208"/>
    </row>
    <row r="35" spans="1:146" x14ac:dyDescent="0.25">
      <c r="A35" s="222">
        <v>46167</v>
      </c>
      <c r="B35" s="208">
        <v>0</v>
      </c>
      <c r="C35" s="209">
        <v>3.890031E-2</v>
      </c>
      <c r="D35" s="208">
        <v>0</v>
      </c>
      <c r="G35" s="208">
        <v>0</v>
      </c>
      <c r="J35" s="208">
        <v>0</v>
      </c>
      <c r="M35" s="208">
        <v>0</v>
      </c>
      <c r="P35" s="208">
        <v>0</v>
      </c>
      <c r="S35" s="208">
        <v>0</v>
      </c>
      <c r="V35" s="208">
        <v>0</v>
      </c>
      <c r="Y35" s="208">
        <v>0</v>
      </c>
      <c r="AB35" s="208">
        <v>0</v>
      </c>
      <c r="AE35" s="208">
        <v>0</v>
      </c>
      <c r="AH35" s="208">
        <v>0</v>
      </c>
      <c r="AI35" s="223">
        <v>279900000</v>
      </c>
      <c r="AJ35" s="224">
        <v>3.8800000000000001E-2</v>
      </c>
      <c r="AK35" s="208">
        <v>30167</v>
      </c>
      <c r="AL35" s="223">
        <v>30000000</v>
      </c>
      <c r="AM35" s="224">
        <v>3.95E-2</v>
      </c>
      <c r="AN35" s="208">
        <v>3291.6666666666665</v>
      </c>
      <c r="AO35" s="223"/>
      <c r="AP35" s="224"/>
      <c r="AQ35" s="208">
        <v>0</v>
      </c>
      <c r="AR35" s="223"/>
      <c r="AS35" s="224"/>
      <c r="AT35" s="208">
        <v>0</v>
      </c>
      <c r="AW35" s="208">
        <v>0</v>
      </c>
      <c r="AZ35" s="208">
        <v>0</v>
      </c>
      <c r="BC35" s="208">
        <v>0</v>
      </c>
      <c r="BF35" s="208">
        <v>0</v>
      </c>
      <c r="BI35" s="208">
        <v>0</v>
      </c>
      <c r="BL35" s="208">
        <v>0</v>
      </c>
      <c r="BO35" s="208">
        <v>0</v>
      </c>
      <c r="BR35" s="208">
        <v>0</v>
      </c>
      <c r="BU35" s="208">
        <v>0</v>
      </c>
      <c r="BX35" s="208">
        <v>0</v>
      </c>
      <c r="CA35" s="208">
        <v>0</v>
      </c>
      <c r="CD35" s="208">
        <v>0</v>
      </c>
      <c r="CG35" s="208">
        <v>0</v>
      </c>
      <c r="CJ35" s="208">
        <v>0</v>
      </c>
      <c r="CM35" s="208">
        <v>0</v>
      </c>
      <c r="CP35" s="208">
        <v>0</v>
      </c>
      <c r="CS35" s="208">
        <v>0</v>
      </c>
      <c r="CV35" s="208">
        <v>0</v>
      </c>
      <c r="CY35" s="208">
        <v>0</v>
      </c>
      <c r="DB35" s="208">
        <v>0</v>
      </c>
      <c r="DE35" s="208">
        <v>0</v>
      </c>
      <c r="DH35" s="208">
        <v>0</v>
      </c>
      <c r="DK35" s="208">
        <v>0</v>
      </c>
      <c r="DN35" s="208">
        <v>0</v>
      </c>
      <c r="DQ35" s="208">
        <v>0</v>
      </c>
      <c r="DT35" s="208">
        <v>0</v>
      </c>
      <c r="DW35" s="208">
        <v>0</v>
      </c>
      <c r="DZ35" s="208"/>
      <c r="EA35" s="208"/>
      <c r="EB35" s="228">
        <v>309900000</v>
      </c>
      <c r="EC35" s="228">
        <v>0</v>
      </c>
      <c r="ED35" s="208">
        <v>33458.666666666664</v>
      </c>
      <c r="EE35" s="209">
        <v>3.8867763794772504E-2</v>
      </c>
      <c r="EG35" s="228">
        <v>0</v>
      </c>
      <c r="EH35" s="208">
        <v>0</v>
      </c>
      <c r="EI35" s="209">
        <v>0</v>
      </c>
      <c r="EJ35" s="209"/>
      <c r="EK35" s="228">
        <v>309900000</v>
      </c>
      <c r="EL35" s="228">
        <v>0</v>
      </c>
      <c r="EM35" s="228">
        <v>33458.666666666664</v>
      </c>
      <c r="EN35" s="209">
        <v>3.8867763794772504E-2</v>
      </c>
      <c r="EP35" s="208"/>
    </row>
    <row r="36" spans="1:146" x14ac:dyDescent="0.25">
      <c r="A36" s="222">
        <v>46168</v>
      </c>
      <c r="B36" s="208">
        <v>0</v>
      </c>
      <c r="C36" s="209">
        <v>3.8841870000000001E-2</v>
      </c>
      <c r="D36" s="208">
        <v>0</v>
      </c>
      <c r="G36" s="208">
        <v>0</v>
      </c>
      <c r="J36" s="208">
        <v>0</v>
      </c>
      <c r="M36" s="208">
        <v>0</v>
      </c>
      <c r="P36" s="208">
        <v>0</v>
      </c>
      <c r="S36" s="208">
        <v>0</v>
      </c>
      <c r="V36" s="208">
        <v>0</v>
      </c>
      <c r="Y36" s="208">
        <v>0</v>
      </c>
      <c r="AB36" s="208">
        <v>0</v>
      </c>
      <c r="AE36" s="208">
        <v>0</v>
      </c>
      <c r="AH36" s="208">
        <v>0</v>
      </c>
      <c r="AI36" s="223">
        <v>265000000</v>
      </c>
      <c r="AJ36" s="224">
        <v>3.8800000000000001E-2</v>
      </c>
      <c r="AK36" s="208">
        <v>28561.111111111109</v>
      </c>
      <c r="AL36" s="223">
        <v>50000000</v>
      </c>
      <c r="AM36" s="224">
        <v>3.95E-2</v>
      </c>
      <c r="AN36" s="208">
        <v>5486.1111111111113</v>
      </c>
      <c r="AO36" s="223"/>
      <c r="AP36" s="224"/>
      <c r="AQ36" s="208">
        <v>0</v>
      </c>
      <c r="AR36" s="223"/>
      <c r="AS36" s="224"/>
      <c r="AT36" s="208">
        <v>0</v>
      </c>
      <c r="AW36" s="208">
        <v>0</v>
      </c>
      <c r="AZ36" s="208">
        <v>0</v>
      </c>
      <c r="BC36" s="208">
        <v>0</v>
      </c>
      <c r="BF36" s="208">
        <v>0</v>
      </c>
      <c r="BI36" s="208">
        <v>0</v>
      </c>
      <c r="BL36" s="208">
        <v>0</v>
      </c>
      <c r="BO36" s="208">
        <v>0</v>
      </c>
      <c r="BR36" s="208">
        <v>0</v>
      </c>
      <c r="BU36" s="208">
        <v>0</v>
      </c>
      <c r="BX36" s="208">
        <v>0</v>
      </c>
      <c r="CA36" s="208">
        <v>0</v>
      </c>
      <c r="CD36" s="208">
        <v>0</v>
      </c>
      <c r="CG36" s="208">
        <v>0</v>
      </c>
      <c r="CJ36" s="208">
        <v>0</v>
      </c>
      <c r="CM36" s="208">
        <v>0</v>
      </c>
      <c r="CP36" s="208">
        <v>0</v>
      </c>
      <c r="CS36" s="208">
        <v>0</v>
      </c>
      <c r="CV36" s="208">
        <v>0</v>
      </c>
      <c r="CY36" s="208">
        <v>0</v>
      </c>
      <c r="DB36" s="208">
        <v>0</v>
      </c>
      <c r="DE36" s="208">
        <v>0</v>
      </c>
      <c r="DH36" s="208">
        <v>0</v>
      </c>
      <c r="DK36" s="208">
        <v>0</v>
      </c>
      <c r="DN36" s="208">
        <v>0</v>
      </c>
      <c r="DQ36" s="208">
        <v>0</v>
      </c>
      <c r="DT36" s="208">
        <v>0</v>
      </c>
      <c r="DW36" s="208">
        <v>0</v>
      </c>
      <c r="DZ36" s="208"/>
      <c r="EA36" s="208"/>
      <c r="EB36" s="228">
        <v>315000000</v>
      </c>
      <c r="EC36" s="228">
        <v>0</v>
      </c>
      <c r="ED36" s="208">
        <v>34047.222222222219</v>
      </c>
      <c r="EE36" s="209">
        <v>3.8911111111111105E-2</v>
      </c>
      <c r="EG36" s="228">
        <v>0</v>
      </c>
      <c r="EH36" s="208">
        <v>0</v>
      </c>
      <c r="EI36" s="209">
        <v>0</v>
      </c>
      <c r="EJ36" s="209"/>
      <c r="EK36" s="228">
        <v>315000000</v>
      </c>
      <c r="EL36" s="228">
        <v>0</v>
      </c>
      <c r="EM36" s="228">
        <v>34047.222222222219</v>
      </c>
      <c r="EN36" s="209">
        <v>3.8911111111111105E-2</v>
      </c>
      <c r="EP36" s="208"/>
    </row>
    <row r="37" spans="1:146" x14ac:dyDescent="0.25">
      <c r="A37" s="222">
        <v>46169</v>
      </c>
      <c r="B37" s="208">
        <v>0</v>
      </c>
      <c r="C37" s="209">
        <v>3.9295379999999998E-2</v>
      </c>
      <c r="D37" s="208">
        <v>0</v>
      </c>
      <c r="G37" s="208">
        <v>0</v>
      </c>
      <c r="J37" s="208">
        <v>0</v>
      </c>
      <c r="M37" s="208">
        <v>0</v>
      </c>
      <c r="P37" s="208">
        <v>0</v>
      </c>
      <c r="S37" s="208">
        <v>0</v>
      </c>
      <c r="V37" s="208">
        <v>0</v>
      </c>
      <c r="Y37" s="208">
        <v>0</v>
      </c>
      <c r="AB37" s="208">
        <v>0</v>
      </c>
      <c r="AE37" s="208">
        <v>0</v>
      </c>
      <c r="AH37" s="208">
        <v>0</v>
      </c>
      <c r="AI37" s="223">
        <v>181200000</v>
      </c>
      <c r="AJ37" s="224">
        <v>3.8800000000000001E-2</v>
      </c>
      <c r="AK37" s="208">
        <v>19529.333333333332</v>
      </c>
      <c r="AL37" s="223">
        <v>120600000</v>
      </c>
      <c r="AM37" s="224">
        <v>3.95E-2</v>
      </c>
      <c r="AN37" s="208">
        <v>13232.5</v>
      </c>
      <c r="AO37" s="223"/>
      <c r="AP37" s="224"/>
      <c r="AQ37" s="208">
        <v>0</v>
      </c>
      <c r="AR37" s="223"/>
      <c r="AS37" s="224"/>
      <c r="AT37" s="208">
        <v>0</v>
      </c>
      <c r="AW37" s="208">
        <v>0</v>
      </c>
      <c r="AZ37" s="208">
        <v>0</v>
      </c>
      <c r="BC37" s="208">
        <v>0</v>
      </c>
      <c r="BF37" s="208">
        <v>0</v>
      </c>
      <c r="BI37" s="208">
        <v>0</v>
      </c>
      <c r="BL37" s="208">
        <v>0</v>
      </c>
      <c r="BO37" s="208">
        <v>0</v>
      </c>
      <c r="BR37" s="208">
        <v>0</v>
      </c>
      <c r="BU37" s="208">
        <v>0</v>
      </c>
      <c r="BX37" s="208">
        <v>0</v>
      </c>
      <c r="CA37" s="208">
        <v>0</v>
      </c>
      <c r="CD37" s="208">
        <v>0</v>
      </c>
      <c r="CG37" s="208">
        <v>0</v>
      </c>
      <c r="CJ37" s="208">
        <v>0</v>
      </c>
      <c r="CM37" s="208">
        <v>0</v>
      </c>
      <c r="CP37" s="208">
        <v>0</v>
      </c>
      <c r="CS37" s="208">
        <v>0</v>
      </c>
      <c r="CV37" s="208">
        <v>0</v>
      </c>
      <c r="CY37" s="208">
        <v>0</v>
      </c>
      <c r="DB37" s="208">
        <v>0</v>
      </c>
      <c r="DE37" s="208">
        <v>0</v>
      </c>
      <c r="DH37" s="208">
        <v>0</v>
      </c>
      <c r="DK37" s="208">
        <v>0</v>
      </c>
      <c r="DN37" s="208">
        <v>0</v>
      </c>
      <c r="DQ37" s="208">
        <v>0</v>
      </c>
      <c r="DT37" s="208">
        <v>0</v>
      </c>
      <c r="DW37" s="208">
        <v>0</v>
      </c>
      <c r="DZ37" s="208"/>
      <c r="EA37" s="208"/>
      <c r="EB37" s="228">
        <v>301800000</v>
      </c>
      <c r="EC37" s="228">
        <v>0</v>
      </c>
      <c r="ED37" s="208">
        <v>32761.833333333332</v>
      </c>
      <c r="EE37" s="209">
        <v>3.9079721669980118E-2</v>
      </c>
      <c r="EG37" s="228">
        <v>0</v>
      </c>
      <c r="EH37" s="208">
        <v>0</v>
      </c>
      <c r="EI37" s="209">
        <v>0</v>
      </c>
      <c r="EJ37" s="209"/>
      <c r="EK37" s="228">
        <v>301800000</v>
      </c>
      <c r="EL37" s="228">
        <v>0</v>
      </c>
      <c r="EM37" s="228">
        <v>32761.833333333332</v>
      </c>
      <c r="EN37" s="209">
        <v>3.9079721669980118E-2</v>
      </c>
      <c r="EP37" s="208"/>
    </row>
    <row r="38" spans="1:146" x14ac:dyDescent="0.25">
      <c r="A38" s="222">
        <v>46170</v>
      </c>
      <c r="B38" s="208">
        <v>120000000</v>
      </c>
      <c r="C38" s="209">
        <v>3.9317400000000002E-2</v>
      </c>
      <c r="D38" s="208">
        <v>13105.8</v>
      </c>
      <c r="G38" s="208">
        <v>0</v>
      </c>
      <c r="J38" s="208">
        <v>0</v>
      </c>
      <c r="M38" s="208">
        <v>0</v>
      </c>
      <c r="P38" s="208">
        <v>0</v>
      </c>
      <c r="S38" s="208">
        <v>0</v>
      </c>
      <c r="V38" s="208">
        <v>0</v>
      </c>
      <c r="Y38" s="208">
        <v>0</v>
      </c>
      <c r="AB38" s="208">
        <v>0</v>
      </c>
      <c r="AE38" s="208">
        <v>0</v>
      </c>
      <c r="AH38" s="208">
        <v>0</v>
      </c>
      <c r="AI38" s="223">
        <v>70000000</v>
      </c>
      <c r="AJ38" s="224">
        <v>3.8800000000000001E-2</v>
      </c>
      <c r="AK38" s="208">
        <v>7544.4444444444443</v>
      </c>
      <c r="AL38" s="223">
        <v>120600000</v>
      </c>
      <c r="AM38" s="224">
        <v>3.95E-2</v>
      </c>
      <c r="AN38" s="208">
        <v>13232.5</v>
      </c>
      <c r="AO38" s="223"/>
      <c r="AP38" s="224"/>
      <c r="AQ38" s="208">
        <v>0</v>
      </c>
      <c r="AR38" s="223"/>
      <c r="AS38" s="224"/>
      <c r="AT38" s="208">
        <v>0</v>
      </c>
      <c r="AW38" s="208">
        <v>0</v>
      </c>
      <c r="AZ38" s="208">
        <v>0</v>
      </c>
      <c r="BC38" s="208">
        <v>0</v>
      </c>
      <c r="BF38" s="208">
        <v>0</v>
      </c>
      <c r="BI38" s="208">
        <v>0</v>
      </c>
      <c r="BL38" s="208">
        <v>0</v>
      </c>
      <c r="BO38" s="208">
        <v>0</v>
      </c>
      <c r="BR38" s="208">
        <v>0</v>
      </c>
      <c r="BU38" s="208">
        <v>0</v>
      </c>
      <c r="BX38" s="208">
        <v>0</v>
      </c>
      <c r="CA38" s="208">
        <v>0</v>
      </c>
      <c r="CD38" s="208">
        <v>0</v>
      </c>
      <c r="CG38" s="208">
        <v>0</v>
      </c>
      <c r="CJ38" s="208">
        <v>0</v>
      </c>
      <c r="CM38" s="208">
        <v>0</v>
      </c>
      <c r="CP38" s="208">
        <v>0</v>
      </c>
      <c r="CS38" s="208">
        <v>0</v>
      </c>
      <c r="CV38" s="208">
        <v>0</v>
      </c>
      <c r="CY38" s="208">
        <v>0</v>
      </c>
      <c r="DB38" s="208">
        <v>0</v>
      </c>
      <c r="DE38" s="208">
        <v>0</v>
      </c>
      <c r="DH38" s="208">
        <v>0</v>
      </c>
      <c r="DK38" s="208">
        <v>0</v>
      </c>
      <c r="DN38" s="208">
        <v>0</v>
      </c>
      <c r="DQ38" s="208">
        <v>0</v>
      </c>
      <c r="DT38" s="208">
        <v>0</v>
      </c>
      <c r="DW38" s="208">
        <v>0</v>
      </c>
      <c r="DZ38" s="208"/>
      <c r="EA38" s="208"/>
      <c r="EB38" s="228">
        <v>310600000</v>
      </c>
      <c r="EC38" s="228">
        <v>120000000</v>
      </c>
      <c r="ED38" s="208">
        <v>33882.744444444441</v>
      </c>
      <c r="EE38" s="209">
        <v>3.9271693496458461E-2</v>
      </c>
      <c r="EG38" s="228">
        <v>0</v>
      </c>
      <c r="EH38" s="208">
        <v>0</v>
      </c>
      <c r="EI38" s="209">
        <v>0</v>
      </c>
      <c r="EJ38" s="209"/>
      <c r="EK38" s="228">
        <v>190600000</v>
      </c>
      <c r="EL38" s="228">
        <v>0</v>
      </c>
      <c r="EM38" s="228">
        <v>20776.944444444445</v>
      </c>
      <c r="EN38" s="209">
        <v>3.9242917103882481E-2</v>
      </c>
      <c r="EP38" s="208"/>
    </row>
    <row r="39" spans="1:146" x14ac:dyDescent="0.25">
      <c r="A39" s="222">
        <v>46171</v>
      </c>
      <c r="B39" s="208">
        <v>0</v>
      </c>
      <c r="C39" s="209">
        <v>3.9470249999999998E-2</v>
      </c>
      <c r="D39" s="208">
        <v>0</v>
      </c>
      <c r="G39" s="208">
        <v>0</v>
      </c>
      <c r="J39" s="208">
        <v>0</v>
      </c>
      <c r="M39" s="208">
        <v>0</v>
      </c>
      <c r="P39" s="208">
        <v>0</v>
      </c>
      <c r="S39" s="208">
        <v>0</v>
      </c>
      <c r="V39" s="208">
        <v>0</v>
      </c>
      <c r="Y39" s="208">
        <v>0</v>
      </c>
      <c r="AB39" s="208">
        <v>0</v>
      </c>
      <c r="AE39" s="208">
        <v>0</v>
      </c>
      <c r="AH39" s="208">
        <v>0</v>
      </c>
      <c r="AI39" s="223">
        <v>244200000</v>
      </c>
      <c r="AJ39" s="224">
        <v>3.8800000000000001E-2</v>
      </c>
      <c r="AK39" s="208">
        <v>26319.333333333332</v>
      </c>
      <c r="AL39" s="223">
        <v>120600000</v>
      </c>
      <c r="AM39" s="224">
        <v>3.95E-2</v>
      </c>
      <c r="AN39" s="208">
        <v>13232.5</v>
      </c>
      <c r="AO39" s="223"/>
      <c r="AP39" s="224"/>
      <c r="AQ39" s="208">
        <v>0</v>
      </c>
      <c r="AR39" s="223"/>
      <c r="AS39" s="224"/>
      <c r="AT39" s="208">
        <v>0</v>
      </c>
      <c r="AW39" s="208">
        <v>0</v>
      </c>
      <c r="AZ39" s="208">
        <v>0</v>
      </c>
      <c r="BC39" s="208">
        <v>0</v>
      </c>
      <c r="BF39" s="208">
        <v>0</v>
      </c>
      <c r="BI39" s="208">
        <v>0</v>
      </c>
      <c r="BL39" s="208">
        <v>0</v>
      </c>
      <c r="BO39" s="208">
        <v>0</v>
      </c>
      <c r="BR39" s="208">
        <v>0</v>
      </c>
      <c r="BU39" s="208">
        <v>0</v>
      </c>
      <c r="BX39" s="208">
        <v>0</v>
      </c>
      <c r="CA39" s="208">
        <v>0</v>
      </c>
      <c r="CD39" s="208">
        <v>0</v>
      </c>
      <c r="CG39" s="208">
        <v>0</v>
      </c>
      <c r="CJ39" s="208">
        <v>0</v>
      </c>
      <c r="CM39" s="208">
        <v>0</v>
      </c>
      <c r="CP39" s="208">
        <v>0</v>
      </c>
      <c r="CS39" s="208">
        <v>0</v>
      </c>
      <c r="CV39" s="208">
        <v>0</v>
      </c>
      <c r="CY39" s="208">
        <v>0</v>
      </c>
      <c r="DB39" s="208">
        <v>0</v>
      </c>
      <c r="DE39" s="208">
        <v>0</v>
      </c>
      <c r="DH39" s="208">
        <v>0</v>
      </c>
      <c r="DK39" s="208">
        <v>0</v>
      </c>
      <c r="DN39" s="208">
        <v>0</v>
      </c>
      <c r="DQ39" s="208">
        <v>0</v>
      </c>
      <c r="DT39" s="208">
        <v>0</v>
      </c>
      <c r="DW39" s="208">
        <v>0</v>
      </c>
      <c r="DZ39" s="208"/>
      <c r="EA39" s="208"/>
      <c r="EB39" s="228">
        <v>364800000</v>
      </c>
      <c r="EC39" s="228">
        <v>0</v>
      </c>
      <c r="ED39" s="208">
        <v>39551.833333333328</v>
      </c>
      <c r="EE39" s="209">
        <v>3.9031414473684203E-2</v>
      </c>
      <c r="EG39" s="228">
        <v>0</v>
      </c>
      <c r="EH39" s="208">
        <v>0</v>
      </c>
      <c r="EI39" s="209">
        <v>0</v>
      </c>
      <c r="EJ39" s="209"/>
      <c r="EK39" s="228">
        <v>364800000</v>
      </c>
      <c r="EL39" s="228">
        <v>0</v>
      </c>
      <c r="EM39" s="228">
        <v>39551.833333333328</v>
      </c>
      <c r="EN39" s="209">
        <v>3.9031414473684203E-2</v>
      </c>
      <c r="EP39" s="208"/>
    </row>
    <row r="40" spans="1:146" x14ac:dyDescent="0.25">
      <c r="A40" s="222">
        <v>46172</v>
      </c>
      <c r="B40" s="208">
        <v>0</v>
      </c>
      <c r="C40" s="209">
        <v>3.9470249999999998E-2</v>
      </c>
      <c r="D40" s="208">
        <v>0</v>
      </c>
      <c r="G40" s="208">
        <v>0</v>
      </c>
      <c r="J40" s="208">
        <v>0</v>
      </c>
      <c r="M40" s="208">
        <v>0</v>
      </c>
      <c r="P40" s="208">
        <v>0</v>
      </c>
      <c r="S40" s="208">
        <v>0</v>
      </c>
      <c r="V40" s="208">
        <v>0</v>
      </c>
      <c r="Y40" s="208">
        <v>0</v>
      </c>
      <c r="AB40" s="208">
        <v>0</v>
      </c>
      <c r="AE40" s="208">
        <v>0</v>
      </c>
      <c r="AH40" s="208">
        <v>0</v>
      </c>
      <c r="AI40" s="223">
        <v>244200000</v>
      </c>
      <c r="AJ40" s="224">
        <v>3.8800000000000001E-2</v>
      </c>
      <c r="AK40" s="208">
        <v>26319.333333333332</v>
      </c>
      <c r="AL40" s="223">
        <v>120600000</v>
      </c>
      <c r="AM40" s="224">
        <v>3.95E-2</v>
      </c>
      <c r="AN40" s="208">
        <v>13232.5</v>
      </c>
      <c r="AO40" s="223"/>
      <c r="AP40" s="224"/>
      <c r="AQ40" s="208">
        <v>0</v>
      </c>
      <c r="AR40" s="223"/>
      <c r="AS40" s="224"/>
      <c r="AT40" s="208">
        <v>0</v>
      </c>
      <c r="AW40" s="208">
        <v>0</v>
      </c>
      <c r="AZ40" s="208">
        <v>0</v>
      </c>
      <c r="BC40" s="208">
        <v>0</v>
      </c>
      <c r="BF40" s="208">
        <v>0</v>
      </c>
      <c r="BI40" s="208">
        <v>0</v>
      </c>
      <c r="BL40" s="208">
        <v>0</v>
      </c>
      <c r="BO40" s="208">
        <v>0</v>
      </c>
      <c r="BR40" s="208">
        <v>0</v>
      </c>
      <c r="BU40" s="208">
        <v>0</v>
      </c>
      <c r="BX40" s="208">
        <v>0</v>
      </c>
      <c r="CA40" s="208">
        <v>0</v>
      </c>
      <c r="CD40" s="208">
        <v>0</v>
      </c>
      <c r="CG40" s="208">
        <v>0</v>
      </c>
      <c r="CJ40" s="208">
        <v>0</v>
      </c>
      <c r="CM40" s="208">
        <v>0</v>
      </c>
      <c r="CP40" s="208">
        <v>0</v>
      </c>
      <c r="CS40" s="208">
        <v>0</v>
      </c>
      <c r="CV40" s="208">
        <v>0</v>
      </c>
      <c r="CY40" s="208">
        <v>0</v>
      </c>
      <c r="DB40" s="208">
        <v>0</v>
      </c>
      <c r="DE40" s="208">
        <v>0</v>
      </c>
      <c r="DH40" s="208">
        <v>0</v>
      </c>
      <c r="DK40" s="208">
        <v>0</v>
      </c>
      <c r="DN40" s="208">
        <v>0</v>
      </c>
      <c r="DQ40" s="208">
        <v>0</v>
      </c>
      <c r="DT40" s="208">
        <v>0</v>
      </c>
      <c r="DW40" s="208">
        <v>0</v>
      </c>
      <c r="DZ40" s="208"/>
      <c r="EA40" s="208"/>
      <c r="EB40" s="228">
        <v>364800000</v>
      </c>
      <c r="EC40" s="228">
        <v>0</v>
      </c>
      <c r="ED40" s="208">
        <v>39551.833333333328</v>
      </c>
      <c r="EE40" s="209">
        <v>3.9031414473684203E-2</v>
      </c>
      <c r="EG40" s="228">
        <v>0</v>
      </c>
      <c r="EH40" s="208">
        <v>0</v>
      </c>
      <c r="EI40" s="209">
        <v>0</v>
      </c>
      <c r="EJ40" s="209"/>
      <c r="EK40" s="228">
        <v>364800000</v>
      </c>
      <c r="EL40" s="228">
        <v>0</v>
      </c>
      <c r="EM40" s="228">
        <v>39551.833333333328</v>
      </c>
      <c r="EN40" s="209">
        <v>3.9031414473684203E-2</v>
      </c>
      <c r="EP40" s="208"/>
    </row>
    <row r="41" spans="1:146" x14ac:dyDescent="0.25">
      <c r="A41" s="222">
        <v>46173</v>
      </c>
      <c r="B41" s="208">
        <v>0</v>
      </c>
      <c r="C41" s="209">
        <v>3.9470249999999998E-2</v>
      </c>
      <c r="D41" s="249">
        <v>0</v>
      </c>
      <c r="G41" s="249">
        <v>0</v>
      </c>
      <c r="J41" s="225">
        <v>0</v>
      </c>
      <c r="M41" s="225">
        <v>0</v>
      </c>
      <c r="P41" s="225">
        <v>0</v>
      </c>
      <c r="S41" s="225">
        <v>0</v>
      </c>
      <c r="V41" s="225">
        <v>0</v>
      </c>
      <c r="Y41" s="225">
        <v>0</v>
      </c>
      <c r="AB41" s="225">
        <v>0</v>
      </c>
      <c r="AE41" s="225">
        <v>0</v>
      </c>
      <c r="AH41" s="225">
        <v>0</v>
      </c>
      <c r="AI41" s="208">
        <v>244200000</v>
      </c>
      <c r="AJ41" s="209">
        <v>3.8800000000000001E-2</v>
      </c>
      <c r="AK41" s="249">
        <v>26319.333333333332</v>
      </c>
      <c r="AL41" s="208">
        <v>120600000</v>
      </c>
      <c r="AM41" s="209">
        <v>3.95E-2</v>
      </c>
      <c r="AN41" s="249">
        <v>13232.5</v>
      </c>
      <c r="AQ41" s="249">
        <v>0</v>
      </c>
      <c r="AT41" s="249">
        <v>0</v>
      </c>
      <c r="AW41" s="249">
        <v>0</v>
      </c>
      <c r="AZ41" s="249">
        <v>0</v>
      </c>
      <c r="BC41" s="249">
        <v>0</v>
      </c>
      <c r="BF41" s="249">
        <v>0</v>
      </c>
      <c r="BI41" s="249">
        <v>0</v>
      </c>
      <c r="BL41" s="249">
        <v>0</v>
      </c>
      <c r="BO41" s="225">
        <v>0</v>
      </c>
      <c r="BR41" s="225">
        <v>0</v>
      </c>
      <c r="BU41" s="225">
        <v>0</v>
      </c>
      <c r="BX41" s="225">
        <v>0</v>
      </c>
      <c r="CA41" s="225">
        <v>0</v>
      </c>
      <c r="CD41" s="225">
        <v>0</v>
      </c>
      <c r="CG41" s="225">
        <v>0</v>
      </c>
      <c r="CJ41" s="225">
        <v>0</v>
      </c>
      <c r="CM41" s="225">
        <v>0</v>
      </c>
      <c r="CP41" s="225">
        <v>0</v>
      </c>
      <c r="CS41" s="225">
        <v>0</v>
      </c>
      <c r="CV41" s="225">
        <v>0</v>
      </c>
      <c r="CY41" s="225">
        <v>0</v>
      </c>
      <c r="DB41" s="225">
        <v>0</v>
      </c>
      <c r="DE41" s="225">
        <v>0</v>
      </c>
      <c r="DH41" s="225">
        <v>0</v>
      </c>
      <c r="DK41" s="225">
        <v>0</v>
      </c>
      <c r="DN41" s="225">
        <v>0</v>
      </c>
      <c r="DQ41" s="225">
        <v>0</v>
      </c>
      <c r="DT41" s="225">
        <v>0</v>
      </c>
      <c r="DW41" s="225">
        <v>0</v>
      </c>
      <c r="DZ41" s="208"/>
      <c r="EA41" s="208"/>
      <c r="EB41" s="208">
        <v>364800000</v>
      </c>
      <c r="EC41" s="208">
        <v>0</v>
      </c>
      <c r="ED41" s="249">
        <v>39551.833333333328</v>
      </c>
      <c r="EE41" s="209">
        <v>3.9031414473684203E-2</v>
      </c>
      <c r="EG41" s="208">
        <v>0</v>
      </c>
      <c r="EH41" s="225">
        <v>0</v>
      </c>
      <c r="EI41" s="209">
        <v>0</v>
      </c>
      <c r="EJ41" s="209"/>
      <c r="EK41" s="208">
        <v>364800000</v>
      </c>
      <c r="EL41" s="208">
        <v>0</v>
      </c>
      <c r="EM41" s="249">
        <v>39551.833333333328</v>
      </c>
      <c r="EN41" s="209">
        <v>3.9031414473684203E-2</v>
      </c>
    </row>
    <row r="42" spans="1:146" x14ac:dyDescent="0.25">
      <c r="A42" s="166" t="s">
        <v>35</v>
      </c>
      <c r="D42" s="208">
        <v>13105.8</v>
      </c>
      <c r="F42" s="208"/>
      <c r="G42" s="208">
        <v>0</v>
      </c>
      <c r="I42" s="208"/>
      <c r="J42" s="208">
        <v>0</v>
      </c>
      <c r="L42" s="208"/>
      <c r="M42" s="208">
        <v>0</v>
      </c>
      <c r="O42" s="208"/>
      <c r="P42" s="208">
        <v>0</v>
      </c>
      <c r="R42" s="208"/>
      <c r="S42" s="208">
        <v>0</v>
      </c>
      <c r="U42" s="208"/>
      <c r="V42" s="208">
        <v>0</v>
      </c>
      <c r="X42" s="208"/>
      <c r="Y42" s="208">
        <v>0</v>
      </c>
      <c r="AA42" s="208"/>
      <c r="AB42" s="208">
        <v>0</v>
      </c>
      <c r="AD42" s="208"/>
      <c r="AE42" s="208">
        <v>0</v>
      </c>
      <c r="AG42" s="208"/>
      <c r="AH42" s="208">
        <v>0</v>
      </c>
      <c r="AJ42" s="208"/>
      <c r="AK42" s="208">
        <v>656180.75000000012</v>
      </c>
      <c r="AM42" s="208"/>
      <c r="AN42" s="208">
        <v>372301.10555555555</v>
      </c>
      <c r="AP42" s="208"/>
      <c r="AQ42" s="208">
        <v>42243.055555555562</v>
      </c>
      <c r="AS42" s="208"/>
      <c r="AT42" s="208">
        <v>0</v>
      </c>
      <c r="AV42" s="208"/>
      <c r="AW42" s="208">
        <v>0</v>
      </c>
      <c r="AY42" s="208"/>
      <c r="AZ42" s="208">
        <v>0</v>
      </c>
      <c r="BB42" s="208"/>
      <c r="BC42" s="208">
        <v>0</v>
      </c>
      <c r="BE42" s="208"/>
      <c r="BF42" s="208">
        <v>0</v>
      </c>
      <c r="BH42" s="208"/>
      <c r="BI42" s="208">
        <v>0</v>
      </c>
      <c r="BK42" s="208"/>
      <c r="BL42" s="208">
        <v>0</v>
      </c>
      <c r="BN42" s="208"/>
      <c r="BO42" s="208">
        <v>0</v>
      </c>
      <c r="BQ42" s="208"/>
      <c r="BR42" s="208">
        <v>0</v>
      </c>
      <c r="BT42" s="208"/>
      <c r="BU42" s="208">
        <v>0</v>
      </c>
      <c r="BW42" s="208"/>
      <c r="BX42" s="208">
        <v>0</v>
      </c>
      <c r="BZ42" s="208"/>
      <c r="CA42" s="208">
        <v>0</v>
      </c>
      <c r="CC42" s="208"/>
      <c r="CD42" s="208">
        <v>0</v>
      </c>
      <c r="CF42" s="208"/>
      <c r="CG42" s="208">
        <v>0</v>
      </c>
      <c r="CI42" s="208"/>
      <c r="CJ42" s="208">
        <v>0</v>
      </c>
      <c r="CL42" s="208"/>
      <c r="CM42" s="208">
        <v>0</v>
      </c>
      <c r="CO42" s="208"/>
      <c r="CP42" s="208">
        <v>0</v>
      </c>
      <c r="CR42" s="208"/>
      <c r="CS42" s="208">
        <v>0</v>
      </c>
      <c r="CU42" s="208"/>
      <c r="CV42" s="208">
        <v>0</v>
      </c>
      <c r="CX42" s="208"/>
      <c r="CY42" s="208">
        <v>0</v>
      </c>
      <c r="DA42" s="208"/>
      <c r="DB42" s="208">
        <v>0</v>
      </c>
      <c r="DD42" s="208"/>
      <c r="DE42" s="208">
        <v>0</v>
      </c>
      <c r="DG42" s="208"/>
      <c r="DH42" s="208">
        <v>0</v>
      </c>
      <c r="DJ42" s="208"/>
      <c r="DK42" s="208">
        <v>0</v>
      </c>
      <c r="DM42" s="208"/>
      <c r="DN42" s="208">
        <v>0</v>
      </c>
      <c r="DP42" s="208"/>
      <c r="DQ42" s="208">
        <v>0</v>
      </c>
      <c r="DS42" s="208"/>
      <c r="DT42" s="208">
        <v>0</v>
      </c>
      <c r="DV42" s="208"/>
      <c r="DW42" s="208">
        <v>0</v>
      </c>
      <c r="DY42" s="208"/>
      <c r="DZ42" s="208"/>
      <c r="EA42" s="208"/>
      <c r="EB42" s="208"/>
      <c r="EC42" s="208"/>
      <c r="ED42" s="208">
        <v>1083830.7111111111</v>
      </c>
      <c r="EE42" s="208"/>
      <c r="EF42" s="208"/>
      <c r="EG42" s="208"/>
      <c r="EH42" s="208">
        <v>0</v>
      </c>
      <c r="EI42" s="208"/>
      <c r="EJ42" s="208"/>
      <c r="EK42" s="208"/>
      <c r="EL42" s="208"/>
      <c r="EM42" s="208">
        <v>1070724.9111111113</v>
      </c>
      <c r="EN42" s="208"/>
    </row>
    <row r="43" spans="1:146" x14ac:dyDescent="0.25">
      <c r="EM43" s="226"/>
    </row>
    <row r="44" spans="1:146" x14ac:dyDescent="0.25">
      <c r="EM44" s="208"/>
    </row>
    <row r="45" spans="1:146" x14ac:dyDescent="0.25">
      <c r="EM45" s="208"/>
    </row>
    <row r="47" spans="1:146" x14ac:dyDescent="0.25">
      <c r="EM47" s="208"/>
    </row>
  </sheetData>
  <pageMargins left="0.7" right="0.7" top="0.75" bottom="0.75" header="0.3" footer="0.3"/>
  <pageSetup scale="63" orientation="portrait" r:id="rId1"/>
  <headerFooter>
    <oddFooter>&amp;CSchedule RL-1</oddFooter>
  </headerFooter>
  <colBreaks count="5" manualBreakCount="5">
    <brk id="34" max="1048575" man="1"/>
    <brk id="43" max="1048575" man="1"/>
    <brk id="52" max="41" man="1"/>
    <brk id="130" max="1048575" man="1"/>
    <brk id="14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9"/>
  <dimension ref="A1:EQ47"/>
  <sheetViews>
    <sheetView zoomScaleNormal="100" workbookViewId="0">
      <selection activeCell="B1" sqref="B1"/>
    </sheetView>
  </sheetViews>
  <sheetFormatPr defaultRowHeight="15" x14ac:dyDescent="0.25"/>
  <cols>
    <col min="1" max="1" width="14.5703125" style="166" bestFit="1" customWidth="1"/>
    <col min="2" max="2" width="15.5703125" style="208" bestFit="1" customWidth="1"/>
    <col min="3" max="3" width="15.42578125" style="209" bestFit="1" customWidth="1"/>
    <col min="4" max="4" width="15.42578125" style="166" bestFit="1" customWidth="1"/>
    <col min="5" max="5" width="15.5703125" style="208" bestFit="1" customWidth="1"/>
    <col min="6" max="6" width="12.28515625" style="209" bestFit="1" customWidth="1"/>
    <col min="7" max="7" width="18.42578125" style="166" bestFit="1" customWidth="1"/>
    <col min="8" max="8" width="15.42578125" style="208" hidden="1" customWidth="1"/>
    <col min="9" max="9" width="10.28515625" style="209" hidden="1" customWidth="1"/>
    <col min="10" max="10" width="13.42578125" style="166" hidden="1" customWidth="1"/>
    <col min="11" max="11" width="14.42578125" style="208" hidden="1" customWidth="1"/>
    <col min="12" max="12" width="10.28515625" style="209" hidden="1" customWidth="1"/>
    <col min="13" max="13" width="11.7109375" style="166" hidden="1" customWidth="1"/>
    <col min="14" max="14" width="14.42578125" style="208" hidden="1" customWidth="1"/>
    <col min="15" max="15" width="10.28515625" style="209" hidden="1" customWidth="1"/>
    <col min="16" max="16" width="11.7109375" style="166" hidden="1" customWidth="1"/>
    <col min="17" max="17" width="15.42578125" style="208" hidden="1" customWidth="1"/>
    <col min="18" max="18" width="10.28515625" style="209" hidden="1" customWidth="1"/>
    <col min="19" max="19" width="11.7109375" style="166" hidden="1" customWidth="1"/>
    <col min="20" max="20" width="15.42578125" style="208" hidden="1" customWidth="1"/>
    <col min="21" max="21" width="10.28515625" style="209" hidden="1" customWidth="1"/>
    <col min="22" max="22" width="11.7109375" style="166" hidden="1" customWidth="1"/>
    <col min="23" max="23" width="15.42578125" style="208" hidden="1" customWidth="1"/>
    <col min="24" max="24" width="10.28515625" style="209" hidden="1" customWidth="1"/>
    <col min="25" max="25" width="11.7109375" style="166" hidden="1" customWidth="1"/>
    <col min="26" max="26" width="15.42578125" style="208" hidden="1" customWidth="1"/>
    <col min="27" max="27" width="10.28515625" style="209" hidden="1" customWidth="1"/>
    <col min="28" max="28" width="11.7109375" style="166" hidden="1" customWidth="1"/>
    <col min="29" max="29" width="15.42578125" style="208" hidden="1" customWidth="1"/>
    <col min="30" max="30" width="10.28515625" style="209" hidden="1" customWidth="1"/>
    <col min="31" max="31" width="11.7109375" style="166" hidden="1" customWidth="1"/>
    <col min="32" max="32" width="14.42578125" style="208" hidden="1" customWidth="1"/>
    <col min="33" max="33" width="10.28515625" style="209" hidden="1" customWidth="1"/>
    <col min="34" max="34" width="10.7109375" style="166" hidden="1" customWidth="1"/>
    <col min="35" max="35" width="14.42578125" style="208" customWidth="1"/>
    <col min="36" max="36" width="11.7109375" style="209" customWidth="1"/>
    <col min="37" max="37" width="13.7109375" style="166" bestFit="1" customWidth="1"/>
    <col min="38" max="38" width="14.42578125" style="208" customWidth="1"/>
    <col min="39" max="39" width="13.140625" style="209" customWidth="1"/>
    <col min="40" max="40" width="13.7109375" style="166" bestFit="1" customWidth="1"/>
    <col min="41" max="41" width="15.42578125" style="208" bestFit="1" customWidth="1"/>
    <col min="42" max="42" width="12.28515625" style="209" bestFit="1" customWidth="1"/>
    <col min="43" max="43" width="15.140625" style="166" customWidth="1"/>
    <col min="44" max="44" width="15.42578125" style="208" bestFit="1" customWidth="1"/>
    <col min="45" max="45" width="10.28515625" style="209" bestFit="1" customWidth="1"/>
    <col min="46" max="46" width="11.7109375" style="166" bestFit="1" customWidth="1"/>
    <col min="47" max="47" width="14.42578125" style="208" customWidth="1"/>
    <col min="48" max="48" width="10.28515625" style="209" customWidth="1"/>
    <col min="49" max="49" width="10.7109375" style="166" customWidth="1"/>
    <col min="50" max="50" width="14.42578125" style="208" customWidth="1"/>
    <col min="51" max="51" width="10.28515625" style="209" customWidth="1"/>
    <col min="52" max="52" width="10.7109375" style="166" customWidth="1"/>
    <col min="53" max="53" width="14.42578125" style="208" customWidth="1"/>
    <col min="54" max="54" width="10.28515625" style="209" customWidth="1"/>
    <col min="55" max="55" width="10.7109375" style="166" customWidth="1"/>
    <col min="56" max="56" width="14.42578125" style="208" customWidth="1"/>
    <col min="57" max="57" width="10.28515625" style="209" customWidth="1"/>
    <col min="58" max="58" width="10.7109375" style="166" customWidth="1"/>
    <col min="59" max="59" width="14.42578125" style="208" customWidth="1"/>
    <col min="60" max="60" width="10.28515625" style="209" customWidth="1"/>
    <col min="61" max="61" width="10.7109375" style="166" customWidth="1"/>
    <col min="62" max="62" width="14.42578125" style="208" customWidth="1"/>
    <col min="63" max="63" width="10.28515625" style="209" customWidth="1"/>
    <col min="64" max="64" width="10.7109375" style="166" customWidth="1"/>
    <col min="65" max="65" width="14.42578125" style="208" hidden="1" customWidth="1"/>
    <col min="66" max="66" width="10.28515625" style="209" hidden="1" customWidth="1"/>
    <col min="67" max="67" width="10.7109375" style="166" hidden="1" customWidth="1"/>
    <col min="68" max="68" width="14.42578125" style="208" hidden="1" customWidth="1"/>
    <col min="69" max="69" width="10.28515625" style="209" hidden="1" customWidth="1"/>
    <col min="70" max="70" width="10.7109375" style="166" hidden="1" customWidth="1"/>
    <col min="71" max="71" width="14.42578125" style="208" hidden="1" customWidth="1"/>
    <col min="72" max="72" width="10.28515625" style="209" hidden="1" customWidth="1"/>
    <col min="73" max="73" width="10.7109375" style="166" hidden="1" customWidth="1"/>
    <col min="74" max="74" width="14.42578125" style="208" hidden="1" customWidth="1"/>
    <col min="75" max="75" width="10.28515625" style="209" hidden="1" customWidth="1"/>
    <col min="76" max="76" width="10.7109375" style="166" hidden="1" customWidth="1"/>
    <col min="77" max="77" width="14.42578125" style="208" hidden="1" customWidth="1"/>
    <col min="78" max="78" width="10.28515625" style="209" hidden="1" customWidth="1"/>
    <col min="79" max="79" width="10.7109375" style="166" hidden="1" customWidth="1"/>
    <col min="80" max="80" width="14.42578125" style="208" hidden="1" customWidth="1"/>
    <col min="81" max="81" width="10.28515625" style="209" hidden="1" customWidth="1"/>
    <col min="82" max="82" width="10.7109375" style="166" hidden="1" customWidth="1"/>
    <col min="83" max="83" width="14.42578125" style="208" hidden="1" customWidth="1"/>
    <col min="84" max="84" width="10.28515625" style="209" hidden="1" customWidth="1"/>
    <col min="85" max="85" width="10.7109375" style="166" hidden="1" customWidth="1"/>
    <col min="86" max="86" width="14.42578125" style="208" hidden="1" customWidth="1"/>
    <col min="87" max="87" width="10.28515625" style="209" hidden="1" customWidth="1"/>
    <col min="88" max="88" width="10.7109375" style="166" hidden="1" customWidth="1"/>
    <col min="89" max="89" width="14.42578125" style="208" hidden="1" customWidth="1"/>
    <col min="90" max="90" width="10.28515625" style="209" hidden="1" customWidth="1"/>
    <col min="91" max="91" width="10.7109375" style="166" hidden="1" customWidth="1"/>
    <col min="92" max="92" width="14.42578125" style="208" hidden="1" customWidth="1"/>
    <col min="93" max="93" width="10.28515625" style="209" hidden="1" customWidth="1"/>
    <col min="94" max="94" width="10.7109375" style="166" hidden="1" customWidth="1"/>
    <col min="95" max="95" width="14.42578125" style="208" hidden="1" customWidth="1"/>
    <col min="96" max="96" width="10.28515625" style="209" hidden="1" customWidth="1"/>
    <col min="97" max="97" width="10.7109375" style="166" hidden="1" customWidth="1"/>
    <col min="98" max="98" width="14.42578125" style="208" hidden="1" customWidth="1"/>
    <col min="99" max="99" width="10.28515625" style="209" hidden="1" customWidth="1"/>
    <col min="100" max="100" width="10.7109375" style="166" hidden="1" customWidth="1"/>
    <col min="101" max="101" width="14.42578125" style="208" hidden="1" customWidth="1"/>
    <col min="102" max="102" width="10.28515625" style="209" hidden="1" customWidth="1"/>
    <col min="103" max="103" width="10.7109375" style="166" hidden="1" customWidth="1"/>
    <col min="104" max="104" width="14.42578125" style="208" hidden="1" customWidth="1"/>
    <col min="105" max="105" width="10.28515625" style="209" hidden="1" customWidth="1"/>
    <col min="106" max="106" width="10.7109375" style="166" hidden="1" customWidth="1"/>
    <col min="107" max="107" width="14.42578125" style="208" hidden="1" customWidth="1"/>
    <col min="108" max="108" width="10.28515625" style="209" hidden="1" customWidth="1"/>
    <col min="109" max="109" width="10.7109375" style="166" hidden="1" customWidth="1"/>
    <col min="110" max="110" width="14.42578125" style="208" hidden="1" customWidth="1"/>
    <col min="111" max="111" width="10.28515625" style="209" hidden="1" customWidth="1"/>
    <col min="112" max="112" width="10.7109375" style="166" hidden="1" customWidth="1"/>
    <col min="113" max="113" width="14.42578125" style="208" hidden="1" customWidth="1"/>
    <col min="114" max="114" width="10.28515625" style="209" hidden="1" customWidth="1"/>
    <col min="115" max="115" width="10.7109375" style="166" hidden="1" customWidth="1"/>
    <col min="116" max="116" width="14.42578125" style="208" hidden="1" customWidth="1"/>
    <col min="117" max="117" width="10.28515625" style="209" hidden="1" customWidth="1"/>
    <col min="118" max="118" width="10.7109375" style="166" hidden="1" customWidth="1"/>
    <col min="119" max="119" width="14.42578125" style="208" hidden="1" customWidth="1"/>
    <col min="120" max="120" width="10.28515625" style="209" hidden="1" customWidth="1"/>
    <col min="121" max="121" width="10.7109375" style="166" hidden="1" customWidth="1"/>
    <col min="122" max="122" width="14.42578125" style="208" hidden="1" customWidth="1"/>
    <col min="123" max="123" width="10.28515625" style="209" hidden="1" customWidth="1"/>
    <col min="124" max="124" width="10.7109375" style="166" hidden="1" customWidth="1"/>
    <col min="125" max="125" width="14.42578125" style="208" hidden="1" customWidth="1"/>
    <col min="126" max="126" width="10.28515625" style="209" hidden="1" customWidth="1"/>
    <col min="127" max="127" width="10.7109375" style="166" hidden="1" customWidth="1"/>
    <col min="128" max="128" width="14.42578125" style="208" hidden="1" customWidth="1"/>
    <col min="129" max="129" width="10.28515625" style="209" hidden="1" customWidth="1"/>
    <col min="130" max="130" width="10.7109375" style="166" hidden="1" customWidth="1"/>
    <col min="131" max="131" width="2.7109375" style="166" customWidth="1"/>
    <col min="132" max="132" width="18.7109375" style="166" customWidth="1"/>
    <col min="133" max="133" width="15.42578125" style="166" hidden="1" customWidth="1"/>
    <col min="134" max="134" width="16.140625" style="166" customWidth="1"/>
    <col min="135" max="135" width="20.140625" style="166" customWidth="1"/>
    <col min="136" max="136" width="2.7109375" style="166" customWidth="1"/>
    <col min="137" max="137" width="15.42578125" style="166" hidden="1" customWidth="1"/>
    <col min="138" max="138" width="14.42578125" style="166" hidden="1" customWidth="1"/>
    <col min="139" max="139" width="12.42578125" style="166" hidden="1" customWidth="1"/>
    <col min="140" max="140" width="2.7109375" style="166" hidden="1" customWidth="1"/>
    <col min="141" max="141" width="18.5703125" style="166" customWidth="1"/>
    <col min="142" max="142" width="15.42578125" style="166" hidden="1" customWidth="1"/>
    <col min="143" max="143" width="17.7109375" style="166" customWidth="1"/>
    <col min="144" max="144" width="18.42578125" style="166" bestFit="1" customWidth="1"/>
    <col min="145" max="145" width="42.85546875" style="166" bestFit="1" customWidth="1"/>
    <col min="146" max="146" width="19.42578125" style="166" bestFit="1" customWidth="1"/>
    <col min="147" max="147" width="23.140625" style="166" bestFit="1" customWidth="1"/>
    <col min="148" max="16384" width="9.140625" style="166"/>
  </cols>
  <sheetData>
    <row r="1" spans="1:147" s="175" customFormat="1" x14ac:dyDescent="0.25">
      <c r="A1" s="227" t="s">
        <v>0</v>
      </c>
      <c r="B1" s="228"/>
      <c r="C1" s="229"/>
      <c r="E1" s="228"/>
      <c r="F1" s="229"/>
      <c r="H1" s="228"/>
      <c r="I1" s="229"/>
      <c r="K1" s="228"/>
      <c r="L1" s="229"/>
      <c r="N1" s="228"/>
      <c r="O1" s="229"/>
      <c r="Q1" s="228"/>
      <c r="R1" s="229"/>
      <c r="T1" s="228"/>
      <c r="U1" s="229"/>
      <c r="W1" s="228"/>
      <c r="X1" s="229"/>
      <c r="Z1" s="228"/>
      <c r="AA1" s="229"/>
      <c r="AC1" s="228"/>
      <c r="AD1" s="229"/>
      <c r="AF1" s="228"/>
      <c r="AG1" s="229"/>
      <c r="AI1" s="228"/>
      <c r="AJ1" s="229"/>
      <c r="AL1" s="228"/>
      <c r="AM1" s="229"/>
      <c r="AO1" s="228"/>
      <c r="AP1" s="229"/>
      <c r="AR1" s="228"/>
      <c r="AS1" s="229"/>
      <c r="AU1" s="228"/>
      <c r="AV1" s="229"/>
      <c r="AX1" s="228"/>
      <c r="AY1" s="229"/>
      <c r="BA1" s="228"/>
      <c r="BB1" s="229"/>
      <c r="BD1" s="228"/>
      <c r="BE1" s="229"/>
      <c r="BG1" s="228"/>
      <c r="BH1" s="229"/>
      <c r="BJ1" s="228"/>
      <c r="BK1" s="229"/>
      <c r="BM1" s="228"/>
      <c r="BN1" s="229"/>
      <c r="BP1" s="228"/>
      <c r="BQ1" s="229"/>
      <c r="BS1" s="228"/>
      <c r="BT1" s="229"/>
      <c r="BV1" s="228"/>
      <c r="BW1" s="229"/>
      <c r="BY1" s="228"/>
      <c r="BZ1" s="229"/>
      <c r="CB1" s="228"/>
      <c r="CC1" s="229"/>
      <c r="CE1" s="228"/>
      <c r="CF1" s="229"/>
      <c r="CH1" s="228"/>
      <c r="CI1" s="229"/>
      <c r="CK1" s="228"/>
      <c r="CL1" s="229"/>
      <c r="CN1" s="228"/>
      <c r="CO1" s="229"/>
      <c r="CQ1" s="228"/>
      <c r="CR1" s="229"/>
      <c r="CT1" s="228"/>
      <c r="CU1" s="229"/>
      <c r="CW1" s="228"/>
      <c r="CX1" s="229"/>
      <c r="CZ1" s="228"/>
      <c r="DA1" s="229"/>
      <c r="DC1" s="228"/>
      <c r="DD1" s="229"/>
      <c r="DF1" s="228"/>
      <c r="DG1" s="229"/>
      <c r="DI1" s="228"/>
      <c r="DJ1" s="229"/>
      <c r="DL1" s="228"/>
      <c r="DM1" s="229"/>
      <c r="DO1" s="228"/>
      <c r="DP1" s="229"/>
      <c r="DR1" s="228"/>
      <c r="DS1" s="229"/>
      <c r="DU1" s="228"/>
      <c r="DV1" s="229"/>
      <c r="DX1" s="228"/>
      <c r="DY1" s="229"/>
      <c r="DZ1" s="230"/>
      <c r="ED1" s="169"/>
      <c r="EE1" s="231" t="s">
        <v>37</v>
      </c>
      <c r="EI1" s="169" t="s">
        <v>38</v>
      </c>
      <c r="EM1" s="169"/>
      <c r="EN1" s="169" t="s">
        <v>39</v>
      </c>
      <c r="EO1" s="227" t="s">
        <v>40</v>
      </c>
      <c r="EP1" s="227" t="s">
        <v>41</v>
      </c>
      <c r="EQ1" s="227" t="s">
        <v>42</v>
      </c>
    </row>
    <row r="2" spans="1:147" s="175" customFormat="1" ht="15.75" thickBot="1" x14ac:dyDescent="0.3">
      <c r="A2" s="227" t="s">
        <v>43</v>
      </c>
      <c r="B2" s="228"/>
      <c r="C2" s="229"/>
      <c r="E2" s="230"/>
      <c r="F2" s="229"/>
      <c r="G2" s="169"/>
      <c r="H2" s="228"/>
      <c r="I2" s="229"/>
      <c r="K2" s="228"/>
      <c r="L2" s="229"/>
      <c r="N2" s="228"/>
      <c r="O2" s="229"/>
      <c r="Q2" s="228"/>
      <c r="R2" s="229"/>
      <c r="T2" s="228"/>
      <c r="U2" s="229"/>
      <c r="W2" s="228"/>
      <c r="X2" s="229"/>
      <c r="Z2" s="228"/>
      <c r="AA2" s="229"/>
      <c r="AC2" s="228"/>
      <c r="AD2" s="229"/>
      <c r="AF2" s="228"/>
      <c r="AG2" s="229"/>
      <c r="AI2" s="228"/>
      <c r="AJ2" s="229"/>
      <c r="AL2" s="228"/>
      <c r="AM2" s="229"/>
      <c r="AO2" s="228"/>
      <c r="AP2" s="229"/>
      <c r="AR2" s="228"/>
      <c r="AS2" s="229"/>
      <c r="AU2" s="228"/>
      <c r="AV2" s="229"/>
      <c r="AX2" s="228"/>
      <c r="AY2" s="229"/>
      <c r="BA2" s="228"/>
      <c r="BB2" s="229"/>
      <c r="BD2" s="228"/>
      <c r="BE2" s="229"/>
      <c r="BG2" s="228"/>
      <c r="BH2" s="229"/>
      <c r="BJ2" s="228"/>
      <c r="BK2" s="229"/>
      <c r="BM2" s="228"/>
      <c r="BN2" s="229"/>
      <c r="BP2" s="228"/>
      <c r="BQ2" s="229"/>
      <c r="BS2" s="228"/>
      <c r="BT2" s="229"/>
      <c r="BV2" s="228"/>
      <c r="BW2" s="229"/>
      <c r="BY2" s="228"/>
      <c r="BZ2" s="229"/>
      <c r="CB2" s="228"/>
      <c r="CC2" s="229"/>
      <c r="CE2" s="228"/>
      <c r="CF2" s="229"/>
      <c r="CH2" s="228"/>
      <c r="CI2" s="229"/>
      <c r="CK2" s="228"/>
      <c r="CL2" s="229"/>
      <c r="CN2" s="228"/>
      <c r="CO2" s="229"/>
      <c r="CQ2" s="228"/>
      <c r="CR2" s="229"/>
      <c r="CT2" s="228"/>
      <c r="CU2" s="229"/>
      <c r="CW2" s="228"/>
      <c r="CX2" s="229"/>
      <c r="CZ2" s="228"/>
      <c r="DA2" s="229"/>
      <c r="DC2" s="228"/>
      <c r="DD2" s="229"/>
      <c r="DF2" s="228"/>
      <c r="DG2" s="229"/>
      <c r="DI2" s="228"/>
      <c r="DJ2" s="229"/>
      <c r="DL2" s="228"/>
      <c r="DM2" s="229"/>
      <c r="DO2" s="228"/>
      <c r="DP2" s="229"/>
      <c r="DR2" s="228"/>
      <c r="DS2" s="229"/>
      <c r="DU2" s="228"/>
      <c r="DV2" s="229"/>
      <c r="DX2" s="228"/>
      <c r="DY2" s="229"/>
      <c r="EB2" s="166" t="s">
        <v>44</v>
      </c>
      <c r="EC2" s="166"/>
      <c r="ED2" s="208"/>
      <c r="EE2" s="208">
        <v>0</v>
      </c>
      <c r="EI2" s="208">
        <v>0</v>
      </c>
      <c r="EM2" s="208"/>
      <c r="EN2" s="208">
        <v>0</v>
      </c>
      <c r="EO2" s="232">
        <v>62930.559999999998</v>
      </c>
      <c r="EP2" s="228">
        <v>62930.559999999998</v>
      </c>
      <c r="EQ2" s="228">
        <v>62930.559999999998</v>
      </c>
    </row>
    <row r="3" spans="1:147" ht="15.75" thickTop="1" x14ac:dyDescent="0.25">
      <c r="A3" s="233" t="s">
        <v>259</v>
      </c>
      <c r="E3" s="234" t="s">
        <v>45</v>
      </c>
      <c r="F3" s="210"/>
      <c r="G3" s="211"/>
      <c r="EB3" s="166" t="s">
        <v>46</v>
      </c>
      <c r="ED3" s="208"/>
      <c r="EE3" s="208">
        <v>417752666.66666669</v>
      </c>
      <c r="EI3" s="208">
        <v>0</v>
      </c>
      <c r="EM3" s="208"/>
      <c r="EN3" s="208">
        <v>417752666.66666669</v>
      </c>
    </row>
    <row r="4" spans="1:147" x14ac:dyDescent="0.25">
      <c r="E4" s="212" t="s">
        <v>44</v>
      </c>
      <c r="F4" s="208"/>
      <c r="G4" s="213">
        <v>62930.559999999998</v>
      </c>
      <c r="AI4" s="227" t="s">
        <v>47</v>
      </c>
      <c r="EB4" s="166" t="s">
        <v>48</v>
      </c>
      <c r="ED4" s="209"/>
      <c r="EE4" s="209">
        <v>3.9131265868639992E-2</v>
      </c>
      <c r="EI4" s="209">
        <v>0</v>
      </c>
      <c r="EM4" s="209"/>
      <c r="EN4" s="209">
        <v>3.9131265868639992E-2</v>
      </c>
      <c r="EO4" s="175" t="s">
        <v>239</v>
      </c>
      <c r="EQ4" s="169" t="s">
        <v>47</v>
      </c>
    </row>
    <row r="5" spans="1:147" x14ac:dyDescent="0.25">
      <c r="E5" s="212" t="s">
        <v>46</v>
      </c>
      <c r="F5" s="208"/>
      <c r="G5" s="213">
        <v>417752666.66666669</v>
      </c>
      <c r="AI5" s="235" t="s">
        <v>39</v>
      </c>
      <c r="EB5" s="166" t="s">
        <v>49</v>
      </c>
      <c r="ED5" s="208"/>
      <c r="EE5" s="208">
        <v>583230000</v>
      </c>
      <c r="EI5" s="208">
        <v>0</v>
      </c>
      <c r="EM5" s="208"/>
      <c r="EN5" s="208">
        <v>583230000</v>
      </c>
      <c r="EO5" s="166" t="s">
        <v>240</v>
      </c>
    </row>
    <row r="6" spans="1:147" x14ac:dyDescent="0.25">
      <c r="E6" s="212" t="s">
        <v>48</v>
      </c>
      <c r="F6" s="208"/>
      <c r="G6" s="214">
        <v>3.9131265868639992E-2</v>
      </c>
    </row>
    <row r="7" spans="1:147" ht="15.75" thickBot="1" x14ac:dyDescent="0.3">
      <c r="E7" s="215" t="s">
        <v>49</v>
      </c>
      <c r="F7" s="216"/>
      <c r="G7" s="217">
        <v>583230000</v>
      </c>
      <c r="AI7" s="235" t="s">
        <v>39</v>
      </c>
      <c r="EB7" s="236" t="s">
        <v>50</v>
      </c>
      <c r="EC7" s="236"/>
      <c r="ED7" s="218"/>
      <c r="EE7" s="218"/>
      <c r="EG7" s="236" t="s">
        <v>51</v>
      </c>
      <c r="EH7" s="218"/>
      <c r="EI7" s="218"/>
      <c r="EJ7" s="165"/>
      <c r="EK7" s="236" t="s">
        <v>52</v>
      </c>
      <c r="EL7" s="236"/>
      <c r="EM7" s="218"/>
      <c r="EN7" s="218"/>
    </row>
    <row r="8" spans="1:147" ht="15.75" thickTop="1" x14ac:dyDescent="0.25">
      <c r="AI8" s="230" t="s">
        <v>53</v>
      </c>
      <c r="AL8" s="230" t="s">
        <v>53</v>
      </c>
      <c r="AO8" s="230" t="s">
        <v>53</v>
      </c>
      <c r="AR8" s="230" t="s">
        <v>53</v>
      </c>
      <c r="AU8" s="230" t="s">
        <v>53</v>
      </c>
      <c r="AX8" s="230" t="s">
        <v>53</v>
      </c>
      <c r="BA8" s="230" t="s">
        <v>53</v>
      </c>
      <c r="BD8" s="230" t="s">
        <v>53</v>
      </c>
      <c r="BG8" s="230" t="s">
        <v>53</v>
      </c>
      <c r="BJ8" s="230" t="s">
        <v>53</v>
      </c>
      <c r="BM8" s="230" t="s">
        <v>53</v>
      </c>
      <c r="BP8" s="230" t="s">
        <v>53</v>
      </c>
      <c r="BS8" s="230" t="s">
        <v>53</v>
      </c>
      <c r="BV8" s="230" t="s">
        <v>53</v>
      </c>
      <c r="BY8" s="230" t="s">
        <v>53</v>
      </c>
      <c r="CB8" s="230" t="s">
        <v>53</v>
      </c>
      <c r="CE8" s="230" t="s">
        <v>53</v>
      </c>
      <c r="CH8" s="230" t="s">
        <v>53</v>
      </c>
      <c r="CK8" s="230" t="s">
        <v>53</v>
      </c>
      <c r="CN8" s="230" t="s">
        <v>53</v>
      </c>
      <c r="CQ8" s="230" t="s">
        <v>53</v>
      </c>
      <c r="CT8" s="230" t="s">
        <v>53</v>
      </c>
      <c r="CW8" s="230" t="s">
        <v>53</v>
      </c>
      <c r="CZ8" s="230" t="s">
        <v>53</v>
      </c>
      <c r="DC8" s="230" t="s">
        <v>53</v>
      </c>
      <c r="DF8" s="230" t="s">
        <v>53</v>
      </c>
      <c r="DI8" s="230" t="s">
        <v>53</v>
      </c>
      <c r="DL8" s="230" t="s">
        <v>53</v>
      </c>
      <c r="DO8" s="230" t="s">
        <v>53</v>
      </c>
      <c r="DR8" s="230" t="s">
        <v>53</v>
      </c>
      <c r="EB8" s="219"/>
      <c r="EC8" s="219"/>
      <c r="ED8" s="219"/>
      <c r="EE8" s="219" t="s">
        <v>54</v>
      </c>
      <c r="EG8" s="219"/>
      <c r="EH8" s="237" t="s">
        <v>38</v>
      </c>
      <c r="EI8" s="219" t="s">
        <v>54</v>
      </c>
      <c r="EJ8" s="219"/>
      <c r="EK8" s="169" t="s">
        <v>55</v>
      </c>
      <c r="EL8" s="169" t="s">
        <v>56</v>
      </c>
      <c r="EM8" s="237" t="s">
        <v>57</v>
      </c>
      <c r="EN8" s="219" t="s">
        <v>54</v>
      </c>
    </row>
    <row r="9" spans="1:147" x14ac:dyDescent="0.25">
      <c r="B9" s="220" t="s">
        <v>58</v>
      </c>
      <c r="C9" s="221"/>
      <c r="D9" s="218"/>
      <c r="E9" s="220" t="s">
        <v>59</v>
      </c>
      <c r="F9" s="221"/>
      <c r="G9" s="218"/>
      <c r="H9" s="220" t="s">
        <v>60</v>
      </c>
      <c r="I9" s="221"/>
      <c r="J9" s="218"/>
      <c r="K9" s="220" t="s">
        <v>61</v>
      </c>
      <c r="L9" s="221"/>
      <c r="M9" s="218"/>
      <c r="N9" s="220" t="s">
        <v>62</v>
      </c>
      <c r="O9" s="221"/>
      <c r="P9" s="218"/>
      <c r="Q9" s="220" t="s">
        <v>63</v>
      </c>
      <c r="R9" s="221"/>
      <c r="S9" s="218"/>
      <c r="T9" s="220" t="s">
        <v>64</v>
      </c>
      <c r="U9" s="221"/>
      <c r="V9" s="218"/>
      <c r="W9" s="220" t="s">
        <v>65</v>
      </c>
      <c r="X9" s="221"/>
      <c r="Y9" s="218"/>
      <c r="Z9" s="220" t="s">
        <v>66</v>
      </c>
      <c r="AA9" s="221"/>
      <c r="AB9" s="218"/>
      <c r="AC9" s="238" t="s">
        <v>67</v>
      </c>
      <c r="AD9" s="221"/>
      <c r="AE9" s="218"/>
      <c r="AF9" s="238" t="s">
        <v>68</v>
      </c>
      <c r="AG9" s="221"/>
      <c r="AH9" s="218"/>
      <c r="AI9" s="220" t="s">
        <v>69</v>
      </c>
      <c r="AJ9" s="221"/>
      <c r="AK9" s="218"/>
      <c r="AL9" s="220" t="s">
        <v>70</v>
      </c>
      <c r="AM9" s="221"/>
      <c r="AN9" s="218"/>
      <c r="AO9" s="220" t="s">
        <v>71</v>
      </c>
      <c r="AP9" s="221"/>
      <c r="AQ9" s="218"/>
      <c r="AR9" s="220" t="s">
        <v>72</v>
      </c>
      <c r="AS9" s="221"/>
      <c r="AT9" s="218"/>
      <c r="AU9" s="220" t="s">
        <v>73</v>
      </c>
      <c r="AV9" s="221"/>
      <c r="AW9" s="218"/>
      <c r="AX9" s="220" t="s">
        <v>74</v>
      </c>
      <c r="AY9" s="221"/>
      <c r="AZ9" s="218"/>
      <c r="BA9" s="220" t="s">
        <v>75</v>
      </c>
      <c r="BB9" s="221"/>
      <c r="BC9" s="218"/>
      <c r="BD9" s="220" t="s">
        <v>76</v>
      </c>
      <c r="BE9" s="221"/>
      <c r="BF9" s="218"/>
      <c r="BG9" s="220" t="s">
        <v>77</v>
      </c>
      <c r="BH9" s="221"/>
      <c r="BI9" s="218"/>
      <c r="BJ9" s="220" t="s">
        <v>78</v>
      </c>
      <c r="BK9" s="221"/>
      <c r="BL9" s="218"/>
      <c r="BM9" s="220" t="s">
        <v>79</v>
      </c>
      <c r="BN9" s="221"/>
      <c r="BO9" s="218"/>
      <c r="BP9" s="220" t="s">
        <v>80</v>
      </c>
      <c r="BQ9" s="221"/>
      <c r="BR9" s="218"/>
      <c r="BS9" s="220" t="s">
        <v>81</v>
      </c>
      <c r="BT9" s="221"/>
      <c r="BU9" s="218"/>
      <c r="BV9" s="220" t="s">
        <v>82</v>
      </c>
      <c r="BW9" s="221"/>
      <c r="BX9" s="218"/>
      <c r="BY9" s="220" t="s">
        <v>83</v>
      </c>
      <c r="BZ9" s="221"/>
      <c r="CA9" s="218"/>
      <c r="CB9" s="220" t="s">
        <v>84</v>
      </c>
      <c r="CC9" s="221"/>
      <c r="CD9" s="218"/>
      <c r="CE9" s="220" t="s">
        <v>85</v>
      </c>
      <c r="CF9" s="221"/>
      <c r="CG9" s="218"/>
      <c r="CH9" s="220" t="s">
        <v>86</v>
      </c>
      <c r="CI9" s="221"/>
      <c r="CJ9" s="218"/>
      <c r="CK9" s="220" t="s">
        <v>87</v>
      </c>
      <c r="CL9" s="221"/>
      <c r="CM9" s="218"/>
      <c r="CN9" s="220" t="s">
        <v>88</v>
      </c>
      <c r="CO9" s="221"/>
      <c r="CP9" s="218"/>
      <c r="CQ9" s="220" t="s">
        <v>89</v>
      </c>
      <c r="CR9" s="221"/>
      <c r="CS9" s="218"/>
      <c r="CT9" s="220" t="s">
        <v>90</v>
      </c>
      <c r="CU9" s="221"/>
      <c r="CV9" s="218"/>
      <c r="CW9" s="220" t="s">
        <v>91</v>
      </c>
      <c r="CX9" s="221"/>
      <c r="CY9" s="218"/>
      <c r="CZ9" s="220" t="s">
        <v>92</v>
      </c>
      <c r="DA9" s="221"/>
      <c r="DB9" s="218"/>
      <c r="DC9" s="220" t="s">
        <v>93</v>
      </c>
      <c r="DD9" s="221"/>
      <c r="DE9" s="218"/>
      <c r="DF9" s="220" t="s">
        <v>94</v>
      </c>
      <c r="DG9" s="221"/>
      <c r="DH9" s="218"/>
      <c r="DI9" s="220" t="s">
        <v>95</v>
      </c>
      <c r="DJ9" s="221"/>
      <c r="DK9" s="218"/>
      <c r="DL9" s="220" t="s">
        <v>96</v>
      </c>
      <c r="DM9" s="221"/>
      <c r="DN9" s="218"/>
      <c r="DO9" s="220" t="s">
        <v>97</v>
      </c>
      <c r="DP9" s="221"/>
      <c r="DQ9" s="218"/>
      <c r="DR9" s="220" t="s">
        <v>98</v>
      </c>
      <c r="DS9" s="221"/>
      <c r="DT9" s="218"/>
      <c r="DU9" s="220" t="s">
        <v>99</v>
      </c>
      <c r="DV9" s="221"/>
      <c r="DW9" s="218"/>
      <c r="DX9" s="239" t="s">
        <v>100</v>
      </c>
      <c r="DY9" s="221"/>
      <c r="DZ9" s="218"/>
      <c r="EA9" s="165"/>
      <c r="EB9" s="169" t="s">
        <v>101</v>
      </c>
      <c r="EC9" s="169" t="s">
        <v>102</v>
      </c>
      <c r="ED9" s="219" t="s">
        <v>103</v>
      </c>
      <c r="EE9" s="219" t="s">
        <v>104</v>
      </c>
      <c r="EG9" s="237" t="s">
        <v>105</v>
      </c>
      <c r="EH9" s="219" t="s">
        <v>103</v>
      </c>
      <c r="EI9" s="219" t="s">
        <v>104</v>
      </c>
      <c r="EJ9" s="219"/>
      <c r="EK9" s="237" t="s">
        <v>57</v>
      </c>
      <c r="EL9" s="237" t="s">
        <v>57</v>
      </c>
      <c r="EM9" s="219" t="s">
        <v>103</v>
      </c>
      <c r="EN9" s="219" t="s">
        <v>104</v>
      </c>
    </row>
    <row r="10" spans="1:147" x14ac:dyDescent="0.25">
      <c r="A10" s="219" t="s">
        <v>106</v>
      </c>
      <c r="B10" s="240" t="s">
        <v>107</v>
      </c>
      <c r="C10" s="241" t="s">
        <v>108</v>
      </c>
      <c r="D10" s="242" t="s">
        <v>12</v>
      </c>
      <c r="E10" s="240" t="s">
        <v>107</v>
      </c>
      <c r="F10" s="241" t="s">
        <v>108</v>
      </c>
      <c r="G10" s="242" t="s">
        <v>12</v>
      </c>
      <c r="H10" s="240" t="s">
        <v>107</v>
      </c>
      <c r="I10" s="241" t="s">
        <v>108</v>
      </c>
      <c r="J10" s="242" t="s">
        <v>12</v>
      </c>
      <c r="K10" s="240" t="s">
        <v>107</v>
      </c>
      <c r="L10" s="241" t="s">
        <v>108</v>
      </c>
      <c r="M10" s="242" t="s">
        <v>12</v>
      </c>
      <c r="N10" s="240" t="s">
        <v>107</v>
      </c>
      <c r="O10" s="241" t="s">
        <v>108</v>
      </c>
      <c r="P10" s="242" t="s">
        <v>12</v>
      </c>
      <c r="Q10" s="240" t="s">
        <v>107</v>
      </c>
      <c r="R10" s="241" t="s">
        <v>108</v>
      </c>
      <c r="S10" s="242" t="s">
        <v>12</v>
      </c>
      <c r="T10" s="240" t="s">
        <v>107</v>
      </c>
      <c r="U10" s="241" t="s">
        <v>108</v>
      </c>
      <c r="V10" s="242" t="s">
        <v>12</v>
      </c>
      <c r="W10" s="240" t="s">
        <v>107</v>
      </c>
      <c r="X10" s="241" t="s">
        <v>108</v>
      </c>
      <c r="Y10" s="242" t="s">
        <v>12</v>
      </c>
      <c r="Z10" s="240" t="s">
        <v>107</v>
      </c>
      <c r="AA10" s="241" t="s">
        <v>108</v>
      </c>
      <c r="AB10" s="242" t="s">
        <v>12</v>
      </c>
      <c r="AC10" s="240" t="s">
        <v>107</v>
      </c>
      <c r="AD10" s="241" t="s">
        <v>108</v>
      </c>
      <c r="AE10" s="242" t="s">
        <v>12</v>
      </c>
      <c r="AF10" s="240" t="s">
        <v>107</v>
      </c>
      <c r="AG10" s="241" t="s">
        <v>108</v>
      </c>
      <c r="AH10" s="242" t="s">
        <v>12</v>
      </c>
      <c r="AI10" s="240" t="s">
        <v>107</v>
      </c>
      <c r="AJ10" s="241" t="s">
        <v>108</v>
      </c>
      <c r="AK10" s="242" t="s">
        <v>12</v>
      </c>
      <c r="AL10" s="240" t="s">
        <v>107</v>
      </c>
      <c r="AM10" s="241" t="s">
        <v>108</v>
      </c>
      <c r="AN10" s="242" t="s">
        <v>12</v>
      </c>
      <c r="AO10" s="240" t="s">
        <v>107</v>
      </c>
      <c r="AP10" s="241" t="s">
        <v>108</v>
      </c>
      <c r="AQ10" s="242" t="s">
        <v>12</v>
      </c>
      <c r="AR10" s="240" t="s">
        <v>107</v>
      </c>
      <c r="AS10" s="241" t="s">
        <v>108</v>
      </c>
      <c r="AT10" s="242" t="s">
        <v>12</v>
      </c>
      <c r="AU10" s="240" t="s">
        <v>107</v>
      </c>
      <c r="AV10" s="241" t="s">
        <v>108</v>
      </c>
      <c r="AW10" s="242" t="s">
        <v>12</v>
      </c>
      <c r="AX10" s="240" t="s">
        <v>107</v>
      </c>
      <c r="AY10" s="241" t="s">
        <v>108</v>
      </c>
      <c r="AZ10" s="242" t="s">
        <v>12</v>
      </c>
      <c r="BA10" s="240" t="s">
        <v>107</v>
      </c>
      <c r="BB10" s="241" t="s">
        <v>108</v>
      </c>
      <c r="BC10" s="242" t="s">
        <v>12</v>
      </c>
      <c r="BD10" s="240" t="s">
        <v>107</v>
      </c>
      <c r="BE10" s="241" t="s">
        <v>108</v>
      </c>
      <c r="BF10" s="242" t="s">
        <v>12</v>
      </c>
      <c r="BG10" s="240" t="s">
        <v>107</v>
      </c>
      <c r="BH10" s="241" t="s">
        <v>108</v>
      </c>
      <c r="BI10" s="242" t="s">
        <v>12</v>
      </c>
      <c r="BJ10" s="240" t="s">
        <v>107</v>
      </c>
      <c r="BK10" s="241" t="s">
        <v>108</v>
      </c>
      <c r="BL10" s="242" t="s">
        <v>12</v>
      </c>
      <c r="BM10" s="240" t="s">
        <v>107</v>
      </c>
      <c r="BN10" s="241" t="s">
        <v>108</v>
      </c>
      <c r="BO10" s="242" t="s">
        <v>12</v>
      </c>
      <c r="BP10" s="240" t="s">
        <v>107</v>
      </c>
      <c r="BQ10" s="241" t="s">
        <v>108</v>
      </c>
      <c r="BR10" s="242" t="s">
        <v>12</v>
      </c>
      <c r="BS10" s="240" t="s">
        <v>107</v>
      </c>
      <c r="BT10" s="241" t="s">
        <v>108</v>
      </c>
      <c r="BU10" s="242" t="s">
        <v>12</v>
      </c>
      <c r="BV10" s="240" t="s">
        <v>107</v>
      </c>
      <c r="BW10" s="241" t="s">
        <v>108</v>
      </c>
      <c r="BX10" s="242" t="s">
        <v>12</v>
      </c>
      <c r="BY10" s="240" t="s">
        <v>107</v>
      </c>
      <c r="BZ10" s="241" t="s">
        <v>108</v>
      </c>
      <c r="CA10" s="242" t="s">
        <v>12</v>
      </c>
      <c r="CB10" s="240" t="s">
        <v>107</v>
      </c>
      <c r="CC10" s="241" t="s">
        <v>108</v>
      </c>
      <c r="CD10" s="242" t="s">
        <v>12</v>
      </c>
      <c r="CE10" s="240" t="s">
        <v>107</v>
      </c>
      <c r="CF10" s="241" t="s">
        <v>108</v>
      </c>
      <c r="CG10" s="242" t="s">
        <v>12</v>
      </c>
      <c r="CH10" s="240" t="s">
        <v>107</v>
      </c>
      <c r="CI10" s="241" t="s">
        <v>108</v>
      </c>
      <c r="CJ10" s="242" t="s">
        <v>12</v>
      </c>
      <c r="CK10" s="240" t="s">
        <v>107</v>
      </c>
      <c r="CL10" s="241" t="s">
        <v>108</v>
      </c>
      <c r="CM10" s="242" t="s">
        <v>12</v>
      </c>
      <c r="CN10" s="240" t="s">
        <v>107</v>
      </c>
      <c r="CO10" s="241" t="s">
        <v>108</v>
      </c>
      <c r="CP10" s="242" t="s">
        <v>12</v>
      </c>
      <c r="CQ10" s="240" t="s">
        <v>107</v>
      </c>
      <c r="CR10" s="241" t="s">
        <v>108</v>
      </c>
      <c r="CS10" s="242" t="s">
        <v>12</v>
      </c>
      <c r="CT10" s="240" t="s">
        <v>107</v>
      </c>
      <c r="CU10" s="241" t="s">
        <v>108</v>
      </c>
      <c r="CV10" s="242" t="s">
        <v>12</v>
      </c>
      <c r="CW10" s="240" t="s">
        <v>107</v>
      </c>
      <c r="CX10" s="241" t="s">
        <v>108</v>
      </c>
      <c r="CY10" s="242" t="s">
        <v>12</v>
      </c>
      <c r="CZ10" s="240" t="s">
        <v>107</v>
      </c>
      <c r="DA10" s="241" t="s">
        <v>108</v>
      </c>
      <c r="DB10" s="242" t="s">
        <v>12</v>
      </c>
      <c r="DC10" s="240" t="s">
        <v>107</v>
      </c>
      <c r="DD10" s="241" t="s">
        <v>108</v>
      </c>
      <c r="DE10" s="242" t="s">
        <v>12</v>
      </c>
      <c r="DF10" s="240" t="s">
        <v>107</v>
      </c>
      <c r="DG10" s="241" t="s">
        <v>108</v>
      </c>
      <c r="DH10" s="242" t="s">
        <v>12</v>
      </c>
      <c r="DI10" s="240" t="s">
        <v>107</v>
      </c>
      <c r="DJ10" s="241" t="s">
        <v>108</v>
      </c>
      <c r="DK10" s="242" t="s">
        <v>12</v>
      </c>
      <c r="DL10" s="240" t="s">
        <v>107</v>
      </c>
      <c r="DM10" s="241" t="s">
        <v>108</v>
      </c>
      <c r="DN10" s="242" t="s">
        <v>12</v>
      </c>
      <c r="DO10" s="240" t="s">
        <v>107</v>
      </c>
      <c r="DP10" s="241" t="s">
        <v>108</v>
      </c>
      <c r="DQ10" s="242" t="s">
        <v>12</v>
      </c>
      <c r="DR10" s="240" t="s">
        <v>107</v>
      </c>
      <c r="DS10" s="241" t="s">
        <v>108</v>
      </c>
      <c r="DT10" s="242" t="s">
        <v>12</v>
      </c>
      <c r="DU10" s="240" t="s">
        <v>107</v>
      </c>
      <c r="DV10" s="241" t="s">
        <v>108</v>
      </c>
      <c r="DW10" s="242" t="s">
        <v>12</v>
      </c>
      <c r="DX10" s="240" t="s">
        <v>107</v>
      </c>
      <c r="DY10" s="241"/>
      <c r="DZ10" s="242"/>
      <c r="EA10" s="242"/>
      <c r="EB10" s="242" t="s">
        <v>109</v>
      </c>
      <c r="EC10" s="242" t="s">
        <v>109</v>
      </c>
      <c r="ED10" s="242" t="s">
        <v>12</v>
      </c>
      <c r="EE10" s="242" t="s">
        <v>108</v>
      </c>
      <c r="EG10" s="242" t="s">
        <v>109</v>
      </c>
      <c r="EH10" s="242" t="s">
        <v>12</v>
      </c>
      <c r="EI10" s="242" t="s">
        <v>108</v>
      </c>
      <c r="EJ10" s="242"/>
      <c r="EK10" s="242" t="s">
        <v>109</v>
      </c>
      <c r="EL10" s="242" t="s">
        <v>109</v>
      </c>
      <c r="EM10" s="242" t="s">
        <v>12</v>
      </c>
      <c r="EN10" s="242" t="s">
        <v>108</v>
      </c>
    </row>
    <row r="11" spans="1:147" x14ac:dyDescent="0.25">
      <c r="A11" s="222">
        <v>46174</v>
      </c>
      <c r="B11" s="208">
        <v>0</v>
      </c>
      <c r="C11" s="209">
        <v>3.9454070000000001E-2</v>
      </c>
      <c r="D11" s="208">
        <v>0</v>
      </c>
      <c r="G11" s="208">
        <v>0</v>
      </c>
      <c r="J11" s="208">
        <v>0</v>
      </c>
      <c r="M11" s="208">
        <v>0</v>
      </c>
      <c r="P11" s="208">
        <v>0</v>
      </c>
      <c r="S11" s="208">
        <v>0</v>
      </c>
      <c r="V11" s="208">
        <v>0</v>
      </c>
      <c r="Y11" s="208">
        <v>0</v>
      </c>
      <c r="AB11" s="208">
        <v>0</v>
      </c>
      <c r="AE11" s="208">
        <v>0</v>
      </c>
      <c r="AH11" s="208">
        <v>0</v>
      </c>
      <c r="AI11" s="223">
        <v>224000000</v>
      </c>
      <c r="AJ11" s="224">
        <v>3.8800000000000001E-2</v>
      </c>
      <c r="AK11" s="208">
        <v>24142.222222222223</v>
      </c>
      <c r="AL11" s="223">
        <v>161600000</v>
      </c>
      <c r="AM11" s="224">
        <v>3.95E-2</v>
      </c>
      <c r="AN11" s="208">
        <v>17731.111111111109</v>
      </c>
      <c r="AO11" s="223"/>
      <c r="AP11" s="224"/>
      <c r="AQ11" s="208">
        <v>0</v>
      </c>
      <c r="AR11" s="223"/>
      <c r="AS11" s="224"/>
      <c r="AT11" s="208">
        <v>0</v>
      </c>
      <c r="AW11" s="208">
        <v>0</v>
      </c>
      <c r="AZ11" s="208">
        <v>0</v>
      </c>
      <c r="BC11" s="208">
        <v>0</v>
      </c>
      <c r="BF11" s="208">
        <v>0</v>
      </c>
      <c r="BI11" s="208">
        <v>0</v>
      </c>
      <c r="BL11" s="208">
        <v>0</v>
      </c>
      <c r="BO11" s="208">
        <v>0</v>
      </c>
      <c r="BR11" s="208">
        <v>0</v>
      </c>
      <c r="BU11" s="208">
        <v>0</v>
      </c>
      <c r="BX11" s="208">
        <v>0</v>
      </c>
      <c r="CA11" s="208">
        <v>0</v>
      </c>
      <c r="CD11" s="208">
        <v>0</v>
      </c>
      <c r="CG11" s="208">
        <v>0</v>
      </c>
      <c r="CJ11" s="208">
        <v>0</v>
      </c>
      <c r="CM11" s="208">
        <v>0</v>
      </c>
      <c r="CP11" s="208">
        <v>0</v>
      </c>
      <c r="CS11" s="208">
        <v>0</v>
      </c>
      <c r="CV11" s="208">
        <v>0</v>
      </c>
      <c r="CY11" s="208">
        <v>0</v>
      </c>
      <c r="DB11" s="208">
        <v>0</v>
      </c>
      <c r="DE11" s="208">
        <v>0</v>
      </c>
      <c r="DH11" s="208">
        <v>0</v>
      </c>
      <c r="DK11" s="208">
        <v>0</v>
      </c>
      <c r="DN11" s="208">
        <v>0</v>
      </c>
      <c r="DQ11" s="208">
        <v>0</v>
      </c>
      <c r="DT11" s="208">
        <v>0</v>
      </c>
      <c r="DW11" s="208">
        <v>0</v>
      </c>
      <c r="DZ11" s="208"/>
      <c r="EA11" s="208"/>
      <c r="EB11" s="228">
        <v>385600000</v>
      </c>
      <c r="EC11" s="228">
        <v>0</v>
      </c>
      <c r="ED11" s="208">
        <v>41873.333333333328</v>
      </c>
      <c r="EE11" s="209">
        <v>3.9093360995850618E-2</v>
      </c>
      <c r="EG11" s="228">
        <v>0</v>
      </c>
      <c r="EH11" s="208">
        <v>0</v>
      </c>
      <c r="EI11" s="209">
        <v>0</v>
      </c>
      <c r="EJ11" s="209"/>
      <c r="EK11" s="228">
        <v>385600000</v>
      </c>
      <c r="EL11" s="228">
        <v>0</v>
      </c>
      <c r="EM11" s="228">
        <v>41873.333333333328</v>
      </c>
      <c r="EN11" s="209">
        <v>3.9093360995850618E-2</v>
      </c>
      <c r="EP11" s="208"/>
    </row>
    <row r="12" spans="1:147" x14ac:dyDescent="0.25">
      <c r="A12" s="222">
        <v>46175</v>
      </c>
      <c r="B12" s="208">
        <v>0</v>
      </c>
      <c r="C12" s="209">
        <v>3.945009E-2</v>
      </c>
      <c r="D12" s="208">
        <v>0</v>
      </c>
      <c r="G12" s="208">
        <v>0</v>
      </c>
      <c r="J12" s="208">
        <v>0</v>
      </c>
      <c r="M12" s="208">
        <v>0</v>
      </c>
      <c r="P12" s="208">
        <v>0</v>
      </c>
      <c r="S12" s="208">
        <v>0</v>
      </c>
      <c r="V12" s="208">
        <v>0</v>
      </c>
      <c r="Y12" s="208">
        <v>0</v>
      </c>
      <c r="AB12" s="208">
        <v>0</v>
      </c>
      <c r="AE12" s="208">
        <v>0</v>
      </c>
      <c r="AH12" s="208">
        <v>0</v>
      </c>
      <c r="AI12" s="223">
        <v>220000000</v>
      </c>
      <c r="AJ12" s="224">
        <v>3.8800000000000001E-2</v>
      </c>
      <c r="AK12" s="208">
        <v>23711.111111111109</v>
      </c>
      <c r="AL12" s="223">
        <v>141600000</v>
      </c>
      <c r="AM12" s="224">
        <v>3.95E-2</v>
      </c>
      <c r="AN12" s="208">
        <v>15536.666666666666</v>
      </c>
      <c r="AO12" s="223"/>
      <c r="AP12" s="224"/>
      <c r="AQ12" s="208">
        <v>0</v>
      </c>
      <c r="AR12" s="223"/>
      <c r="AS12" s="224"/>
      <c r="AT12" s="208">
        <v>0</v>
      </c>
      <c r="AW12" s="208">
        <v>0</v>
      </c>
      <c r="AZ12" s="208">
        <v>0</v>
      </c>
      <c r="BC12" s="208">
        <v>0</v>
      </c>
      <c r="BF12" s="208">
        <v>0</v>
      </c>
      <c r="BI12" s="208">
        <v>0</v>
      </c>
      <c r="BL12" s="208">
        <v>0</v>
      </c>
      <c r="BO12" s="208">
        <v>0</v>
      </c>
      <c r="BR12" s="208">
        <v>0</v>
      </c>
      <c r="BU12" s="208">
        <v>0</v>
      </c>
      <c r="BX12" s="208">
        <v>0</v>
      </c>
      <c r="CA12" s="208">
        <v>0</v>
      </c>
      <c r="CD12" s="208">
        <v>0</v>
      </c>
      <c r="CG12" s="208">
        <v>0</v>
      </c>
      <c r="CJ12" s="208">
        <v>0</v>
      </c>
      <c r="CM12" s="208">
        <v>0</v>
      </c>
      <c r="CP12" s="208">
        <v>0</v>
      </c>
      <c r="CS12" s="208">
        <v>0</v>
      </c>
      <c r="CV12" s="208">
        <v>0</v>
      </c>
      <c r="CY12" s="208">
        <v>0</v>
      </c>
      <c r="DB12" s="208">
        <v>0</v>
      </c>
      <c r="DE12" s="208">
        <v>0</v>
      </c>
      <c r="DH12" s="208">
        <v>0</v>
      </c>
      <c r="DK12" s="208">
        <v>0</v>
      </c>
      <c r="DN12" s="208">
        <v>0</v>
      </c>
      <c r="DQ12" s="208">
        <v>0</v>
      </c>
      <c r="DT12" s="208">
        <v>0</v>
      </c>
      <c r="DW12" s="208">
        <v>0</v>
      </c>
      <c r="DZ12" s="208"/>
      <c r="EA12" s="208"/>
      <c r="EB12" s="228">
        <v>361600000</v>
      </c>
      <c r="EC12" s="228">
        <v>0</v>
      </c>
      <c r="ED12" s="208">
        <v>39247.777777777774</v>
      </c>
      <c r="EE12" s="209">
        <v>3.9074115044247786E-2</v>
      </c>
      <c r="EG12" s="228">
        <v>0</v>
      </c>
      <c r="EH12" s="208">
        <v>0</v>
      </c>
      <c r="EI12" s="209">
        <v>0</v>
      </c>
      <c r="EJ12" s="209"/>
      <c r="EK12" s="228">
        <v>361600000</v>
      </c>
      <c r="EL12" s="228">
        <v>0</v>
      </c>
      <c r="EM12" s="228">
        <v>39247.777777777774</v>
      </c>
      <c r="EN12" s="209">
        <v>3.9074115044247786E-2</v>
      </c>
      <c r="EP12" s="208"/>
    </row>
    <row r="13" spans="1:147" x14ac:dyDescent="0.25">
      <c r="A13" s="222">
        <v>46176</v>
      </c>
      <c r="B13" s="208">
        <v>0</v>
      </c>
      <c r="C13" s="209">
        <v>3.9135959999999997E-2</v>
      </c>
      <c r="D13" s="208">
        <v>0</v>
      </c>
      <c r="G13" s="208">
        <v>0</v>
      </c>
      <c r="J13" s="208">
        <v>0</v>
      </c>
      <c r="M13" s="208">
        <v>0</v>
      </c>
      <c r="P13" s="208">
        <v>0</v>
      </c>
      <c r="S13" s="208">
        <v>0</v>
      </c>
      <c r="V13" s="208">
        <v>0</v>
      </c>
      <c r="Y13" s="208">
        <v>0</v>
      </c>
      <c r="AB13" s="208">
        <v>0</v>
      </c>
      <c r="AE13" s="208">
        <v>0</v>
      </c>
      <c r="AH13" s="208">
        <v>0</v>
      </c>
      <c r="AI13" s="223">
        <v>130000000</v>
      </c>
      <c r="AJ13" s="224">
        <v>3.8800000000000001E-2</v>
      </c>
      <c r="AK13" s="208">
        <v>14011.111111111111</v>
      </c>
      <c r="AL13" s="223">
        <v>74000000</v>
      </c>
      <c r="AM13" s="224">
        <v>3.95E-2</v>
      </c>
      <c r="AN13" s="208">
        <v>8119.4444444444443</v>
      </c>
      <c r="AO13" s="223">
        <v>161000000</v>
      </c>
      <c r="AP13" s="224">
        <v>3.9E-2</v>
      </c>
      <c r="AQ13" s="208">
        <v>17441.666666666668</v>
      </c>
      <c r="AR13" s="223"/>
      <c r="AS13" s="224"/>
      <c r="AT13" s="208">
        <v>0</v>
      </c>
      <c r="AW13" s="208">
        <v>0</v>
      </c>
      <c r="AZ13" s="208">
        <v>0</v>
      </c>
      <c r="BC13" s="208">
        <v>0</v>
      </c>
      <c r="BF13" s="208">
        <v>0</v>
      </c>
      <c r="BI13" s="208">
        <v>0</v>
      </c>
      <c r="BL13" s="208">
        <v>0</v>
      </c>
      <c r="BO13" s="208">
        <v>0</v>
      </c>
      <c r="BR13" s="208">
        <v>0</v>
      </c>
      <c r="BU13" s="208">
        <v>0</v>
      </c>
      <c r="BX13" s="208">
        <v>0</v>
      </c>
      <c r="CA13" s="208">
        <v>0</v>
      </c>
      <c r="CD13" s="208">
        <v>0</v>
      </c>
      <c r="CG13" s="208">
        <v>0</v>
      </c>
      <c r="CJ13" s="208">
        <v>0</v>
      </c>
      <c r="CM13" s="208">
        <v>0</v>
      </c>
      <c r="CP13" s="208">
        <v>0</v>
      </c>
      <c r="CS13" s="208">
        <v>0</v>
      </c>
      <c r="CV13" s="208">
        <v>0</v>
      </c>
      <c r="CY13" s="208">
        <v>0</v>
      </c>
      <c r="DB13" s="208">
        <v>0</v>
      </c>
      <c r="DE13" s="208">
        <v>0</v>
      </c>
      <c r="DH13" s="208">
        <v>0</v>
      </c>
      <c r="DK13" s="208">
        <v>0</v>
      </c>
      <c r="DN13" s="208">
        <v>0</v>
      </c>
      <c r="DQ13" s="208">
        <v>0</v>
      </c>
      <c r="DT13" s="208">
        <v>0</v>
      </c>
      <c r="DW13" s="208">
        <v>0</v>
      </c>
      <c r="DZ13" s="208"/>
      <c r="EA13" s="208"/>
      <c r="EB13" s="228">
        <v>365000000</v>
      </c>
      <c r="EC13" s="228">
        <v>0</v>
      </c>
      <c r="ED13" s="208">
        <v>39572.222222222219</v>
      </c>
      <c r="EE13" s="209">
        <v>3.9030136986301367E-2</v>
      </c>
      <c r="EG13" s="228">
        <v>0</v>
      </c>
      <c r="EH13" s="208">
        <v>0</v>
      </c>
      <c r="EI13" s="209">
        <v>0</v>
      </c>
      <c r="EJ13" s="209"/>
      <c r="EK13" s="228">
        <v>365000000</v>
      </c>
      <c r="EL13" s="228">
        <v>0</v>
      </c>
      <c r="EM13" s="228">
        <v>39572.222222222226</v>
      </c>
      <c r="EN13" s="209">
        <v>3.9030136986301374E-2</v>
      </c>
      <c r="EP13" s="208"/>
    </row>
    <row r="14" spans="1:147" x14ac:dyDescent="0.25">
      <c r="A14" s="222">
        <v>46177</v>
      </c>
      <c r="B14" s="208">
        <v>0</v>
      </c>
      <c r="C14" s="209">
        <v>3.9069229999999996E-2</v>
      </c>
      <c r="D14" s="208">
        <v>0</v>
      </c>
      <c r="G14" s="208">
        <v>0</v>
      </c>
      <c r="J14" s="208">
        <v>0</v>
      </c>
      <c r="M14" s="208">
        <v>0</v>
      </c>
      <c r="P14" s="208">
        <v>0</v>
      </c>
      <c r="S14" s="208">
        <v>0</v>
      </c>
      <c r="V14" s="208">
        <v>0</v>
      </c>
      <c r="Y14" s="208">
        <v>0</v>
      </c>
      <c r="AB14" s="208">
        <v>0</v>
      </c>
      <c r="AE14" s="208">
        <v>0</v>
      </c>
      <c r="AH14" s="208">
        <v>0</v>
      </c>
      <c r="AI14" s="223">
        <v>254000000</v>
      </c>
      <c r="AJ14" s="224">
        <v>3.8800000000000001E-2</v>
      </c>
      <c r="AK14" s="208">
        <v>27375.555555555555</v>
      </c>
      <c r="AL14" s="223">
        <v>113000000</v>
      </c>
      <c r="AM14" s="224">
        <v>3.95E-2</v>
      </c>
      <c r="AN14" s="208">
        <v>12398.611111111111</v>
      </c>
      <c r="AO14" s="223"/>
      <c r="AP14" s="224"/>
      <c r="AQ14" s="208">
        <v>0</v>
      </c>
      <c r="AR14" s="223"/>
      <c r="AS14" s="224"/>
      <c r="AT14" s="208">
        <v>0</v>
      </c>
      <c r="AW14" s="208">
        <v>0</v>
      </c>
      <c r="AZ14" s="208">
        <v>0</v>
      </c>
      <c r="BC14" s="208">
        <v>0</v>
      </c>
      <c r="BF14" s="208">
        <v>0</v>
      </c>
      <c r="BI14" s="208">
        <v>0</v>
      </c>
      <c r="BL14" s="208">
        <v>0</v>
      </c>
      <c r="BO14" s="208">
        <v>0</v>
      </c>
      <c r="BR14" s="208">
        <v>0</v>
      </c>
      <c r="BU14" s="208">
        <v>0</v>
      </c>
      <c r="BX14" s="208">
        <v>0</v>
      </c>
      <c r="CA14" s="208">
        <v>0</v>
      </c>
      <c r="CD14" s="208">
        <v>0</v>
      </c>
      <c r="CG14" s="208">
        <v>0</v>
      </c>
      <c r="CJ14" s="208">
        <v>0</v>
      </c>
      <c r="CM14" s="208">
        <v>0</v>
      </c>
      <c r="CP14" s="208">
        <v>0</v>
      </c>
      <c r="CS14" s="208">
        <v>0</v>
      </c>
      <c r="CV14" s="208">
        <v>0</v>
      </c>
      <c r="CY14" s="208">
        <v>0</v>
      </c>
      <c r="DB14" s="208">
        <v>0</v>
      </c>
      <c r="DE14" s="208">
        <v>0</v>
      </c>
      <c r="DH14" s="208">
        <v>0</v>
      </c>
      <c r="DK14" s="208">
        <v>0</v>
      </c>
      <c r="DN14" s="208">
        <v>0</v>
      </c>
      <c r="DQ14" s="208">
        <v>0</v>
      </c>
      <c r="DT14" s="208">
        <v>0</v>
      </c>
      <c r="DW14" s="208">
        <v>0</v>
      </c>
      <c r="DZ14" s="208"/>
      <c r="EA14" s="208"/>
      <c r="EB14" s="228">
        <v>367000000</v>
      </c>
      <c r="EC14" s="228">
        <v>0</v>
      </c>
      <c r="ED14" s="208">
        <v>39774.166666666664</v>
      </c>
      <c r="EE14" s="209">
        <v>3.9015531335149858E-2</v>
      </c>
      <c r="EG14" s="228">
        <v>0</v>
      </c>
      <c r="EH14" s="208">
        <v>0</v>
      </c>
      <c r="EI14" s="209">
        <v>0</v>
      </c>
      <c r="EJ14" s="209"/>
      <c r="EK14" s="228">
        <v>367000000</v>
      </c>
      <c r="EL14" s="228">
        <v>0</v>
      </c>
      <c r="EM14" s="228">
        <v>39774.166666666664</v>
      </c>
      <c r="EN14" s="209">
        <v>3.9015531335149858E-2</v>
      </c>
      <c r="EP14" s="208"/>
    </row>
    <row r="15" spans="1:147" x14ac:dyDescent="0.25">
      <c r="A15" s="222">
        <v>46178</v>
      </c>
      <c r="B15" s="208">
        <v>0</v>
      </c>
      <c r="C15" s="209">
        <v>3.9199709999999999E-2</v>
      </c>
      <c r="D15" s="208">
        <v>0</v>
      </c>
      <c r="G15" s="208">
        <v>0</v>
      </c>
      <c r="J15" s="208">
        <v>0</v>
      </c>
      <c r="M15" s="208">
        <v>0</v>
      </c>
      <c r="P15" s="208">
        <v>0</v>
      </c>
      <c r="S15" s="208">
        <v>0</v>
      </c>
      <c r="V15" s="208">
        <v>0</v>
      </c>
      <c r="Y15" s="208">
        <v>0</v>
      </c>
      <c r="AB15" s="208">
        <v>0</v>
      </c>
      <c r="AE15" s="208">
        <v>0</v>
      </c>
      <c r="AH15" s="208">
        <v>0</v>
      </c>
      <c r="AI15" s="223">
        <v>113000000</v>
      </c>
      <c r="AJ15" s="224">
        <v>3.8800000000000001E-2</v>
      </c>
      <c r="AK15" s="208">
        <v>12178.888888888889</v>
      </c>
      <c r="AL15" s="223">
        <v>113000000</v>
      </c>
      <c r="AM15" s="224">
        <v>3.95E-2</v>
      </c>
      <c r="AN15" s="208">
        <v>12398.611111111111</v>
      </c>
      <c r="AO15" s="223">
        <v>160000000</v>
      </c>
      <c r="AP15" s="224">
        <v>3.95E-2</v>
      </c>
      <c r="AQ15" s="208">
        <v>17555.555555555555</v>
      </c>
      <c r="AR15" s="223"/>
      <c r="AS15" s="224"/>
      <c r="AT15" s="208">
        <v>0</v>
      </c>
      <c r="AW15" s="208">
        <v>0</v>
      </c>
      <c r="AZ15" s="208">
        <v>0</v>
      </c>
      <c r="BC15" s="208">
        <v>0</v>
      </c>
      <c r="BF15" s="208">
        <v>0</v>
      </c>
      <c r="BI15" s="208">
        <v>0</v>
      </c>
      <c r="BL15" s="208">
        <v>0</v>
      </c>
      <c r="BO15" s="208">
        <v>0</v>
      </c>
      <c r="BR15" s="208">
        <v>0</v>
      </c>
      <c r="BU15" s="208">
        <v>0</v>
      </c>
      <c r="BX15" s="208">
        <v>0</v>
      </c>
      <c r="CA15" s="208">
        <v>0</v>
      </c>
      <c r="CD15" s="208">
        <v>0</v>
      </c>
      <c r="CG15" s="208">
        <v>0</v>
      </c>
      <c r="CJ15" s="208">
        <v>0</v>
      </c>
      <c r="CM15" s="208">
        <v>0</v>
      </c>
      <c r="CP15" s="208">
        <v>0</v>
      </c>
      <c r="CS15" s="208">
        <v>0</v>
      </c>
      <c r="CV15" s="208">
        <v>0</v>
      </c>
      <c r="CY15" s="208">
        <v>0</v>
      </c>
      <c r="DB15" s="208">
        <v>0</v>
      </c>
      <c r="DE15" s="208">
        <v>0</v>
      </c>
      <c r="DH15" s="208">
        <v>0</v>
      </c>
      <c r="DK15" s="208">
        <v>0</v>
      </c>
      <c r="DN15" s="208">
        <v>0</v>
      </c>
      <c r="DQ15" s="208">
        <v>0</v>
      </c>
      <c r="DT15" s="208">
        <v>0</v>
      </c>
      <c r="DW15" s="208">
        <v>0</v>
      </c>
      <c r="DZ15" s="208"/>
      <c r="EA15" s="208"/>
      <c r="EB15" s="228">
        <v>386000000</v>
      </c>
      <c r="EC15" s="228">
        <v>0</v>
      </c>
      <c r="ED15" s="208">
        <v>42133.055555555555</v>
      </c>
      <c r="EE15" s="209">
        <v>3.9295077720207253E-2</v>
      </c>
      <c r="EG15" s="228">
        <v>0</v>
      </c>
      <c r="EH15" s="208">
        <v>0</v>
      </c>
      <c r="EI15" s="209">
        <v>0</v>
      </c>
      <c r="EJ15" s="209"/>
      <c r="EK15" s="228">
        <v>386000000</v>
      </c>
      <c r="EL15" s="228">
        <v>0</v>
      </c>
      <c r="EM15" s="228">
        <v>42133.055555555555</v>
      </c>
      <c r="EN15" s="209">
        <v>3.9295077720207253E-2</v>
      </c>
      <c r="EP15" s="208"/>
    </row>
    <row r="16" spans="1:147" x14ac:dyDescent="0.25">
      <c r="A16" s="222">
        <v>46179</v>
      </c>
      <c r="B16" s="208">
        <v>0</v>
      </c>
      <c r="C16" s="209">
        <v>3.9199709999999999E-2</v>
      </c>
      <c r="D16" s="208">
        <v>0</v>
      </c>
      <c r="G16" s="208">
        <v>0</v>
      </c>
      <c r="J16" s="208">
        <v>0</v>
      </c>
      <c r="M16" s="208">
        <v>0</v>
      </c>
      <c r="P16" s="208">
        <v>0</v>
      </c>
      <c r="S16" s="208">
        <v>0</v>
      </c>
      <c r="V16" s="208">
        <v>0</v>
      </c>
      <c r="Y16" s="208">
        <v>0</v>
      </c>
      <c r="AB16" s="208">
        <v>0</v>
      </c>
      <c r="AE16" s="208">
        <v>0</v>
      </c>
      <c r="AH16" s="208">
        <v>0</v>
      </c>
      <c r="AI16" s="223">
        <v>113000000</v>
      </c>
      <c r="AJ16" s="224">
        <v>3.8800000000000001E-2</v>
      </c>
      <c r="AK16" s="208">
        <v>12178.888888888889</v>
      </c>
      <c r="AL16" s="223">
        <v>113000000</v>
      </c>
      <c r="AM16" s="224">
        <v>3.95E-2</v>
      </c>
      <c r="AN16" s="208">
        <v>12398.611111111111</v>
      </c>
      <c r="AO16" s="223">
        <v>160000000</v>
      </c>
      <c r="AP16" s="224">
        <v>3.95E-2</v>
      </c>
      <c r="AQ16" s="208">
        <v>17555.555555555555</v>
      </c>
      <c r="AR16" s="223"/>
      <c r="AS16" s="224"/>
      <c r="AT16" s="208">
        <v>0</v>
      </c>
      <c r="AW16" s="208">
        <v>0</v>
      </c>
      <c r="AZ16" s="208">
        <v>0</v>
      </c>
      <c r="BC16" s="208">
        <v>0</v>
      </c>
      <c r="BF16" s="208">
        <v>0</v>
      </c>
      <c r="BI16" s="208">
        <v>0</v>
      </c>
      <c r="BL16" s="208">
        <v>0</v>
      </c>
      <c r="BO16" s="208">
        <v>0</v>
      </c>
      <c r="BR16" s="208">
        <v>0</v>
      </c>
      <c r="BU16" s="208">
        <v>0</v>
      </c>
      <c r="BX16" s="208">
        <v>0</v>
      </c>
      <c r="CA16" s="208">
        <v>0</v>
      </c>
      <c r="CD16" s="208">
        <v>0</v>
      </c>
      <c r="CG16" s="208">
        <v>0</v>
      </c>
      <c r="CJ16" s="208">
        <v>0</v>
      </c>
      <c r="CM16" s="208">
        <v>0</v>
      </c>
      <c r="CP16" s="208">
        <v>0</v>
      </c>
      <c r="CS16" s="208">
        <v>0</v>
      </c>
      <c r="CV16" s="208">
        <v>0</v>
      </c>
      <c r="CY16" s="208">
        <v>0</v>
      </c>
      <c r="DB16" s="208">
        <v>0</v>
      </c>
      <c r="DE16" s="208">
        <v>0</v>
      </c>
      <c r="DH16" s="208">
        <v>0</v>
      </c>
      <c r="DK16" s="208">
        <v>0</v>
      </c>
      <c r="DN16" s="208">
        <v>0</v>
      </c>
      <c r="DQ16" s="208">
        <v>0</v>
      </c>
      <c r="DT16" s="208">
        <v>0</v>
      </c>
      <c r="DW16" s="208">
        <v>0</v>
      </c>
      <c r="DZ16" s="208"/>
      <c r="EA16" s="208"/>
      <c r="EB16" s="228">
        <v>386000000</v>
      </c>
      <c r="EC16" s="228">
        <v>0</v>
      </c>
      <c r="ED16" s="208">
        <v>42133.055555555555</v>
      </c>
      <c r="EE16" s="209">
        <v>3.9295077720207253E-2</v>
      </c>
      <c r="EG16" s="228">
        <v>0</v>
      </c>
      <c r="EH16" s="208">
        <v>0</v>
      </c>
      <c r="EI16" s="209">
        <v>0</v>
      </c>
      <c r="EJ16" s="209"/>
      <c r="EK16" s="228">
        <v>386000000</v>
      </c>
      <c r="EL16" s="228">
        <v>0</v>
      </c>
      <c r="EM16" s="228">
        <v>42133.055555555555</v>
      </c>
      <c r="EN16" s="209">
        <v>3.9295077720207253E-2</v>
      </c>
      <c r="EP16" s="208"/>
    </row>
    <row r="17" spans="1:146" x14ac:dyDescent="0.25">
      <c r="A17" s="222">
        <v>46180</v>
      </c>
      <c r="B17" s="208">
        <v>0</v>
      </c>
      <c r="C17" s="209">
        <v>3.9199709999999999E-2</v>
      </c>
      <c r="D17" s="208">
        <v>0</v>
      </c>
      <c r="G17" s="208">
        <v>0</v>
      </c>
      <c r="J17" s="208">
        <v>0</v>
      </c>
      <c r="M17" s="208">
        <v>0</v>
      </c>
      <c r="P17" s="208">
        <v>0</v>
      </c>
      <c r="S17" s="208">
        <v>0</v>
      </c>
      <c r="V17" s="208">
        <v>0</v>
      </c>
      <c r="Y17" s="208">
        <v>0</v>
      </c>
      <c r="AB17" s="208">
        <v>0</v>
      </c>
      <c r="AE17" s="208">
        <v>0</v>
      </c>
      <c r="AH17" s="208">
        <v>0</v>
      </c>
      <c r="AI17" s="223">
        <v>113000000</v>
      </c>
      <c r="AJ17" s="224">
        <v>3.8800000000000001E-2</v>
      </c>
      <c r="AK17" s="208">
        <v>12178.888888888889</v>
      </c>
      <c r="AL17" s="223">
        <v>113000000</v>
      </c>
      <c r="AM17" s="224">
        <v>3.95E-2</v>
      </c>
      <c r="AN17" s="208">
        <v>12398.611111111111</v>
      </c>
      <c r="AO17" s="223">
        <v>160000000</v>
      </c>
      <c r="AP17" s="224">
        <v>3.95E-2</v>
      </c>
      <c r="AQ17" s="208">
        <v>17555.555555555555</v>
      </c>
      <c r="AR17" s="223"/>
      <c r="AS17" s="224"/>
      <c r="AT17" s="208">
        <v>0</v>
      </c>
      <c r="AW17" s="208">
        <v>0</v>
      </c>
      <c r="AZ17" s="208">
        <v>0</v>
      </c>
      <c r="BC17" s="208">
        <v>0</v>
      </c>
      <c r="BF17" s="208">
        <v>0</v>
      </c>
      <c r="BI17" s="208">
        <v>0</v>
      </c>
      <c r="BL17" s="208">
        <v>0</v>
      </c>
      <c r="BO17" s="208">
        <v>0</v>
      </c>
      <c r="BR17" s="208">
        <v>0</v>
      </c>
      <c r="BU17" s="208">
        <v>0</v>
      </c>
      <c r="BX17" s="208">
        <v>0</v>
      </c>
      <c r="CA17" s="208">
        <v>0</v>
      </c>
      <c r="CD17" s="208">
        <v>0</v>
      </c>
      <c r="CG17" s="208">
        <v>0</v>
      </c>
      <c r="CJ17" s="208">
        <v>0</v>
      </c>
      <c r="CM17" s="208">
        <v>0</v>
      </c>
      <c r="CP17" s="208">
        <v>0</v>
      </c>
      <c r="CS17" s="208">
        <v>0</v>
      </c>
      <c r="CV17" s="208">
        <v>0</v>
      </c>
      <c r="CY17" s="208">
        <v>0</v>
      </c>
      <c r="DB17" s="208">
        <v>0</v>
      </c>
      <c r="DE17" s="208">
        <v>0</v>
      </c>
      <c r="DH17" s="208">
        <v>0</v>
      </c>
      <c r="DK17" s="208">
        <v>0</v>
      </c>
      <c r="DN17" s="208">
        <v>0</v>
      </c>
      <c r="DQ17" s="208">
        <v>0</v>
      </c>
      <c r="DT17" s="208">
        <v>0</v>
      </c>
      <c r="DW17" s="208">
        <v>0</v>
      </c>
      <c r="DZ17" s="208"/>
      <c r="EA17" s="208"/>
      <c r="EB17" s="228">
        <v>386000000</v>
      </c>
      <c r="EC17" s="228">
        <v>0</v>
      </c>
      <c r="ED17" s="208">
        <v>42133.055555555555</v>
      </c>
      <c r="EE17" s="209">
        <v>3.9295077720207253E-2</v>
      </c>
      <c r="EG17" s="228">
        <v>0</v>
      </c>
      <c r="EH17" s="208">
        <v>0</v>
      </c>
      <c r="EI17" s="209">
        <v>0</v>
      </c>
      <c r="EJ17" s="209"/>
      <c r="EK17" s="228">
        <v>386000000</v>
      </c>
      <c r="EL17" s="228">
        <v>0</v>
      </c>
      <c r="EM17" s="228">
        <v>42133.055555555555</v>
      </c>
      <c r="EN17" s="209">
        <v>3.9295077720207253E-2</v>
      </c>
      <c r="EP17" s="208"/>
    </row>
    <row r="18" spans="1:146" x14ac:dyDescent="0.25">
      <c r="A18" s="222">
        <v>46181</v>
      </c>
      <c r="B18" s="208">
        <v>0</v>
      </c>
      <c r="C18" s="209">
        <v>3.9246460000000004E-2</v>
      </c>
      <c r="D18" s="208">
        <v>0</v>
      </c>
      <c r="G18" s="208">
        <v>0</v>
      </c>
      <c r="J18" s="208">
        <v>0</v>
      </c>
      <c r="M18" s="208">
        <v>0</v>
      </c>
      <c r="P18" s="208">
        <v>0</v>
      </c>
      <c r="S18" s="208">
        <v>0</v>
      </c>
      <c r="V18" s="208">
        <v>0</v>
      </c>
      <c r="Y18" s="208">
        <v>0</v>
      </c>
      <c r="AB18" s="208">
        <v>0</v>
      </c>
      <c r="AE18" s="208">
        <v>0</v>
      </c>
      <c r="AH18" s="208">
        <v>0</v>
      </c>
      <c r="AI18" s="223">
        <v>177950000</v>
      </c>
      <c r="AJ18" s="224">
        <v>3.8800000000000001E-2</v>
      </c>
      <c r="AK18" s="208">
        <v>19179.055555555555</v>
      </c>
      <c r="AL18" s="223">
        <v>72000000</v>
      </c>
      <c r="AM18" s="224">
        <v>3.95E-2</v>
      </c>
      <c r="AN18" s="208">
        <v>7900</v>
      </c>
      <c r="AO18" s="223">
        <v>160000000</v>
      </c>
      <c r="AP18" s="224">
        <v>3.95E-2</v>
      </c>
      <c r="AQ18" s="208">
        <v>17555.555555555555</v>
      </c>
      <c r="AR18" s="223"/>
      <c r="AS18" s="224"/>
      <c r="AT18" s="208">
        <v>0</v>
      </c>
      <c r="AW18" s="208">
        <v>0</v>
      </c>
      <c r="AZ18" s="208">
        <v>0</v>
      </c>
      <c r="BC18" s="208">
        <v>0</v>
      </c>
      <c r="BF18" s="208">
        <v>0</v>
      </c>
      <c r="BI18" s="208">
        <v>0</v>
      </c>
      <c r="BL18" s="208">
        <v>0</v>
      </c>
      <c r="BO18" s="208">
        <v>0</v>
      </c>
      <c r="BR18" s="208">
        <v>0</v>
      </c>
      <c r="BU18" s="208">
        <v>0</v>
      </c>
      <c r="BX18" s="208">
        <v>0</v>
      </c>
      <c r="CA18" s="208">
        <v>0</v>
      </c>
      <c r="CD18" s="208">
        <v>0</v>
      </c>
      <c r="CG18" s="208">
        <v>0</v>
      </c>
      <c r="CJ18" s="208">
        <v>0</v>
      </c>
      <c r="CM18" s="208">
        <v>0</v>
      </c>
      <c r="CP18" s="208">
        <v>0</v>
      </c>
      <c r="CS18" s="208">
        <v>0</v>
      </c>
      <c r="CV18" s="208">
        <v>0</v>
      </c>
      <c r="CY18" s="208">
        <v>0</v>
      </c>
      <c r="DB18" s="208">
        <v>0</v>
      </c>
      <c r="DE18" s="208">
        <v>0</v>
      </c>
      <c r="DH18" s="208">
        <v>0</v>
      </c>
      <c r="DK18" s="208">
        <v>0</v>
      </c>
      <c r="DN18" s="208">
        <v>0</v>
      </c>
      <c r="DQ18" s="208">
        <v>0</v>
      </c>
      <c r="DT18" s="208">
        <v>0</v>
      </c>
      <c r="DW18" s="208">
        <v>0</v>
      </c>
      <c r="DZ18" s="208"/>
      <c r="EA18" s="208"/>
      <c r="EB18" s="228">
        <v>409950000</v>
      </c>
      <c r="EC18" s="228">
        <v>0</v>
      </c>
      <c r="ED18" s="208">
        <v>44634.611111111109</v>
      </c>
      <c r="EE18" s="209">
        <v>3.9196145871447735E-2</v>
      </c>
      <c r="EG18" s="228">
        <v>0</v>
      </c>
      <c r="EH18" s="208">
        <v>0</v>
      </c>
      <c r="EI18" s="209">
        <v>0</v>
      </c>
      <c r="EJ18" s="209"/>
      <c r="EK18" s="228">
        <v>409950000</v>
      </c>
      <c r="EL18" s="228">
        <v>0</v>
      </c>
      <c r="EM18" s="228">
        <v>44634.611111111109</v>
      </c>
      <c r="EN18" s="209">
        <v>3.9196145871447735E-2</v>
      </c>
      <c r="EP18" s="208"/>
    </row>
    <row r="19" spans="1:146" x14ac:dyDescent="0.25">
      <c r="A19" s="222">
        <v>46182</v>
      </c>
      <c r="B19" s="208">
        <v>0</v>
      </c>
      <c r="C19" s="209">
        <v>3.9253860000000002E-2</v>
      </c>
      <c r="D19" s="208">
        <v>0</v>
      </c>
      <c r="G19" s="208">
        <v>0</v>
      </c>
      <c r="J19" s="208">
        <v>0</v>
      </c>
      <c r="M19" s="208">
        <v>0</v>
      </c>
      <c r="P19" s="208">
        <v>0</v>
      </c>
      <c r="S19" s="208">
        <v>0</v>
      </c>
      <c r="V19" s="208">
        <v>0</v>
      </c>
      <c r="Y19" s="208">
        <v>0</v>
      </c>
      <c r="AB19" s="208">
        <v>0</v>
      </c>
      <c r="AE19" s="208">
        <v>0</v>
      </c>
      <c r="AH19" s="208">
        <v>0</v>
      </c>
      <c r="AI19" s="223">
        <v>177100000</v>
      </c>
      <c r="AJ19" s="224">
        <v>3.8800000000000001E-2</v>
      </c>
      <c r="AK19" s="208">
        <v>19087.444444444445</v>
      </c>
      <c r="AL19" s="223">
        <v>72000000</v>
      </c>
      <c r="AM19" s="224">
        <v>3.95E-2</v>
      </c>
      <c r="AN19" s="208">
        <v>7900</v>
      </c>
      <c r="AO19" s="223">
        <v>160000000</v>
      </c>
      <c r="AP19" s="224">
        <v>3.95E-2</v>
      </c>
      <c r="AQ19" s="208">
        <v>17555.555555555555</v>
      </c>
      <c r="AR19" s="223"/>
      <c r="AS19" s="224"/>
      <c r="AT19" s="208">
        <v>0</v>
      </c>
      <c r="AW19" s="208">
        <v>0</v>
      </c>
      <c r="AZ19" s="208">
        <v>0</v>
      </c>
      <c r="BC19" s="208">
        <v>0</v>
      </c>
      <c r="BF19" s="208">
        <v>0</v>
      </c>
      <c r="BI19" s="208">
        <v>0</v>
      </c>
      <c r="BL19" s="208">
        <v>0</v>
      </c>
      <c r="BO19" s="208">
        <v>0</v>
      </c>
      <c r="BR19" s="208">
        <v>0</v>
      </c>
      <c r="BU19" s="208">
        <v>0</v>
      </c>
      <c r="BX19" s="208">
        <v>0</v>
      </c>
      <c r="CA19" s="208">
        <v>0</v>
      </c>
      <c r="CD19" s="208">
        <v>0</v>
      </c>
      <c r="CG19" s="208">
        <v>0</v>
      </c>
      <c r="CJ19" s="208">
        <v>0</v>
      </c>
      <c r="CM19" s="208">
        <v>0</v>
      </c>
      <c r="CP19" s="208">
        <v>0</v>
      </c>
      <c r="CS19" s="208">
        <v>0</v>
      </c>
      <c r="CV19" s="208">
        <v>0</v>
      </c>
      <c r="CY19" s="208">
        <v>0</v>
      </c>
      <c r="DB19" s="208">
        <v>0</v>
      </c>
      <c r="DE19" s="208">
        <v>0</v>
      </c>
      <c r="DH19" s="208">
        <v>0</v>
      </c>
      <c r="DK19" s="208">
        <v>0</v>
      </c>
      <c r="DN19" s="208">
        <v>0</v>
      </c>
      <c r="DQ19" s="208">
        <v>0</v>
      </c>
      <c r="DT19" s="208">
        <v>0</v>
      </c>
      <c r="DW19" s="208">
        <v>0</v>
      </c>
      <c r="DZ19" s="208"/>
      <c r="EA19" s="208"/>
      <c r="EB19" s="228">
        <v>409100000</v>
      </c>
      <c r="EC19" s="228">
        <v>0</v>
      </c>
      <c r="ED19" s="208">
        <v>44543</v>
      </c>
      <c r="EE19" s="209">
        <v>3.9196968956245415E-2</v>
      </c>
      <c r="EG19" s="228">
        <v>0</v>
      </c>
      <c r="EH19" s="208">
        <v>0</v>
      </c>
      <c r="EI19" s="209">
        <v>0</v>
      </c>
      <c r="EJ19" s="209"/>
      <c r="EK19" s="228">
        <v>409100000</v>
      </c>
      <c r="EL19" s="228">
        <v>0</v>
      </c>
      <c r="EM19" s="228">
        <v>44543</v>
      </c>
      <c r="EN19" s="209">
        <v>3.9196968956245415E-2</v>
      </c>
      <c r="EP19" s="208"/>
    </row>
    <row r="20" spans="1:146" x14ac:dyDescent="0.25">
      <c r="A20" s="222">
        <v>46183</v>
      </c>
      <c r="B20" s="208">
        <v>0</v>
      </c>
      <c r="C20" s="209">
        <v>3.9203920000000003E-2</v>
      </c>
      <c r="D20" s="208">
        <v>0</v>
      </c>
      <c r="G20" s="208">
        <v>0</v>
      </c>
      <c r="J20" s="208">
        <v>0</v>
      </c>
      <c r="M20" s="208">
        <v>0</v>
      </c>
      <c r="P20" s="208">
        <v>0</v>
      </c>
      <c r="S20" s="208">
        <v>0</v>
      </c>
      <c r="V20" s="208">
        <v>0</v>
      </c>
      <c r="Y20" s="208">
        <v>0</v>
      </c>
      <c r="AB20" s="208">
        <v>0</v>
      </c>
      <c r="AE20" s="208">
        <v>0</v>
      </c>
      <c r="AH20" s="208">
        <v>0</v>
      </c>
      <c r="AI20" s="223">
        <v>190550000</v>
      </c>
      <c r="AJ20" s="224">
        <v>3.8800000000000001E-2</v>
      </c>
      <c r="AK20" s="208">
        <v>20537.055555555555</v>
      </c>
      <c r="AL20" s="223">
        <v>69000000</v>
      </c>
      <c r="AM20" s="224">
        <v>3.95E-2</v>
      </c>
      <c r="AN20" s="208">
        <v>7570.833333333333</v>
      </c>
      <c r="AO20" s="223">
        <v>160000000</v>
      </c>
      <c r="AP20" s="224">
        <v>3.95E-2</v>
      </c>
      <c r="AQ20" s="208">
        <v>17555.555555555555</v>
      </c>
      <c r="AR20" s="223"/>
      <c r="AS20" s="224"/>
      <c r="AT20" s="208">
        <v>0</v>
      </c>
      <c r="AW20" s="208">
        <v>0</v>
      </c>
      <c r="AZ20" s="208">
        <v>0</v>
      </c>
      <c r="BC20" s="208">
        <v>0</v>
      </c>
      <c r="BF20" s="208">
        <v>0</v>
      </c>
      <c r="BI20" s="208">
        <v>0</v>
      </c>
      <c r="BL20" s="208">
        <v>0</v>
      </c>
      <c r="BO20" s="208">
        <v>0</v>
      </c>
      <c r="BR20" s="208">
        <v>0</v>
      </c>
      <c r="BU20" s="208">
        <v>0</v>
      </c>
      <c r="BX20" s="208">
        <v>0</v>
      </c>
      <c r="CA20" s="208">
        <v>0</v>
      </c>
      <c r="CD20" s="208">
        <v>0</v>
      </c>
      <c r="CG20" s="208">
        <v>0</v>
      </c>
      <c r="CJ20" s="208">
        <v>0</v>
      </c>
      <c r="CM20" s="208">
        <v>0</v>
      </c>
      <c r="CP20" s="208">
        <v>0</v>
      </c>
      <c r="CS20" s="208">
        <v>0</v>
      </c>
      <c r="CV20" s="208">
        <v>0</v>
      </c>
      <c r="CY20" s="208">
        <v>0</v>
      </c>
      <c r="DB20" s="208">
        <v>0</v>
      </c>
      <c r="DE20" s="208">
        <v>0</v>
      </c>
      <c r="DH20" s="208">
        <v>0</v>
      </c>
      <c r="DK20" s="208">
        <v>0</v>
      </c>
      <c r="DN20" s="208">
        <v>0</v>
      </c>
      <c r="DQ20" s="208">
        <v>0</v>
      </c>
      <c r="DT20" s="208">
        <v>0</v>
      </c>
      <c r="DW20" s="208">
        <v>0</v>
      </c>
      <c r="DZ20" s="208"/>
      <c r="EA20" s="208"/>
      <c r="EB20" s="228">
        <v>419550000</v>
      </c>
      <c r="EC20" s="228">
        <v>0</v>
      </c>
      <c r="ED20" s="208">
        <v>45663.444444444438</v>
      </c>
      <c r="EE20" s="209">
        <v>3.9182076033845784E-2</v>
      </c>
      <c r="EG20" s="228">
        <v>0</v>
      </c>
      <c r="EH20" s="208">
        <v>0</v>
      </c>
      <c r="EI20" s="209">
        <v>0</v>
      </c>
      <c r="EJ20" s="209"/>
      <c r="EK20" s="228">
        <v>419550000</v>
      </c>
      <c r="EL20" s="228">
        <v>0</v>
      </c>
      <c r="EM20" s="228">
        <v>45663.444444444438</v>
      </c>
      <c r="EN20" s="209">
        <v>3.9182076033845784E-2</v>
      </c>
      <c r="EP20" s="208"/>
    </row>
    <row r="21" spans="1:146" x14ac:dyDescent="0.25">
      <c r="A21" s="222">
        <v>46184</v>
      </c>
      <c r="B21" s="208">
        <v>0</v>
      </c>
      <c r="C21" s="209">
        <v>3.906979E-2</v>
      </c>
      <c r="D21" s="208">
        <v>0</v>
      </c>
      <c r="G21" s="208">
        <v>0</v>
      </c>
      <c r="J21" s="208">
        <v>0</v>
      </c>
      <c r="M21" s="208">
        <v>0</v>
      </c>
      <c r="P21" s="208">
        <v>0</v>
      </c>
      <c r="S21" s="208">
        <v>0</v>
      </c>
      <c r="V21" s="208">
        <v>0</v>
      </c>
      <c r="Y21" s="208">
        <v>0</v>
      </c>
      <c r="AB21" s="208">
        <v>0</v>
      </c>
      <c r="AE21" s="208">
        <v>0</v>
      </c>
      <c r="AH21" s="208">
        <v>0</v>
      </c>
      <c r="AI21" s="223">
        <v>157575000</v>
      </c>
      <c r="AJ21" s="224">
        <v>3.8800000000000001E-2</v>
      </c>
      <c r="AK21" s="208">
        <v>16983.083333333332</v>
      </c>
      <c r="AL21" s="223">
        <v>105000000</v>
      </c>
      <c r="AM21" s="224">
        <v>3.95E-2</v>
      </c>
      <c r="AN21" s="208">
        <v>11520.833333333334</v>
      </c>
      <c r="AO21" s="223">
        <v>160000000</v>
      </c>
      <c r="AP21" s="224">
        <v>3.95E-2</v>
      </c>
      <c r="AQ21" s="208">
        <v>17555.555555555555</v>
      </c>
      <c r="AR21" s="223"/>
      <c r="AS21" s="224"/>
      <c r="AT21" s="208">
        <v>0</v>
      </c>
      <c r="AW21" s="208">
        <v>0</v>
      </c>
      <c r="AZ21" s="208">
        <v>0</v>
      </c>
      <c r="BC21" s="208">
        <v>0</v>
      </c>
      <c r="BF21" s="208">
        <v>0</v>
      </c>
      <c r="BI21" s="208">
        <v>0</v>
      </c>
      <c r="BL21" s="208">
        <v>0</v>
      </c>
      <c r="BO21" s="208">
        <v>0</v>
      </c>
      <c r="BR21" s="208">
        <v>0</v>
      </c>
      <c r="BU21" s="208">
        <v>0</v>
      </c>
      <c r="BX21" s="208">
        <v>0</v>
      </c>
      <c r="CA21" s="208">
        <v>0</v>
      </c>
      <c r="CD21" s="208">
        <v>0</v>
      </c>
      <c r="CG21" s="208">
        <v>0</v>
      </c>
      <c r="CJ21" s="208">
        <v>0</v>
      </c>
      <c r="CM21" s="208">
        <v>0</v>
      </c>
      <c r="CP21" s="208">
        <v>0</v>
      </c>
      <c r="CS21" s="208">
        <v>0</v>
      </c>
      <c r="CV21" s="208">
        <v>0</v>
      </c>
      <c r="CY21" s="208">
        <v>0</v>
      </c>
      <c r="DB21" s="208">
        <v>0</v>
      </c>
      <c r="DE21" s="208">
        <v>0</v>
      </c>
      <c r="DH21" s="208">
        <v>0</v>
      </c>
      <c r="DK21" s="208">
        <v>0</v>
      </c>
      <c r="DN21" s="208">
        <v>0</v>
      </c>
      <c r="DQ21" s="208">
        <v>0</v>
      </c>
      <c r="DT21" s="208">
        <v>0</v>
      </c>
      <c r="DW21" s="208">
        <v>0</v>
      </c>
      <c r="DZ21" s="208"/>
      <c r="EA21" s="208"/>
      <c r="EB21" s="228">
        <v>422575000</v>
      </c>
      <c r="EC21" s="228">
        <v>0</v>
      </c>
      <c r="ED21" s="208">
        <v>46059.472222222219</v>
      </c>
      <c r="EE21" s="209">
        <v>3.9238975329823109E-2</v>
      </c>
      <c r="EG21" s="228">
        <v>0</v>
      </c>
      <c r="EH21" s="208">
        <v>0</v>
      </c>
      <c r="EI21" s="209">
        <v>0</v>
      </c>
      <c r="EJ21" s="209"/>
      <c r="EK21" s="228">
        <v>422575000</v>
      </c>
      <c r="EL21" s="228">
        <v>0</v>
      </c>
      <c r="EM21" s="228">
        <v>46059.472222222219</v>
      </c>
      <c r="EN21" s="209">
        <v>3.9238975329823109E-2</v>
      </c>
      <c r="EP21" s="208"/>
    </row>
    <row r="22" spans="1:146" x14ac:dyDescent="0.25">
      <c r="A22" s="222">
        <v>46185</v>
      </c>
      <c r="B22" s="208">
        <v>0</v>
      </c>
      <c r="C22" s="209">
        <v>3.9080190000000001E-2</v>
      </c>
      <c r="D22" s="208">
        <v>0</v>
      </c>
      <c r="G22" s="208">
        <v>0</v>
      </c>
      <c r="J22" s="208">
        <v>0</v>
      </c>
      <c r="M22" s="208">
        <v>0</v>
      </c>
      <c r="P22" s="208">
        <v>0</v>
      </c>
      <c r="S22" s="208">
        <v>0</v>
      </c>
      <c r="V22" s="208">
        <v>0</v>
      </c>
      <c r="Y22" s="208">
        <v>0</v>
      </c>
      <c r="AB22" s="208">
        <v>0</v>
      </c>
      <c r="AE22" s="208">
        <v>0</v>
      </c>
      <c r="AH22" s="208">
        <v>0</v>
      </c>
      <c r="AI22" s="223">
        <v>221150000</v>
      </c>
      <c r="AJ22" s="224">
        <v>3.8800000000000001E-2</v>
      </c>
      <c r="AK22" s="208">
        <v>23835.055555555555</v>
      </c>
      <c r="AL22" s="223">
        <v>214500000</v>
      </c>
      <c r="AM22" s="224">
        <v>3.95E-2</v>
      </c>
      <c r="AN22" s="208">
        <v>23535.416666666668</v>
      </c>
      <c r="AO22" s="223"/>
      <c r="AP22" s="224"/>
      <c r="AQ22" s="208">
        <v>0</v>
      </c>
      <c r="AR22" s="223"/>
      <c r="AS22" s="224"/>
      <c r="AT22" s="208">
        <v>0</v>
      </c>
      <c r="AW22" s="208">
        <v>0</v>
      </c>
      <c r="AZ22" s="208">
        <v>0</v>
      </c>
      <c r="BC22" s="208">
        <v>0</v>
      </c>
      <c r="BF22" s="208">
        <v>0</v>
      </c>
      <c r="BI22" s="208">
        <v>0</v>
      </c>
      <c r="BL22" s="208">
        <v>0</v>
      </c>
      <c r="BO22" s="208">
        <v>0</v>
      </c>
      <c r="BR22" s="208">
        <v>0</v>
      </c>
      <c r="BU22" s="208">
        <v>0</v>
      </c>
      <c r="BX22" s="208">
        <v>0</v>
      </c>
      <c r="CA22" s="208">
        <v>0</v>
      </c>
      <c r="CD22" s="208">
        <v>0</v>
      </c>
      <c r="CG22" s="208">
        <v>0</v>
      </c>
      <c r="CJ22" s="208">
        <v>0</v>
      </c>
      <c r="CM22" s="208">
        <v>0</v>
      </c>
      <c r="CP22" s="208">
        <v>0</v>
      </c>
      <c r="CS22" s="208">
        <v>0</v>
      </c>
      <c r="CV22" s="208">
        <v>0</v>
      </c>
      <c r="CY22" s="208">
        <v>0</v>
      </c>
      <c r="DB22" s="208">
        <v>0</v>
      </c>
      <c r="DE22" s="208">
        <v>0</v>
      </c>
      <c r="DH22" s="208">
        <v>0</v>
      </c>
      <c r="DK22" s="208">
        <v>0</v>
      </c>
      <c r="DN22" s="208">
        <v>0</v>
      </c>
      <c r="DQ22" s="208">
        <v>0</v>
      </c>
      <c r="DT22" s="208">
        <v>0</v>
      </c>
      <c r="DW22" s="208">
        <v>0</v>
      </c>
      <c r="DZ22" s="208"/>
      <c r="EA22" s="208"/>
      <c r="EB22" s="228">
        <v>435650000</v>
      </c>
      <c r="EC22" s="228">
        <v>0</v>
      </c>
      <c r="ED22" s="208">
        <v>47370.472222222219</v>
      </c>
      <c r="EE22" s="209">
        <v>3.9144657408470097E-2</v>
      </c>
      <c r="EG22" s="228">
        <v>0</v>
      </c>
      <c r="EH22" s="208">
        <v>0</v>
      </c>
      <c r="EI22" s="209">
        <v>0</v>
      </c>
      <c r="EJ22" s="209"/>
      <c r="EK22" s="228">
        <v>435650000</v>
      </c>
      <c r="EL22" s="228">
        <v>0</v>
      </c>
      <c r="EM22" s="228">
        <v>47370.472222222219</v>
      </c>
      <c r="EN22" s="209">
        <v>3.9144657408470097E-2</v>
      </c>
      <c r="EP22" s="208"/>
    </row>
    <row r="23" spans="1:146" x14ac:dyDescent="0.25">
      <c r="A23" s="222">
        <v>46186</v>
      </c>
      <c r="B23" s="208">
        <v>0</v>
      </c>
      <c r="C23" s="209">
        <v>3.9080190000000001E-2</v>
      </c>
      <c r="D23" s="208">
        <v>0</v>
      </c>
      <c r="G23" s="208">
        <v>0</v>
      </c>
      <c r="J23" s="208">
        <v>0</v>
      </c>
      <c r="M23" s="208">
        <v>0</v>
      </c>
      <c r="P23" s="208">
        <v>0</v>
      </c>
      <c r="S23" s="208">
        <v>0</v>
      </c>
      <c r="V23" s="208">
        <v>0</v>
      </c>
      <c r="Y23" s="208">
        <v>0</v>
      </c>
      <c r="AB23" s="208">
        <v>0</v>
      </c>
      <c r="AE23" s="208">
        <v>0</v>
      </c>
      <c r="AH23" s="208">
        <v>0</v>
      </c>
      <c r="AI23" s="223">
        <v>221150000</v>
      </c>
      <c r="AJ23" s="224">
        <v>3.8800000000000001E-2</v>
      </c>
      <c r="AK23" s="208">
        <v>23835.055555555555</v>
      </c>
      <c r="AL23" s="223">
        <v>214500000</v>
      </c>
      <c r="AM23" s="224">
        <v>3.95E-2</v>
      </c>
      <c r="AN23" s="208">
        <v>23535.416666666668</v>
      </c>
      <c r="AO23" s="223"/>
      <c r="AP23" s="224"/>
      <c r="AQ23" s="208">
        <v>0</v>
      </c>
      <c r="AR23" s="223"/>
      <c r="AS23" s="224"/>
      <c r="AT23" s="208">
        <v>0</v>
      </c>
      <c r="AW23" s="208">
        <v>0</v>
      </c>
      <c r="AZ23" s="208">
        <v>0</v>
      </c>
      <c r="BC23" s="208">
        <v>0</v>
      </c>
      <c r="BF23" s="208">
        <v>0</v>
      </c>
      <c r="BI23" s="208">
        <v>0</v>
      </c>
      <c r="BL23" s="208">
        <v>0</v>
      </c>
      <c r="BO23" s="208">
        <v>0</v>
      </c>
      <c r="BR23" s="208">
        <v>0</v>
      </c>
      <c r="BU23" s="208">
        <v>0</v>
      </c>
      <c r="BX23" s="208">
        <v>0</v>
      </c>
      <c r="CA23" s="208">
        <v>0</v>
      </c>
      <c r="CD23" s="208">
        <v>0</v>
      </c>
      <c r="CG23" s="208">
        <v>0</v>
      </c>
      <c r="CJ23" s="208">
        <v>0</v>
      </c>
      <c r="CM23" s="208">
        <v>0</v>
      </c>
      <c r="CP23" s="208">
        <v>0</v>
      </c>
      <c r="CS23" s="208">
        <v>0</v>
      </c>
      <c r="CV23" s="208">
        <v>0</v>
      </c>
      <c r="CY23" s="208">
        <v>0</v>
      </c>
      <c r="DB23" s="208">
        <v>0</v>
      </c>
      <c r="DE23" s="208">
        <v>0</v>
      </c>
      <c r="DH23" s="208">
        <v>0</v>
      </c>
      <c r="DK23" s="208">
        <v>0</v>
      </c>
      <c r="DN23" s="208">
        <v>0</v>
      </c>
      <c r="DQ23" s="208">
        <v>0</v>
      </c>
      <c r="DT23" s="208">
        <v>0</v>
      </c>
      <c r="DW23" s="208">
        <v>0</v>
      </c>
      <c r="DZ23" s="208"/>
      <c r="EA23" s="208"/>
      <c r="EB23" s="228">
        <v>435650000</v>
      </c>
      <c r="EC23" s="228">
        <v>0</v>
      </c>
      <c r="ED23" s="208">
        <v>47370.472222222219</v>
      </c>
      <c r="EE23" s="209">
        <v>3.9144657408470097E-2</v>
      </c>
      <c r="EG23" s="228">
        <v>0</v>
      </c>
      <c r="EH23" s="208">
        <v>0</v>
      </c>
      <c r="EI23" s="209">
        <v>0</v>
      </c>
      <c r="EJ23" s="209"/>
      <c r="EK23" s="228">
        <v>435650000</v>
      </c>
      <c r="EL23" s="228">
        <v>0</v>
      </c>
      <c r="EM23" s="228">
        <v>47370.472222222219</v>
      </c>
      <c r="EN23" s="209">
        <v>3.9144657408470097E-2</v>
      </c>
      <c r="EP23" s="208"/>
    </row>
    <row r="24" spans="1:146" x14ac:dyDescent="0.25">
      <c r="A24" s="222">
        <v>46187</v>
      </c>
      <c r="B24" s="208">
        <v>0</v>
      </c>
      <c r="C24" s="209">
        <v>3.9080190000000001E-2</v>
      </c>
      <c r="D24" s="208">
        <v>0</v>
      </c>
      <c r="G24" s="208">
        <v>0</v>
      </c>
      <c r="J24" s="208">
        <v>0</v>
      </c>
      <c r="M24" s="208">
        <v>0</v>
      </c>
      <c r="P24" s="208">
        <v>0</v>
      </c>
      <c r="S24" s="208">
        <v>0</v>
      </c>
      <c r="V24" s="208">
        <v>0</v>
      </c>
      <c r="Y24" s="208">
        <v>0</v>
      </c>
      <c r="AB24" s="208">
        <v>0</v>
      </c>
      <c r="AE24" s="208">
        <v>0</v>
      </c>
      <c r="AH24" s="208">
        <v>0</v>
      </c>
      <c r="AI24" s="223">
        <v>221150000</v>
      </c>
      <c r="AJ24" s="224">
        <v>3.8800000000000001E-2</v>
      </c>
      <c r="AK24" s="208">
        <v>23835.055555555555</v>
      </c>
      <c r="AL24" s="223">
        <v>214500000</v>
      </c>
      <c r="AM24" s="224">
        <v>3.95E-2</v>
      </c>
      <c r="AN24" s="208">
        <v>23535.416666666668</v>
      </c>
      <c r="AO24" s="223"/>
      <c r="AP24" s="224"/>
      <c r="AQ24" s="208">
        <v>0</v>
      </c>
      <c r="AR24" s="223"/>
      <c r="AS24" s="224"/>
      <c r="AT24" s="208">
        <v>0</v>
      </c>
      <c r="AW24" s="208">
        <v>0</v>
      </c>
      <c r="AZ24" s="208">
        <v>0</v>
      </c>
      <c r="BC24" s="208">
        <v>0</v>
      </c>
      <c r="BF24" s="208">
        <v>0</v>
      </c>
      <c r="BI24" s="208">
        <v>0</v>
      </c>
      <c r="BL24" s="208">
        <v>0</v>
      </c>
      <c r="BO24" s="208">
        <v>0</v>
      </c>
      <c r="BR24" s="208">
        <v>0</v>
      </c>
      <c r="BU24" s="208">
        <v>0</v>
      </c>
      <c r="BX24" s="208">
        <v>0</v>
      </c>
      <c r="CA24" s="208">
        <v>0</v>
      </c>
      <c r="CD24" s="208">
        <v>0</v>
      </c>
      <c r="CG24" s="208">
        <v>0</v>
      </c>
      <c r="CJ24" s="208">
        <v>0</v>
      </c>
      <c r="CM24" s="208">
        <v>0</v>
      </c>
      <c r="CP24" s="208">
        <v>0</v>
      </c>
      <c r="CS24" s="208">
        <v>0</v>
      </c>
      <c r="CV24" s="208">
        <v>0</v>
      </c>
      <c r="CY24" s="208">
        <v>0</v>
      </c>
      <c r="DB24" s="208">
        <v>0</v>
      </c>
      <c r="DE24" s="208">
        <v>0</v>
      </c>
      <c r="DH24" s="208">
        <v>0</v>
      </c>
      <c r="DK24" s="208">
        <v>0</v>
      </c>
      <c r="DN24" s="208">
        <v>0</v>
      </c>
      <c r="DQ24" s="208">
        <v>0</v>
      </c>
      <c r="DT24" s="208">
        <v>0</v>
      </c>
      <c r="DW24" s="208">
        <v>0</v>
      </c>
      <c r="DZ24" s="208"/>
      <c r="EA24" s="208"/>
      <c r="EB24" s="228">
        <v>435650000</v>
      </c>
      <c r="EC24" s="228">
        <v>0</v>
      </c>
      <c r="ED24" s="208">
        <v>47370.472222222219</v>
      </c>
      <c r="EE24" s="209">
        <v>3.9144657408470097E-2</v>
      </c>
      <c r="EG24" s="228">
        <v>0</v>
      </c>
      <c r="EH24" s="208">
        <v>0</v>
      </c>
      <c r="EI24" s="209">
        <v>0</v>
      </c>
      <c r="EJ24" s="209"/>
      <c r="EK24" s="228">
        <v>435650000</v>
      </c>
      <c r="EL24" s="228">
        <v>0</v>
      </c>
      <c r="EM24" s="228">
        <v>47370.472222222219</v>
      </c>
      <c r="EN24" s="209">
        <v>3.9144657408470097E-2</v>
      </c>
      <c r="EP24" s="208"/>
    </row>
    <row r="25" spans="1:146" x14ac:dyDescent="0.25">
      <c r="A25" s="222">
        <v>46188</v>
      </c>
      <c r="B25" s="208">
        <v>0</v>
      </c>
      <c r="C25" s="209">
        <v>3.9111069999999998E-2</v>
      </c>
      <c r="D25" s="208">
        <v>0</v>
      </c>
      <c r="G25" s="208">
        <v>0</v>
      </c>
      <c r="J25" s="208">
        <v>0</v>
      </c>
      <c r="M25" s="208">
        <v>0</v>
      </c>
      <c r="P25" s="208">
        <v>0</v>
      </c>
      <c r="S25" s="208">
        <v>0</v>
      </c>
      <c r="V25" s="208">
        <v>0</v>
      </c>
      <c r="Y25" s="208">
        <v>0</v>
      </c>
      <c r="AB25" s="208">
        <v>0</v>
      </c>
      <c r="AE25" s="208">
        <v>0</v>
      </c>
      <c r="AH25" s="208">
        <v>0</v>
      </c>
      <c r="AI25" s="223">
        <v>240500000</v>
      </c>
      <c r="AJ25" s="224">
        <v>3.8800000000000001E-2</v>
      </c>
      <c r="AK25" s="208">
        <v>25920.555555555555</v>
      </c>
      <c r="AL25" s="223">
        <v>214500000</v>
      </c>
      <c r="AM25" s="224">
        <v>3.95E-2</v>
      </c>
      <c r="AN25" s="208">
        <v>23535.416666666668</v>
      </c>
      <c r="AO25" s="223"/>
      <c r="AP25" s="224"/>
      <c r="AQ25" s="208">
        <v>0</v>
      </c>
      <c r="AR25" s="223"/>
      <c r="AS25" s="224"/>
      <c r="AT25" s="208">
        <v>0</v>
      </c>
      <c r="AW25" s="208">
        <v>0</v>
      </c>
      <c r="AZ25" s="208">
        <v>0</v>
      </c>
      <c r="BC25" s="208">
        <v>0</v>
      </c>
      <c r="BF25" s="208">
        <v>0</v>
      </c>
      <c r="BI25" s="208">
        <v>0</v>
      </c>
      <c r="BL25" s="208">
        <v>0</v>
      </c>
      <c r="BO25" s="208">
        <v>0</v>
      </c>
      <c r="BR25" s="208">
        <v>0</v>
      </c>
      <c r="BU25" s="208">
        <v>0</v>
      </c>
      <c r="BX25" s="208">
        <v>0</v>
      </c>
      <c r="CA25" s="208">
        <v>0</v>
      </c>
      <c r="CD25" s="208">
        <v>0</v>
      </c>
      <c r="CG25" s="208">
        <v>0</v>
      </c>
      <c r="CJ25" s="208">
        <v>0</v>
      </c>
      <c r="CM25" s="208">
        <v>0</v>
      </c>
      <c r="CP25" s="208">
        <v>0</v>
      </c>
      <c r="CS25" s="208">
        <v>0</v>
      </c>
      <c r="CV25" s="208">
        <v>0</v>
      </c>
      <c r="CY25" s="208">
        <v>0</v>
      </c>
      <c r="DB25" s="208">
        <v>0</v>
      </c>
      <c r="DE25" s="208">
        <v>0</v>
      </c>
      <c r="DH25" s="208">
        <v>0</v>
      </c>
      <c r="DK25" s="208">
        <v>0</v>
      </c>
      <c r="DN25" s="208">
        <v>0</v>
      </c>
      <c r="DQ25" s="208">
        <v>0</v>
      </c>
      <c r="DT25" s="208">
        <v>0</v>
      </c>
      <c r="DW25" s="208">
        <v>0</v>
      </c>
      <c r="DZ25" s="208"/>
      <c r="EA25" s="208"/>
      <c r="EB25" s="228">
        <v>455000000</v>
      </c>
      <c r="EC25" s="228">
        <v>0</v>
      </c>
      <c r="ED25" s="208">
        <v>49455.972222222219</v>
      </c>
      <c r="EE25" s="209">
        <v>3.9129999999999998E-2</v>
      </c>
      <c r="EG25" s="228">
        <v>0</v>
      </c>
      <c r="EH25" s="208">
        <v>0</v>
      </c>
      <c r="EI25" s="209">
        <v>0</v>
      </c>
      <c r="EJ25" s="209"/>
      <c r="EK25" s="228">
        <v>455000000</v>
      </c>
      <c r="EL25" s="228">
        <v>0</v>
      </c>
      <c r="EM25" s="228">
        <v>49455.972222222219</v>
      </c>
      <c r="EN25" s="209">
        <v>3.9129999999999998E-2</v>
      </c>
      <c r="EP25" s="208"/>
    </row>
    <row r="26" spans="1:146" x14ac:dyDescent="0.25">
      <c r="A26" s="222">
        <v>46189</v>
      </c>
      <c r="B26" s="208">
        <v>0</v>
      </c>
      <c r="C26" s="209">
        <v>3.9167170000000001E-2</v>
      </c>
      <c r="D26" s="208">
        <v>0</v>
      </c>
      <c r="G26" s="208">
        <v>0</v>
      </c>
      <c r="J26" s="208">
        <v>0</v>
      </c>
      <c r="M26" s="208">
        <v>0</v>
      </c>
      <c r="P26" s="208">
        <v>0</v>
      </c>
      <c r="S26" s="208">
        <v>0</v>
      </c>
      <c r="V26" s="208">
        <v>0</v>
      </c>
      <c r="Y26" s="208">
        <v>0</v>
      </c>
      <c r="AB26" s="208">
        <v>0</v>
      </c>
      <c r="AE26" s="208">
        <v>0</v>
      </c>
      <c r="AH26" s="208">
        <v>0</v>
      </c>
      <c r="AI26" s="223">
        <v>81100000</v>
      </c>
      <c r="AJ26" s="224">
        <v>3.8800000000000001E-2</v>
      </c>
      <c r="AK26" s="208">
        <v>8740.7777777777774</v>
      </c>
      <c r="AL26" s="223">
        <v>344500000</v>
      </c>
      <c r="AM26" s="224">
        <v>3.95E-2</v>
      </c>
      <c r="AN26" s="208">
        <v>37799.305555555555</v>
      </c>
      <c r="AO26" s="223"/>
      <c r="AP26" s="224"/>
      <c r="AQ26" s="208">
        <v>0</v>
      </c>
      <c r="AR26" s="223"/>
      <c r="AS26" s="224"/>
      <c r="AT26" s="208">
        <v>0</v>
      </c>
      <c r="AW26" s="208">
        <v>0</v>
      </c>
      <c r="AZ26" s="208">
        <v>0</v>
      </c>
      <c r="BC26" s="208">
        <v>0</v>
      </c>
      <c r="BF26" s="208">
        <v>0</v>
      </c>
      <c r="BI26" s="208">
        <v>0</v>
      </c>
      <c r="BL26" s="208">
        <v>0</v>
      </c>
      <c r="BO26" s="208">
        <v>0</v>
      </c>
      <c r="BR26" s="208">
        <v>0</v>
      </c>
      <c r="BU26" s="208">
        <v>0</v>
      </c>
      <c r="BX26" s="208">
        <v>0</v>
      </c>
      <c r="CA26" s="208">
        <v>0</v>
      </c>
      <c r="CD26" s="208">
        <v>0</v>
      </c>
      <c r="CG26" s="208">
        <v>0</v>
      </c>
      <c r="CJ26" s="208">
        <v>0</v>
      </c>
      <c r="CM26" s="208">
        <v>0</v>
      </c>
      <c r="CP26" s="208">
        <v>0</v>
      </c>
      <c r="CS26" s="208">
        <v>0</v>
      </c>
      <c r="CV26" s="208">
        <v>0</v>
      </c>
      <c r="CY26" s="208">
        <v>0</v>
      </c>
      <c r="DB26" s="208">
        <v>0</v>
      </c>
      <c r="DE26" s="208">
        <v>0</v>
      </c>
      <c r="DH26" s="208">
        <v>0</v>
      </c>
      <c r="DK26" s="208">
        <v>0</v>
      </c>
      <c r="DN26" s="208">
        <v>0</v>
      </c>
      <c r="DQ26" s="208">
        <v>0</v>
      </c>
      <c r="DT26" s="208">
        <v>0</v>
      </c>
      <c r="DW26" s="208">
        <v>0</v>
      </c>
      <c r="DZ26" s="208"/>
      <c r="EA26" s="208"/>
      <c r="EB26" s="228">
        <v>425600000</v>
      </c>
      <c r="EC26" s="228">
        <v>0</v>
      </c>
      <c r="ED26" s="208">
        <v>46540.083333333328</v>
      </c>
      <c r="EE26" s="209">
        <v>3.9366611842105256E-2</v>
      </c>
      <c r="EG26" s="228">
        <v>0</v>
      </c>
      <c r="EH26" s="208">
        <v>0</v>
      </c>
      <c r="EI26" s="209">
        <v>0</v>
      </c>
      <c r="EJ26" s="209"/>
      <c r="EK26" s="228">
        <v>425600000</v>
      </c>
      <c r="EL26" s="228">
        <v>0</v>
      </c>
      <c r="EM26" s="228">
        <v>46540.083333333328</v>
      </c>
      <c r="EN26" s="209">
        <v>3.9366611842105256E-2</v>
      </c>
      <c r="EP26" s="208"/>
    </row>
    <row r="27" spans="1:146" x14ac:dyDescent="0.25">
      <c r="A27" s="222">
        <v>46190</v>
      </c>
      <c r="B27" s="208">
        <v>0</v>
      </c>
      <c r="C27" s="209">
        <v>3.9275400000000002E-2</v>
      </c>
      <c r="D27" s="208">
        <v>0</v>
      </c>
      <c r="G27" s="208">
        <v>0</v>
      </c>
      <c r="J27" s="208">
        <v>0</v>
      </c>
      <c r="M27" s="208">
        <v>0</v>
      </c>
      <c r="P27" s="208">
        <v>0</v>
      </c>
      <c r="S27" s="208">
        <v>0</v>
      </c>
      <c r="V27" s="208">
        <v>0</v>
      </c>
      <c r="Y27" s="208">
        <v>0</v>
      </c>
      <c r="AB27" s="208">
        <v>0</v>
      </c>
      <c r="AE27" s="208">
        <v>0</v>
      </c>
      <c r="AH27" s="208">
        <v>0</v>
      </c>
      <c r="AI27" s="223">
        <v>90200000</v>
      </c>
      <c r="AJ27" s="224">
        <v>3.8800000000000001E-2</v>
      </c>
      <c r="AK27" s="208">
        <v>9721.5555555555547</v>
      </c>
      <c r="AL27" s="223">
        <v>344500000</v>
      </c>
      <c r="AM27" s="224">
        <v>3.95E-2</v>
      </c>
      <c r="AN27" s="208">
        <v>37799.305555555555</v>
      </c>
      <c r="AO27" s="223"/>
      <c r="AP27" s="224"/>
      <c r="AQ27" s="208">
        <v>0</v>
      </c>
      <c r="AR27" s="223"/>
      <c r="AS27" s="224"/>
      <c r="AT27" s="208">
        <v>0</v>
      </c>
      <c r="AW27" s="208">
        <v>0</v>
      </c>
      <c r="AZ27" s="208">
        <v>0</v>
      </c>
      <c r="BC27" s="208">
        <v>0</v>
      </c>
      <c r="BF27" s="208">
        <v>0</v>
      </c>
      <c r="BI27" s="208">
        <v>0</v>
      </c>
      <c r="BL27" s="208">
        <v>0</v>
      </c>
      <c r="BO27" s="208">
        <v>0</v>
      </c>
      <c r="BR27" s="208">
        <v>0</v>
      </c>
      <c r="BU27" s="208">
        <v>0</v>
      </c>
      <c r="BX27" s="208">
        <v>0</v>
      </c>
      <c r="CA27" s="208">
        <v>0</v>
      </c>
      <c r="CD27" s="208">
        <v>0</v>
      </c>
      <c r="CG27" s="208">
        <v>0</v>
      </c>
      <c r="CJ27" s="208">
        <v>0</v>
      </c>
      <c r="CM27" s="208">
        <v>0</v>
      </c>
      <c r="CP27" s="208">
        <v>0</v>
      </c>
      <c r="CS27" s="208">
        <v>0</v>
      </c>
      <c r="CV27" s="208">
        <v>0</v>
      </c>
      <c r="CY27" s="208">
        <v>0</v>
      </c>
      <c r="DB27" s="208">
        <v>0</v>
      </c>
      <c r="DE27" s="208">
        <v>0</v>
      </c>
      <c r="DH27" s="208">
        <v>0</v>
      </c>
      <c r="DK27" s="208">
        <v>0</v>
      </c>
      <c r="DN27" s="208">
        <v>0</v>
      </c>
      <c r="DQ27" s="208">
        <v>0</v>
      </c>
      <c r="DT27" s="208">
        <v>0</v>
      </c>
      <c r="DW27" s="208">
        <v>0</v>
      </c>
      <c r="DZ27" s="208"/>
      <c r="EA27" s="208"/>
      <c r="EB27" s="228">
        <v>434700000</v>
      </c>
      <c r="EC27" s="228">
        <v>0</v>
      </c>
      <c r="ED27" s="208">
        <v>47520.861111111109</v>
      </c>
      <c r="EE27" s="209">
        <v>3.9354750402576487E-2</v>
      </c>
      <c r="EG27" s="228">
        <v>0</v>
      </c>
      <c r="EH27" s="208">
        <v>0</v>
      </c>
      <c r="EI27" s="209">
        <v>0</v>
      </c>
      <c r="EJ27" s="209"/>
      <c r="EK27" s="228">
        <v>434700000</v>
      </c>
      <c r="EL27" s="228">
        <v>0</v>
      </c>
      <c r="EM27" s="228">
        <v>47520.861111111109</v>
      </c>
      <c r="EN27" s="209">
        <v>3.9354750402576487E-2</v>
      </c>
      <c r="EP27" s="208"/>
    </row>
    <row r="28" spans="1:146" x14ac:dyDescent="0.25">
      <c r="A28" s="222">
        <v>46191</v>
      </c>
      <c r="B28" s="208">
        <v>0</v>
      </c>
      <c r="C28" s="209">
        <v>3.9237359999999999E-2</v>
      </c>
      <c r="D28" s="208">
        <v>0</v>
      </c>
      <c r="G28" s="208">
        <v>0</v>
      </c>
      <c r="J28" s="208">
        <v>0</v>
      </c>
      <c r="M28" s="208">
        <v>0</v>
      </c>
      <c r="P28" s="208">
        <v>0</v>
      </c>
      <c r="S28" s="208">
        <v>0</v>
      </c>
      <c r="V28" s="208">
        <v>0</v>
      </c>
      <c r="Y28" s="208">
        <v>0</v>
      </c>
      <c r="AB28" s="208">
        <v>0</v>
      </c>
      <c r="AE28" s="208">
        <v>0</v>
      </c>
      <c r="AH28" s="208">
        <v>0</v>
      </c>
      <c r="AI28" s="223">
        <v>159500000</v>
      </c>
      <c r="AJ28" s="224">
        <v>3.8800000000000001E-2</v>
      </c>
      <c r="AK28" s="208">
        <v>17190.555555555555</v>
      </c>
      <c r="AL28" s="223">
        <v>239500000</v>
      </c>
      <c r="AM28" s="224">
        <v>3.95E-2</v>
      </c>
      <c r="AN28" s="208">
        <v>26278.472222222223</v>
      </c>
      <c r="AO28" s="223">
        <v>55000000</v>
      </c>
      <c r="AP28" s="224">
        <v>3.9399999999999998E-2</v>
      </c>
      <c r="AQ28" s="208">
        <v>6019.4444444444443</v>
      </c>
      <c r="AR28" s="223"/>
      <c r="AS28" s="224"/>
      <c r="AT28" s="208">
        <v>0</v>
      </c>
      <c r="AW28" s="208">
        <v>0</v>
      </c>
      <c r="AZ28" s="208">
        <v>0</v>
      </c>
      <c r="BC28" s="208">
        <v>0</v>
      </c>
      <c r="BF28" s="208">
        <v>0</v>
      </c>
      <c r="BI28" s="208">
        <v>0</v>
      </c>
      <c r="BL28" s="208">
        <v>0</v>
      </c>
      <c r="BO28" s="208">
        <v>0</v>
      </c>
      <c r="BR28" s="208">
        <v>0</v>
      </c>
      <c r="BU28" s="208">
        <v>0</v>
      </c>
      <c r="BX28" s="208">
        <v>0</v>
      </c>
      <c r="CA28" s="208">
        <v>0</v>
      </c>
      <c r="CD28" s="208">
        <v>0</v>
      </c>
      <c r="CG28" s="208">
        <v>0</v>
      </c>
      <c r="CJ28" s="208">
        <v>0</v>
      </c>
      <c r="CM28" s="208">
        <v>0</v>
      </c>
      <c r="CP28" s="208">
        <v>0</v>
      </c>
      <c r="CS28" s="208">
        <v>0</v>
      </c>
      <c r="CV28" s="208">
        <v>0</v>
      </c>
      <c r="CY28" s="208">
        <v>0</v>
      </c>
      <c r="DB28" s="208">
        <v>0</v>
      </c>
      <c r="DE28" s="208">
        <v>0</v>
      </c>
      <c r="DH28" s="208">
        <v>0</v>
      </c>
      <c r="DK28" s="208">
        <v>0</v>
      </c>
      <c r="DN28" s="208">
        <v>0</v>
      </c>
      <c r="DQ28" s="208">
        <v>0</v>
      </c>
      <c r="DT28" s="208">
        <v>0</v>
      </c>
      <c r="DW28" s="208">
        <v>0</v>
      </c>
      <c r="DZ28" s="208"/>
      <c r="EA28" s="208"/>
      <c r="EB28" s="228">
        <v>454000000</v>
      </c>
      <c r="EC28" s="228">
        <v>0</v>
      </c>
      <c r="ED28" s="208">
        <v>49488.472222222226</v>
      </c>
      <c r="EE28" s="209">
        <v>3.924196035242291E-2</v>
      </c>
      <c r="EG28" s="228">
        <v>0</v>
      </c>
      <c r="EH28" s="208">
        <v>0</v>
      </c>
      <c r="EI28" s="209">
        <v>0</v>
      </c>
      <c r="EJ28" s="209"/>
      <c r="EK28" s="228">
        <v>454000000</v>
      </c>
      <c r="EL28" s="228">
        <v>0</v>
      </c>
      <c r="EM28" s="228">
        <v>49488.472222222219</v>
      </c>
      <c r="EN28" s="209">
        <v>3.9241960352422903E-2</v>
      </c>
      <c r="EP28" s="208"/>
    </row>
    <row r="29" spans="1:146" x14ac:dyDescent="0.25">
      <c r="A29" s="222">
        <v>46192</v>
      </c>
      <c r="B29" s="208">
        <v>0</v>
      </c>
      <c r="C29" s="209">
        <v>3.9237359999999999E-2</v>
      </c>
      <c r="D29" s="208">
        <v>0</v>
      </c>
      <c r="G29" s="208">
        <v>0</v>
      </c>
      <c r="J29" s="208">
        <v>0</v>
      </c>
      <c r="M29" s="208">
        <v>0</v>
      </c>
      <c r="P29" s="208">
        <v>0</v>
      </c>
      <c r="S29" s="208">
        <v>0</v>
      </c>
      <c r="V29" s="208">
        <v>0</v>
      </c>
      <c r="Y29" s="208">
        <v>0</v>
      </c>
      <c r="AB29" s="208">
        <v>0</v>
      </c>
      <c r="AE29" s="208">
        <v>0</v>
      </c>
      <c r="AH29" s="208">
        <v>0</v>
      </c>
      <c r="AI29" s="223">
        <v>159500000</v>
      </c>
      <c r="AJ29" s="224">
        <v>3.8800000000000001E-2</v>
      </c>
      <c r="AK29" s="208">
        <v>17190.555555555555</v>
      </c>
      <c r="AL29" s="223">
        <v>239500000</v>
      </c>
      <c r="AM29" s="224">
        <v>3.95E-2</v>
      </c>
      <c r="AN29" s="208">
        <v>26278.472222222223</v>
      </c>
      <c r="AO29" s="223">
        <v>55000000</v>
      </c>
      <c r="AP29" s="224">
        <v>3.9399999999999998E-2</v>
      </c>
      <c r="AQ29" s="208">
        <v>6019.4444444444443</v>
      </c>
      <c r="AR29" s="223"/>
      <c r="AS29" s="224"/>
      <c r="AT29" s="208">
        <v>0</v>
      </c>
      <c r="AW29" s="208">
        <v>0</v>
      </c>
      <c r="AZ29" s="208">
        <v>0</v>
      </c>
      <c r="BC29" s="208">
        <v>0</v>
      </c>
      <c r="BF29" s="208">
        <v>0</v>
      </c>
      <c r="BI29" s="208">
        <v>0</v>
      </c>
      <c r="BL29" s="208">
        <v>0</v>
      </c>
      <c r="BO29" s="208">
        <v>0</v>
      </c>
      <c r="BR29" s="208">
        <v>0</v>
      </c>
      <c r="BU29" s="208">
        <v>0</v>
      </c>
      <c r="BX29" s="208">
        <v>0</v>
      </c>
      <c r="CA29" s="208">
        <v>0</v>
      </c>
      <c r="CD29" s="208">
        <v>0</v>
      </c>
      <c r="CG29" s="208">
        <v>0</v>
      </c>
      <c r="CJ29" s="208">
        <v>0</v>
      </c>
      <c r="CM29" s="208">
        <v>0</v>
      </c>
      <c r="CP29" s="208">
        <v>0</v>
      </c>
      <c r="CS29" s="208">
        <v>0</v>
      </c>
      <c r="CV29" s="208">
        <v>0</v>
      </c>
      <c r="CY29" s="208">
        <v>0</v>
      </c>
      <c r="DB29" s="208">
        <v>0</v>
      </c>
      <c r="DE29" s="208">
        <v>0</v>
      </c>
      <c r="DH29" s="208">
        <v>0</v>
      </c>
      <c r="DK29" s="208">
        <v>0</v>
      </c>
      <c r="DN29" s="208">
        <v>0</v>
      </c>
      <c r="DQ29" s="208">
        <v>0</v>
      </c>
      <c r="DT29" s="208">
        <v>0</v>
      </c>
      <c r="DW29" s="208">
        <v>0</v>
      </c>
      <c r="DZ29" s="208"/>
      <c r="EA29" s="208"/>
      <c r="EB29" s="228">
        <v>454000000</v>
      </c>
      <c r="EC29" s="228">
        <v>0</v>
      </c>
      <c r="ED29" s="208">
        <v>49488.472222222226</v>
      </c>
      <c r="EE29" s="209">
        <v>3.924196035242291E-2</v>
      </c>
      <c r="EG29" s="228">
        <v>0</v>
      </c>
      <c r="EH29" s="208">
        <v>0</v>
      </c>
      <c r="EI29" s="209">
        <v>0</v>
      </c>
      <c r="EJ29" s="209"/>
      <c r="EK29" s="228">
        <v>454000000</v>
      </c>
      <c r="EL29" s="228">
        <v>0</v>
      </c>
      <c r="EM29" s="228">
        <v>49488.472222222219</v>
      </c>
      <c r="EN29" s="209">
        <v>3.9241960352422903E-2</v>
      </c>
      <c r="EP29" s="208"/>
    </row>
    <row r="30" spans="1:146" x14ac:dyDescent="0.25">
      <c r="A30" s="222">
        <v>46193</v>
      </c>
      <c r="B30" s="208">
        <v>0</v>
      </c>
      <c r="C30" s="209">
        <v>3.9237359999999999E-2</v>
      </c>
      <c r="D30" s="208">
        <v>0</v>
      </c>
      <c r="G30" s="208">
        <v>0</v>
      </c>
      <c r="J30" s="208">
        <v>0</v>
      </c>
      <c r="M30" s="208">
        <v>0</v>
      </c>
      <c r="P30" s="208">
        <v>0</v>
      </c>
      <c r="S30" s="208">
        <v>0</v>
      </c>
      <c r="V30" s="208">
        <v>0</v>
      </c>
      <c r="Y30" s="208">
        <v>0</v>
      </c>
      <c r="AB30" s="208">
        <v>0</v>
      </c>
      <c r="AE30" s="208">
        <v>0</v>
      </c>
      <c r="AH30" s="208">
        <v>0</v>
      </c>
      <c r="AI30" s="223">
        <v>159500000</v>
      </c>
      <c r="AJ30" s="224">
        <v>3.8800000000000001E-2</v>
      </c>
      <c r="AK30" s="208">
        <v>17190.555555555555</v>
      </c>
      <c r="AL30" s="223">
        <v>239500000</v>
      </c>
      <c r="AM30" s="224">
        <v>3.95E-2</v>
      </c>
      <c r="AN30" s="208">
        <v>26278.472222222223</v>
      </c>
      <c r="AO30" s="223">
        <v>55000000</v>
      </c>
      <c r="AP30" s="224">
        <v>3.9399999999999998E-2</v>
      </c>
      <c r="AQ30" s="208">
        <v>6019.4444444444443</v>
      </c>
      <c r="AR30" s="223"/>
      <c r="AS30" s="224"/>
      <c r="AT30" s="208">
        <v>0</v>
      </c>
      <c r="AW30" s="208">
        <v>0</v>
      </c>
      <c r="AZ30" s="208">
        <v>0</v>
      </c>
      <c r="BC30" s="208">
        <v>0</v>
      </c>
      <c r="BF30" s="208">
        <v>0</v>
      </c>
      <c r="BI30" s="208">
        <v>0</v>
      </c>
      <c r="BL30" s="208">
        <v>0</v>
      </c>
      <c r="BO30" s="208">
        <v>0</v>
      </c>
      <c r="BR30" s="208">
        <v>0</v>
      </c>
      <c r="BU30" s="208">
        <v>0</v>
      </c>
      <c r="BX30" s="208">
        <v>0</v>
      </c>
      <c r="CA30" s="208">
        <v>0</v>
      </c>
      <c r="CD30" s="208">
        <v>0</v>
      </c>
      <c r="CG30" s="208">
        <v>0</v>
      </c>
      <c r="CJ30" s="208">
        <v>0</v>
      </c>
      <c r="CM30" s="208">
        <v>0</v>
      </c>
      <c r="CP30" s="208">
        <v>0</v>
      </c>
      <c r="CS30" s="208">
        <v>0</v>
      </c>
      <c r="CV30" s="208">
        <v>0</v>
      </c>
      <c r="CY30" s="208">
        <v>0</v>
      </c>
      <c r="DB30" s="208">
        <v>0</v>
      </c>
      <c r="DE30" s="208">
        <v>0</v>
      </c>
      <c r="DH30" s="208">
        <v>0</v>
      </c>
      <c r="DK30" s="208">
        <v>0</v>
      </c>
      <c r="DN30" s="208">
        <v>0</v>
      </c>
      <c r="DQ30" s="208">
        <v>0</v>
      </c>
      <c r="DT30" s="208">
        <v>0</v>
      </c>
      <c r="DW30" s="208">
        <v>0</v>
      </c>
      <c r="DZ30" s="208"/>
      <c r="EA30" s="208"/>
      <c r="EB30" s="228">
        <v>454000000</v>
      </c>
      <c r="EC30" s="228">
        <v>0</v>
      </c>
      <c r="ED30" s="208">
        <v>49488.472222222226</v>
      </c>
      <c r="EE30" s="209">
        <v>3.924196035242291E-2</v>
      </c>
      <c r="EG30" s="228">
        <v>0</v>
      </c>
      <c r="EH30" s="208">
        <v>0</v>
      </c>
      <c r="EI30" s="209">
        <v>0</v>
      </c>
      <c r="EJ30" s="209"/>
      <c r="EK30" s="228">
        <v>454000000</v>
      </c>
      <c r="EL30" s="228">
        <v>0</v>
      </c>
      <c r="EM30" s="228">
        <v>49488.472222222219</v>
      </c>
      <c r="EN30" s="209">
        <v>3.9241960352422903E-2</v>
      </c>
      <c r="EP30" s="208"/>
    </row>
    <row r="31" spans="1:146" x14ac:dyDescent="0.25">
      <c r="A31" s="222">
        <v>46194</v>
      </c>
      <c r="B31" s="208">
        <v>0</v>
      </c>
      <c r="C31" s="209">
        <v>3.9237359999999999E-2</v>
      </c>
      <c r="D31" s="208">
        <v>0</v>
      </c>
      <c r="G31" s="208">
        <v>0</v>
      </c>
      <c r="J31" s="208">
        <v>0</v>
      </c>
      <c r="M31" s="208">
        <v>0</v>
      </c>
      <c r="P31" s="208">
        <v>0</v>
      </c>
      <c r="S31" s="208">
        <v>0</v>
      </c>
      <c r="V31" s="208">
        <v>0</v>
      </c>
      <c r="Y31" s="208">
        <v>0</v>
      </c>
      <c r="AB31" s="208">
        <v>0</v>
      </c>
      <c r="AE31" s="208">
        <v>0</v>
      </c>
      <c r="AH31" s="208">
        <v>0</v>
      </c>
      <c r="AI31" s="223">
        <v>159500000</v>
      </c>
      <c r="AJ31" s="224">
        <v>3.8800000000000001E-2</v>
      </c>
      <c r="AK31" s="208">
        <v>17190.555555555555</v>
      </c>
      <c r="AL31" s="223">
        <v>239500000</v>
      </c>
      <c r="AM31" s="224">
        <v>3.95E-2</v>
      </c>
      <c r="AN31" s="208">
        <v>26278.472222222223</v>
      </c>
      <c r="AO31" s="223">
        <v>55000000</v>
      </c>
      <c r="AP31" s="224">
        <v>3.9399999999999998E-2</v>
      </c>
      <c r="AQ31" s="208">
        <v>6019.4444444444443</v>
      </c>
      <c r="AR31" s="223"/>
      <c r="AS31" s="224"/>
      <c r="AT31" s="208">
        <v>0</v>
      </c>
      <c r="AW31" s="208">
        <v>0</v>
      </c>
      <c r="AZ31" s="208">
        <v>0</v>
      </c>
      <c r="BC31" s="208">
        <v>0</v>
      </c>
      <c r="BF31" s="208">
        <v>0</v>
      </c>
      <c r="BI31" s="208">
        <v>0</v>
      </c>
      <c r="BL31" s="208">
        <v>0</v>
      </c>
      <c r="BO31" s="208">
        <v>0</v>
      </c>
      <c r="BR31" s="208">
        <v>0</v>
      </c>
      <c r="BU31" s="208">
        <v>0</v>
      </c>
      <c r="BX31" s="208">
        <v>0</v>
      </c>
      <c r="CA31" s="208">
        <v>0</v>
      </c>
      <c r="CD31" s="208">
        <v>0</v>
      </c>
      <c r="CG31" s="208">
        <v>0</v>
      </c>
      <c r="CJ31" s="208">
        <v>0</v>
      </c>
      <c r="CM31" s="208">
        <v>0</v>
      </c>
      <c r="CP31" s="208">
        <v>0</v>
      </c>
      <c r="CS31" s="208">
        <v>0</v>
      </c>
      <c r="CV31" s="208">
        <v>0</v>
      </c>
      <c r="CY31" s="208">
        <v>0</v>
      </c>
      <c r="DB31" s="208">
        <v>0</v>
      </c>
      <c r="DE31" s="208">
        <v>0</v>
      </c>
      <c r="DH31" s="208">
        <v>0</v>
      </c>
      <c r="DK31" s="208">
        <v>0</v>
      </c>
      <c r="DN31" s="208">
        <v>0</v>
      </c>
      <c r="DQ31" s="208">
        <v>0</v>
      </c>
      <c r="DT31" s="208">
        <v>0</v>
      </c>
      <c r="DW31" s="208">
        <v>0</v>
      </c>
      <c r="DZ31" s="208"/>
      <c r="EA31" s="208"/>
      <c r="EB31" s="228">
        <v>454000000</v>
      </c>
      <c r="EC31" s="228">
        <v>0</v>
      </c>
      <c r="ED31" s="208">
        <v>49488.472222222226</v>
      </c>
      <c r="EE31" s="209">
        <v>3.924196035242291E-2</v>
      </c>
      <c r="EG31" s="228">
        <v>0</v>
      </c>
      <c r="EH31" s="208">
        <v>0</v>
      </c>
      <c r="EI31" s="209">
        <v>0</v>
      </c>
      <c r="EJ31" s="209"/>
      <c r="EK31" s="228">
        <v>454000000</v>
      </c>
      <c r="EL31" s="228">
        <v>0</v>
      </c>
      <c r="EM31" s="228">
        <v>49488.472222222219</v>
      </c>
      <c r="EN31" s="209">
        <v>3.9241960352422903E-2</v>
      </c>
      <c r="EP31" s="208"/>
    </row>
    <row r="32" spans="1:146" x14ac:dyDescent="0.25">
      <c r="A32" s="222">
        <v>46195</v>
      </c>
      <c r="B32" s="208">
        <v>0</v>
      </c>
      <c r="C32" s="209">
        <v>3.9170989999999996E-2</v>
      </c>
      <c r="D32" s="208">
        <v>0</v>
      </c>
      <c r="G32" s="208">
        <v>0</v>
      </c>
      <c r="J32" s="208">
        <v>0</v>
      </c>
      <c r="M32" s="208">
        <v>0</v>
      </c>
      <c r="P32" s="208">
        <v>0</v>
      </c>
      <c r="S32" s="208">
        <v>0</v>
      </c>
      <c r="V32" s="208">
        <v>0</v>
      </c>
      <c r="Y32" s="208">
        <v>0</v>
      </c>
      <c r="AB32" s="208">
        <v>0</v>
      </c>
      <c r="AE32" s="208">
        <v>0</v>
      </c>
      <c r="AH32" s="208">
        <v>0</v>
      </c>
      <c r="AI32" s="223">
        <v>264595000</v>
      </c>
      <c r="AJ32" s="224">
        <v>3.8800000000000001E-2</v>
      </c>
      <c r="AK32" s="208">
        <v>28517.461111111112</v>
      </c>
      <c r="AL32" s="223">
        <v>130000000</v>
      </c>
      <c r="AM32" s="224">
        <v>3.95E-2</v>
      </c>
      <c r="AN32" s="208">
        <v>14263.888888888889</v>
      </c>
      <c r="AO32" s="223">
        <v>78080000</v>
      </c>
      <c r="AP32" s="224">
        <v>3.9399999999999998E-2</v>
      </c>
      <c r="AQ32" s="208">
        <v>8545.4222222222215</v>
      </c>
      <c r="AR32" s="223"/>
      <c r="AS32" s="224"/>
      <c r="AT32" s="208">
        <v>0</v>
      </c>
      <c r="AW32" s="208">
        <v>0</v>
      </c>
      <c r="AZ32" s="208">
        <v>0</v>
      </c>
      <c r="BC32" s="208">
        <v>0</v>
      </c>
      <c r="BF32" s="208">
        <v>0</v>
      </c>
      <c r="BI32" s="208">
        <v>0</v>
      </c>
      <c r="BL32" s="208">
        <v>0</v>
      </c>
      <c r="BO32" s="208">
        <v>0</v>
      </c>
      <c r="BR32" s="208">
        <v>0</v>
      </c>
      <c r="BU32" s="208">
        <v>0</v>
      </c>
      <c r="BX32" s="208">
        <v>0</v>
      </c>
      <c r="CA32" s="208">
        <v>0</v>
      </c>
      <c r="CD32" s="208">
        <v>0</v>
      </c>
      <c r="CG32" s="208">
        <v>0</v>
      </c>
      <c r="CJ32" s="208">
        <v>0</v>
      </c>
      <c r="CM32" s="208">
        <v>0</v>
      </c>
      <c r="CP32" s="208">
        <v>0</v>
      </c>
      <c r="CS32" s="208">
        <v>0</v>
      </c>
      <c r="CV32" s="208">
        <v>0</v>
      </c>
      <c r="CY32" s="208">
        <v>0</v>
      </c>
      <c r="DB32" s="208">
        <v>0</v>
      </c>
      <c r="DE32" s="208">
        <v>0</v>
      </c>
      <c r="DH32" s="208">
        <v>0</v>
      </c>
      <c r="DK32" s="208">
        <v>0</v>
      </c>
      <c r="DN32" s="208">
        <v>0</v>
      </c>
      <c r="DQ32" s="208">
        <v>0</v>
      </c>
      <c r="DT32" s="208">
        <v>0</v>
      </c>
      <c r="DW32" s="208">
        <v>0</v>
      </c>
      <c r="DZ32" s="208"/>
      <c r="EA32" s="208"/>
      <c r="EB32" s="228">
        <v>472675000</v>
      </c>
      <c r="EC32" s="228">
        <v>0</v>
      </c>
      <c r="ED32" s="208">
        <v>51326.772222222222</v>
      </c>
      <c r="EE32" s="209">
        <v>3.9091633786428312E-2</v>
      </c>
      <c r="EG32" s="228">
        <v>0</v>
      </c>
      <c r="EH32" s="208">
        <v>0</v>
      </c>
      <c r="EI32" s="209">
        <v>0</v>
      </c>
      <c r="EJ32" s="209"/>
      <c r="EK32" s="228">
        <v>472675000</v>
      </c>
      <c r="EL32" s="228">
        <v>0</v>
      </c>
      <c r="EM32" s="228">
        <v>51326.772222222222</v>
      </c>
      <c r="EN32" s="209">
        <v>3.9091633786428312E-2</v>
      </c>
      <c r="EP32" s="208"/>
    </row>
    <row r="33" spans="1:146" x14ac:dyDescent="0.25">
      <c r="A33" s="222">
        <v>46196</v>
      </c>
      <c r="B33" s="208">
        <v>0</v>
      </c>
      <c r="C33" s="209">
        <v>3.9291619999999999E-2</v>
      </c>
      <c r="D33" s="208">
        <v>0</v>
      </c>
      <c r="G33" s="208">
        <v>0</v>
      </c>
      <c r="J33" s="208">
        <v>0</v>
      </c>
      <c r="M33" s="208">
        <v>0</v>
      </c>
      <c r="P33" s="208">
        <v>0</v>
      </c>
      <c r="S33" s="208">
        <v>0</v>
      </c>
      <c r="V33" s="208">
        <v>0</v>
      </c>
      <c r="Y33" s="208">
        <v>0</v>
      </c>
      <c r="AB33" s="208">
        <v>0</v>
      </c>
      <c r="AE33" s="208">
        <v>0</v>
      </c>
      <c r="AH33" s="208">
        <v>0</v>
      </c>
      <c r="AI33" s="223">
        <v>313175000</v>
      </c>
      <c r="AJ33" s="224">
        <v>3.8800000000000001E-2</v>
      </c>
      <c r="AK33" s="208">
        <v>33753.305555555555</v>
      </c>
      <c r="AL33" s="223"/>
      <c r="AM33" s="224"/>
      <c r="AN33" s="208">
        <v>0</v>
      </c>
      <c r="AO33" s="223">
        <v>163780000</v>
      </c>
      <c r="AP33" s="224">
        <v>3.9399999999999998E-2</v>
      </c>
      <c r="AQ33" s="208">
        <v>17924.81111111111</v>
      </c>
      <c r="AR33" s="223"/>
      <c r="AS33" s="224"/>
      <c r="AT33" s="208">
        <v>0</v>
      </c>
      <c r="AW33" s="208">
        <v>0</v>
      </c>
      <c r="AZ33" s="208">
        <v>0</v>
      </c>
      <c r="BC33" s="208">
        <v>0</v>
      </c>
      <c r="BF33" s="208">
        <v>0</v>
      </c>
      <c r="BI33" s="208">
        <v>0</v>
      </c>
      <c r="BL33" s="208">
        <v>0</v>
      </c>
      <c r="BO33" s="208">
        <v>0</v>
      </c>
      <c r="BR33" s="208">
        <v>0</v>
      </c>
      <c r="BU33" s="208">
        <v>0</v>
      </c>
      <c r="BX33" s="208">
        <v>0</v>
      </c>
      <c r="CA33" s="208">
        <v>0</v>
      </c>
      <c r="CD33" s="208">
        <v>0</v>
      </c>
      <c r="CG33" s="208">
        <v>0</v>
      </c>
      <c r="CJ33" s="208">
        <v>0</v>
      </c>
      <c r="CM33" s="208">
        <v>0</v>
      </c>
      <c r="CP33" s="208">
        <v>0</v>
      </c>
      <c r="CS33" s="208">
        <v>0</v>
      </c>
      <c r="CV33" s="208">
        <v>0</v>
      </c>
      <c r="CY33" s="208">
        <v>0</v>
      </c>
      <c r="DB33" s="208">
        <v>0</v>
      </c>
      <c r="DE33" s="208">
        <v>0</v>
      </c>
      <c r="DH33" s="208">
        <v>0</v>
      </c>
      <c r="DK33" s="208">
        <v>0</v>
      </c>
      <c r="DN33" s="208">
        <v>0</v>
      </c>
      <c r="DQ33" s="208">
        <v>0</v>
      </c>
      <c r="DT33" s="208">
        <v>0</v>
      </c>
      <c r="DW33" s="208">
        <v>0</v>
      </c>
      <c r="DZ33" s="208"/>
      <c r="EA33" s="208"/>
      <c r="EB33" s="228">
        <v>476955000</v>
      </c>
      <c r="EC33" s="228">
        <v>0</v>
      </c>
      <c r="ED33" s="208">
        <v>51678.116666666669</v>
      </c>
      <c r="EE33" s="209">
        <v>3.9006032015598956E-2</v>
      </c>
      <c r="EG33" s="228">
        <v>0</v>
      </c>
      <c r="EH33" s="208">
        <v>0</v>
      </c>
      <c r="EI33" s="209">
        <v>0</v>
      </c>
      <c r="EJ33" s="209"/>
      <c r="EK33" s="228">
        <v>476955000</v>
      </c>
      <c r="EL33" s="228">
        <v>0</v>
      </c>
      <c r="EM33" s="228">
        <v>51678.116666666669</v>
      </c>
      <c r="EN33" s="209">
        <v>3.9006032015598956E-2</v>
      </c>
      <c r="EP33" s="208"/>
    </row>
    <row r="34" spans="1:146" x14ac:dyDescent="0.25">
      <c r="A34" s="222">
        <v>46197</v>
      </c>
      <c r="B34" s="208">
        <v>0</v>
      </c>
      <c r="C34" s="209">
        <v>3.9213460000000006E-2</v>
      </c>
      <c r="D34" s="208">
        <v>0</v>
      </c>
      <c r="G34" s="208">
        <v>0</v>
      </c>
      <c r="J34" s="208">
        <v>0</v>
      </c>
      <c r="M34" s="208">
        <v>0</v>
      </c>
      <c r="P34" s="208">
        <v>0</v>
      </c>
      <c r="S34" s="208">
        <v>0</v>
      </c>
      <c r="V34" s="208">
        <v>0</v>
      </c>
      <c r="Y34" s="208">
        <v>0</v>
      </c>
      <c r="AB34" s="208">
        <v>0</v>
      </c>
      <c r="AE34" s="208">
        <v>0</v>
      </c>
      <c r="AH34" s="208">
        <v>0</v>
      </c>
      <c r="AI34" s="223">
        <v>312175000</v>
      </c>
      <c r="AJ34" s="224">
        <v>3.8800000000000001E-2</v>
      </c>
      <c r="AK34" s="208">
        <v>33645.527777777781</v>
      </c>
      <c r="AL34" s="223"/>
      <c r="AM34" s="224"/>
      <c r="AN34" s="208">
        <v>0</v>
      </c>
      <c r="AO34" s="223">
        <v>163780000</v>
      </c>
      <c r="AP34" s="224">
        <v>3.9399999999999998E-2</v>
      </c>
      <c r="AQ34" s="208">
        <v>17924.81111111111</v>
      </c>
      <c r="AR34" s="223"/>
      <c r="AS34" s="224"/>
      <c r="AT34" s="208">
        <v>0</v>
      </c>
      <c r="AW34" s="208">
        <v>0</v>
      </c>
      <c r="AZ34" s="208">
        <v>0</v>
      </c>
      <c r="BC34" s="208">
        <v>0</v>
      </c>
      <c r="BF34" s="208">
        <v>0</v>
      </c>
      <c r="BI34" s="208">
        <v>0</v>
      </c>
      <c r="BL34" s="208">
        <v>0</v>
      </c>
      <c r="BO34" s="208">
        <v>0</v>
      </c>
      <c r="BR34" s="208">
        <v>0</v>
      </c>
      <c r="BU34" s="208">
        <v>0</v>
      </c>
      <c r="BX34" s="208">
        <v>0</v>
      </c>
      <c r="CA34" s="208">
        <v>0</v>
      </c>
      <c r="CD34" s="208">
        <v>0</v>
      </c>
      <c r="CG34" s="208">
        <v>0</v>
      </c>
      <c r="CJ34" s="208">
        <v>0</v>
      </c>
      <c r="CM34" s="208">
        <v>0</v>
      </c>
      <c r="CP34" s="208">
        <v>0</v>
      </c>
      <c r="CS34" s="208">
        <v>0</v>
      </c>
      <c r="CV34" s="208">
        <v>0</v>
      </c>
      <c r="CY34" s="208">
        <v>0</v>
      </c>
      <c r="DB34" s="208">
        <v>0</v>
      </c>
      <c r="DE34" s="208">
        <v>0</v>
      </c>
      <c r="DH34" s="208">
        <v>0</v>
      </c>
      <c r="DK34" s="208">
        <v>0</v>
      </c>
      <c r="DN34" s="208">
        <v>0</v>
      </c>
      <c r="DQ34" s="208">
        <v>0</v>
      </c>
      <c r="DT34" s="208">
        <v>0</v>
      </c>
      <c r="DW34" s="208">
        <v>0</v>
      </c>
      <c r="DZ34" s="208"/>
      <c r="EA34" s="208"/>
      <c r="EB34" s="228">
        <v>475955000</v>
      </c>
      <c r="EC34" s="228">
        <v>0</v>
      </c>
      <c r="ED34" s="208">
        <v>51570.338888888888</v>
      </c>
      <c r="EE34" s="209">
        <v>3.900646489689151E-2</v>
      </c>
      <c r="EG34" s="228">
        <v>0</v>
      </c>
      <c r="EH34" s="208">
        <v>0</v>
      </c>
      <c r="EI34" s="209">
        <v>0</v>
      </c>
      <c r="EJ34" s="209"/>
      <c r="EK34" s="228">
        <v>475955000</v>
      </c>
      <c r="EL34" s="228">
        <v>0</v>
      </c>
      <c r="EM34" s="228">
        <v>51570.338888888888</v>
      </c>
      <c r="EN34" s="209">
        <v>3.900646489689151E-2</v>
      </c>
      <c r="EP34" s="208"/>
    </row>
    <row r="35" spans="1:146" x14ac:dyDescent="0.25">
      <c r="A35" s="222">
        <v>46198</v>
      </c>
      <c r="B35" s="208">
        <v>0</v>
      </c>
      <c r="C35" s="209">
        <v>3.9178890000000001E-2</v>
      </c>
      <c r="D35" s="208">
        <v>0</v>
      </c>
      <c r="G35" s="208">
        <v>0</v>
      </c>
      <c r="J35" s="208">
        <v>0</v>
      </c>
      <c r="M35" s="208">
        <v>0</v>
      </c>
      <c r="P35" s="208">
        <v>0</v>
      </c>
      <c r="S35" s="208">
        <v>0</v>
      </c>
      <c r="V35" s="208">
        <v>0</v>
      </c>
      <c r="Y35" s="208">
        <v>0</v>
      </c>
      <c r="AB35" s="208">
        <v>0</v>
      </c>
      <c r="AE35" s="208">
        <v>0</v>
      </c>
      <c r="AH35" s="208">
        <v>0</v>
      </c>
      <c r="AI35" s="223">
        <v>426200000</v>
      </c>
      <c r="AJ35" s="224">
        <v>3.8800000000000001E-2</v>
      </c>
      <c r="AK35" s="208">
        <v>45934.888888888891</v>
      </c>
      <c r="AL35" s="223"/>
      <c r="AM35" s="224"/>
      <c r="AN35" s="208">
        <v>0</v>
      </c>
      <c r="AO35" s="223">
        <v>108780000</v>
      </c>
      <c r="AP35" s="224">
        <v>3.9399999999999998E-2</v>
      </c>
      <c r="AQ35" s="208">
        <v>11905.366666666667</v>
      </c>
      <c r="AR35" s="223"/>
      <c r="AS35" s="224"/>
      <c r="AT35" s="208">
        <v>0</v>
      </c>
      <c r="AW35" s="208">
        <v>0</v>
      </c>
      <c r="AZ35" s="208">
        <v>0</v>
      </c>
      <c r="BC35" s="208">
        <v>0</v>
      </c>
      <c r="BF35" s="208">
        <v>0</v>
      </c>
      <c r="BI35" s="208">
        <v>0</v>
      </c>
      <c r="BL35" s="208">
        <v>0</v>
      </c>
      <c r="BO35" s="208">
        <v>0</v>
      </c>
      <c r="BR35" s="208">
        <v>0</v>
      </c>
      <c r="BU35" s="208">
        <v>0</v>
      </c>
      <c r="BX35" s="208">
        <v>0</v>
      </c>
      <c r="CA35" s="208">
        <v>0</v>
      </c>
      <c r="CD35" s="208">
        <v>0</v>
      </c>
      <c r="CG35" s="208">
        <v>0</v>
      </c>
      <c r="CJ35" s="208">
        <v>0</v>
      </c>
      <c r="CM35" s="208">
        <v>0</v>
      </c>
      <c r="CP35" s="208">
        <v>0</v>
      </c>
      <c r="CS35" s="208">
        <v>0</v>
      </c>
      <c r="CV35" s="208">
        <v>0</v>
      </c>
      <c r="CY35" s="208">
        <v>0</v>
      </c>
      <c r="DB35" s="208">
        <v>0</v>
      </c>
      <c r="DE35" s="208">
        <v>0</v>
      </c>
      <c r="DH35" s="208">
        <v>0</v>
      </c>
      <c r="DK35" s="208">
        <v>0</v>
      </c>
      <c r="DN35" s="208">
        <v>0</v>
      </c>
      <c r="DQ35" s="208">
        <v>0</v>
      </c>
      <c r="DT35" s="208">
        <v>0</v>
      </c>
      <c r="DW35" s="208">
        <v>0</v>
      </c>
      <c r="DZ35" s="208"/>
      <c r="EA35" s="208"/>
      <c r="EB35" s="228">
        <v>534980000</v>
      </c>
      <c r="EC35" s="228">
        <v>0</v>
      </c>
      <c r="ED35" s="208">
        <v>57840.255555555559</v>
      </c>
      <c r="EE35" s="209">
        <v>3.892200082246066E-2</v>
      </c>
      <c r="EG35" s="228">
        <v>0</v>
      </c>
      <c r="EH35" s="208">
        <v>0</v>
      </c>
      <c r="EI35" s="209">
        <v>0</v>
      </c>
      <c r="EJ35" s="209"/>
      <c r="EK35" s="228">
        <v>534980000</v>
      </c>
      <c r="EL35" s="228">
        <v>0</v>
      </c>
      <c r="EM35" s="228">
        <v>57840.255555555559</v>
      </c>
      <c r="EN35" s="209">
        <v>3.892200082246066E-2</v>
      </c>
      <c r="EP35" s="208"/>
    </row>
    <row r="36" spans="1:146" x14ac:dyDescent="0.25">
      <c r="A36" s="222">
        <v>46199</v>
      </c>
      <c r="B36" s="208">
        <v>0</v>
      </c>
      <c r="C36" s="209">
        <v>3.9142499999999997E-2</v>
      </c>
      <c r="D36" s="208">
        <v>0</v>
      </c>
      <c r="G36" s="208">
        <v>0</v>
      </c>
      <c r="J36" s="208">
        <v>0</v>
      </c>
      <c r="M36" s="208">
        <v>0</v>
      </c>
      <c r="P36" s="208">
        <v>0</v>
      </c>
      <c r="S36" s="208">
        <v>0</v>
      </c>
      <c r="V36" s="208">
        <v>0</v>
      </c>
      <c r="Y36" s="208">
        <v>0</v>
      </c>
      <c r="AB36" s="208">
        <v>0</v>
      </c>
      <c r="AE36" s="208">
        <v>0</v>
      </c>
      <c r="AH36" s="208">
        <v>0</v>
      </c>
      <c r="AI36" s="223">
        <v>474450000</v>
      </c>
      <c r="AJ36" s="224">
        <v>3.8800000000000001E-2</v>
      </c>
      <c r="AK36" s="208">
        <v>51135.166666666664</v>
      </c>
      <c r="AL36" s="223"/>
      <c r="AM36" s="224"/>
      <c r="AN36" s="208">
        <v>0</v>
      </c>
      <c r="AO36" s="223">
        <v>108780000</v>
      </c>
      <c r="AP36" s="224">
        <v>3.9399999999999998E-2</v>
      </c>
      <c r="AQ36" s="208">
        <v>11905.366666666667</v>
      </c>
      <c r="AR36" s="223"/>
      <c r="AS36" s="224"/>
      <c r="AT36" s="208">
        <v>0</v>
      </c>
      <c r="AW36" s="208">
        <v>0</v>
      </c>
      <c r="AZ36" s="208">
        <v>0</v>
      </c>
      <c r="BC36" s="208">
        <v>0</v>
      </c>
      <c r="BF36" s="208">
        <v>0</v>
      </c>
      <c r="BI36" s="208">
        <v>0</v>
      </c>
      <c r="BL36" s="208">
        <v>0</v>
      </c>
      <c r="BO36" s="208">
        <v>0</v>
      </c>
      <c r="BR36" s="208">
        <v>0</v>
      </c>
      <c r="BU36" s="208">
        <v>0</v>
      </c>
      <c r="BX36" s="208">
        <v>0</v>
      </c>
      <c r="CA36" s="208">
        <v>0</v>
      </c>
      <c r="CD36" s="208">
        <v>0</v>
      </c>
      <c r="CG36" s="208">
        <v>0</v>
      </c>
      <c r="CJ36" s="208">
        <v>0</v>
      </c>
      <c r="CM36" s="208">
        <v>0</v>
      </c>
      <c r="CP36" s="208">
        <v>0</v>
      </c>
      <c r="CS36" s="208">
        <v>0</v>
      </c>
      <c r="CV36" s="208">
        <v>0</v>
      </c>
      <c r="CY36" s="208">
        <v>0</v>
      </c>
      <c r="DB36" s="208">
        <v>0</v>
      </c>
      <c r="DE36" s="208">
        <v>0</v>
      </c>
      <c r="DH36" s="208">
        <v>0</v>
      </c>
      <c r="DK36" s="208">
        <v>0</v>
      </c>
      <c r="DN36" s="208">
        <v>0</v>
      </c>
      <c r="DQ36" s="208">
        <v>0</v>
      </c>
      <c r="DT36" s="208">
        <v>0</v>
      </c>
      <c r="DW36" s="208">
        <v>0</v>
      </c>
      <c r="DZ36" s="208"/>
      <c r="EA36" s="208"/>
      <c r="EB36" s="228">
        <v>583230000</v>
      </c>
      <c r="EC36" s="228">
        <v>0</v>
      </c>
      <c r="ED36" s="208">
        <v>63040.533333333333</v>
      </c>
      <c r="EE36" s="209">
        <v>3.891190782367162E-2</v>
      </c>
      <c r="EG36" s="228">
        <v>0</v>
      </c>
      <c r="EH36" s="208">
        <v>0</v>
      </c>
      <c r="EI36" s="209">
        <v>0</v>
      </c>
      <c r="EJ36" s="209"/>
      <c r="EK36" s="228">
        <v>583230000</v>
      </c>
      <c r="EL36" s="228">
        <v>0</v>
      </c>
      <c r="EM36" s="228">
        <v>63040.533333333333</v>
      </c>
      <c r="EN36" s="209">
        <v>3.891190782367162E-2</v>
      </c>
      <c r="EP36" s="208"/>
    </row>
    <row r="37" spans="1:146" x14ac:dyDescent="0.25">
      <c r="A37" s="222">
        <v>46200</v>
      </c>
      <c r="B37" s="208">
        <v>0</v>
      </c>
      <c r="C37" s="209">
        <v>3.9142499999999997E-2</v>
      </c>
      <c r="D37" s="208">
        <v>0</v>
      </c>
      <c r="G37" s="208">
        <v>0</v>
      </c>
      <c r="J37" s="208">
        <v>0</v>
      </c>
      <c r="M37" s="208">
        <v>0</v>
      </c>
      <c r="P37" s="208">
        <v>0</v>
      </c>
      <c r="S37" s="208">
        <v>0</v>
      </c>
      <c r="V37" s="208">
        <v>0</v>
      </c>
      <c r="Y37" s="208">
        <v>0</v>
      </c>
      <c r="AB37" s="208">
        <v>0</v>
      </c>
      <c r="AE37" s="208">
        <v>0</v>
      </c>
      <c r="AH37" s="208">
        <v>0</v>
      </c>
      <c r="AI37" s="223">
        <v>474450000</v>
      </c>
      <c r="AJ37" s="224">
        <v>3.8800000000000001E-2</v>
      </c>
      <c r="AK37" s="208">
        <v>51135.166666666664</v>
      </c>
      <c r="AL37" s="223"/>
      <c r="AM37" s="224"/>
      <c r="AN37" s="208">
        <v>0</v>
      </c>
      <c r="AO37" s="223">
        <v>108780000</v>
      </c>
      <c r="AP37" s="224">
        <v>3.9399999999999998E-2</v>
      </c>
      <c r="AQ37" s="208">
        <v>11905.366666666667</v>
      </c>
      <c r="AR37" s="223"/>
      <c r="AS37" s="224"/>
      <c r="AT37" s="208">
        <v>0</v>
      </c>
      <c r="AW37" s="208">
        <v>0</v>
      </c>
      <c r="AZ37" s="208">
        <v>0</v>
      </c>
      <c r="BC37" s="208">
        <v>0</v>
      </c>
      <c r="BF37" s="208">
        <v>0</v>
      </c>
      <c r="BI37" s="208">
        <v>0</v>
      </c>
      <c r="BL37" s="208">
        <v>0</v>
      </c>
      <c r="BO37" s="208">
        <v>0</v>
      </c>
      <c r="BR37" s="208">
        <v>0</v>
      </c>
      <c r="BU37" s="208">
        <v>0</v>
      </c>
      <c r="BX37" s="208">
        <v>0</v>
      </c>
      <c r="CA37" s="208">
        <v>0</v>
      </c>
      <c r="CD37" s="208">
        <v>0</v>
      </c>
      <c r="CG37" s="208">
        <v>0</v>
      </c>
      <c r="CJ37" s="208">
        <v>0</v>
      </c>
      <c r="CM37" s="208">
        <v>0</v>
      </c>
      <c r="CP37" s="208">
        <v>0</v>
      </c>
      <c r="CS37" s="208">
        <v>0</v>
      </c>
      <c r="CV37" s="208">
        <v>0</v>
      </c>
      <c r="CY37" s="208">
        <v>0</v>
      </c>
      <c r="DB37" s="208">
        <v>0</v>
      </c>
      <c r="DE37" s="208">
        <v>0</v>
      </c>
      <c r="DH37" s="208">
        <v>0</v>
      </c>
      <c r="DK37" s="208">
        <v>0</v>
      </c>
      <c r="DN37" s="208">
        <v>0</v>
      </c>
      <c r="DQ37" s="208">
        <v>0</v>
      </c>
      <c r="DT37" s="208">
        <v>0</v>
      </c>
      <c r="DW37" s="208">
        <v>0</v>
      </c>
      <c r="DZ37" s="208"/>
      <c r="EA37" s="208"/>
      <c r="EB37" s="228">
        <v>583230000</v>
      </c>
      <c r="EC37" s="228">
        <v>0</v>
      </c>
      <c r="ED37" s="208">
        <v>63040.533333333333</v>
      </c>
      <c r="EE37" s="209">
        <v>3.891190782367162E-2</v>
      </c>
      <c r="EG37" s="228">
        <v>0</v>
      </c>
      <c r="EH37" s="208">
        <v>0</v>
      </c>
      <c r="EI37" s="209">
        <v>0</v>
      </c>
      <c r="EJ37" s="209"/>
      <c r="EK37" s="228">
        <v>583230000</v>
      </c>
      <c r="EL37" s="228">
        <v>0</v>
      </c>
      <c r="EM37" s="228">
        <v>63040.533333333333</v>
      </c>
      <c r="EN37" s="209">
        <v>3.891190782367162E-2</v>
      </c>
      <c r="EP37" s="208"/>
    </row>
    <row r="38" spans="1:146" x14ac:dyDescent="0.25">
      <c r="A38" s="222">
        <v>46201</v>
      </c>
      <c r="B38" s="208">
        <v>0</v>
      </c>
      <c r="C38" s="209">
        <v>3.9142499999999997E-2</v>
      </c>
      <c r="D38" s="208">
        <v>0</v>
      </c>
      <c r="G38" s="208">
        <v>0</v>
      </c>
      <c r="J38" s="208">
        <v>0</v>
      </c>
      <c r="M38" s="208">
        <v>0</v>
      </c>
      <c r="P38" s="208">
        <v>0</v>
      </c>
      <c r="S38" s="208">
        <v>0</v>
      </c>
      <c r="V38" s="208">
        <v>0</v>
      </c>
      <c r="Y38" s="208">
        <v>0</v>
      </c>
      <c r="AB38" s="208">
        <v>0</v>
      </c>
      <c r="AE38" s="208">
        <v>0</v>
      </c>
      <c r="AH38" s="208">
        <v>0</v>
      </c>
      <c r="AI38" s="223">
        <v>474450000</v>
      </c>
      <c r="AJ38" s="224">
        <v>3.8800000000000001E-2</v>
      </c>
      <c r="AK38" s="208">
        <v>51135.166666666664</v>
      </c>
      <c r="AL38" s="223"/>
      <c r="AM38" s="224"/>
      <c r="AN38" s="208">
        <v>0</v>
      </c>
      <c r="AO38" s="223">
        <v>108780000</v>
      </c>
      <c r="AP38" s="224">
        <v>3.9399999999999998E-2</v>
      </c>
      <c r="AQ38" s="208">
        <v>11905.366666666667</v>
      </c>
      <c r="AR38" s="223"/>
      <c r="AS38" s="224"/>
      <c r="AT38" s="208">
        <v>0</v>
      </c>
      <c r="AW38" s="208">
        <v>0</v>
      </c>
      <c r="AZ38" s="208">
        <v>0</v>
      </c>
      <c r="BC38" s="208">
        <v>0</v>
      </c>
      <c r="BF38" s="208">
        <v>0</v>
      </c>
      <c r="BI38" s="208">
        <v>0</v>
      </c>
      <c r="BL38" s="208">
        <v>0</v>
      </c>
      <c r="BO38" s="208">
        <v>0</v>
      </c>
      <c r="BR38" s="208">
        <v>0</v>
      </c>
      <c r="BU38" s="208">
        <v>0</v>
      </c>
      <c r="BX38" s="208">
        <v>0</v>
      </c>
      <c r="CA38" s="208">
        <v>0</v>
      </c>
      <c r="CD38" s="208">
        <v>0</v>
      </c>
      <c r="CG38" s="208">
        <v>0</v>
      </c>
      <c r="CJ38" s="208">
        <v>0</v>
      </c>
      <c r="CM38" s="208">
        <v>0</v>
      </c>
      <c r="CP38" s="208">
        <v>0</v>
      </c>
      <c r="CS38" s="208">
        <v>0</v>
      </c>
      <c r="CV38" s="208">
        <v>0</v>
      </c>
      <c r="CY38" s="208">
        <v>0</v>
      </c>
      <c r="DB38" s="208">
        <v>0</v>
      </c>
      <c r="DE38" s="208">
        <v>0</v>
      </c>
      <c r="DH38" s="208">
        <v>0</v>
      </c>
      <c r="DK38" s="208">
        <v>0</v>
      </c>
      <c r="DN38" s="208">
        <v>0</v>
      </c>
      <c r="DQ38" s="208">
        <v>0</v>
      </c>
      <c r="DT38" s="208">
        <v>0</v>
      </c>
      <c r="DW38" s="208">
        <v>0</v>
      </c>
      <c r="DZ38" s="208"/>
      <c r="EA38" s="208"/>
      <c r="EB38" s="228">
        <v>583230000</v>
      </c>
      <c r="EC38" s="228">
        <v>0</v>
      </c>
      <c r="ED38" s="208">
        <v>63040.533333333333</v>
      </c>
      <c r="EE38" s="209">
        <v>3.891190782367162E-2</v>
      </c>
      <c r="EG38" s="228">
        <v>0</v>
      </c>
      <c r="EH38" s="208">
        <v>0</v>
      </c>
      <c r="EI38" s="209">
        <v>0</v>
      </c>
      <c r="EJ38" s="209"/>
      <c r="EK38" s="228">
        <v>583230000</v>
      </c>
      <c r="EL38" s="228">
        <v>0</v>
      </c>
      <c r="EM38" s="228">
        <v>63040.533333333333</v>
      </c>
      <c r="EN38" s="209">
        <v>3.891190782367162E-2</v>
      </c>
      <c r="EP38" s="208"/>
    </row>
    <row r="39" spans="1:146" x14ac:dyDescent="0.25">
      <c r="A39" s="222">
        <v>46202</v>
      </c>
      <c r="B39" s="208">
        <v>0</v>
      </c>
      <c r="C39" s="209">
        <v>3.9228730000000003E-2</v>
      </c>
      <c r="D39" s="208">
        <v>0</v>
      </c>
      <c r="G39" s="208">
        <v>0</v>
      </c>
      <c r="J39" s="208">
        <v>0</v>
      </c>
      <c r="M39" s="208">
        <v>0</v>
      </c>
      <c r="P39" s="208">
        <v>0</v>
      </c>
      <c r="S39" s="208">
        <v>0</v>
      </c>
      <c r="V39" s="208">
        <v>0</v>
      </c>
      <c r="Y39" s="208">
        <v>0</v>
      </c>
      <c r="AB39" s="208">
        <v>0</v>
      </c>
      <c r="AE39" s="208">
        <v>0</v>
      </c>
      <c r="AH39" s="208">
        <v>0</v>
      </c>
      <c r="AI39" s="223"/>
      <c r="AJ39" s="224"/>
      <c r="AK39" s="208">
        <v>0</v>
      </c>
      <c r="AL39" s="223"/>
      <c r="AM39" s="224"/>
      <c r="AN39" s="208">
        <v>0</v>
      </c>
      <c r="AO39" s="223">
        <v>85700000</v>
      </c>
      <c r="AP39" s="224">
        <v>3.9399999999999998E-2</v>
      </c>
      <c r="AQ39" s="208">
        <v>9379.3888888888887</v>
      </c>
      <c r="AR39" s="223"/>
      <c r="AS39" s="224"/>
      <c r="AT39" s="208">
        <v>0</v>
      </c>
      <c r="AW39" s="208">
        <v>0</v>
      </c>
      <c r="AZ39" s="208">
        <v>0</v>
      </c>
      <c r="BC39" s="208">
        <v>0</v>
      </c>
      <c r="BF39" s="208">
        <v>0</v>
      </c>
      <c r="BI39" s="208">
        <v>0</v>
      </c>
      <c r="BL39" s="208">
        <v>0</v>
      </c>
      <c r="BO39" s="208">
        <v>0</v>
      </c>
      <c r="BR39" s="208">
        <v>0</v>
      </c>
      <c r="BU39" s="208">
        <v>0</v>
      </c>
      <c r="BX39" s="208">
        <v>0</v>
      </c>
      <c r="CA39" s="208">
        <v>0</v>
      </c>
      <c r="CD39" s="208">
        <v>0</v>
      </c>
      <c r="CG39" s="208">
        <v>0</v>
      </c>
      <c r="CJ39" s="208">
        <v>0</v>
      </c>
      <c r="CM39" s="208">
        <v>0</v>
      </c>
      <c r="CP39" s="208">
        <v>0</v>
      </c>
      <c r="CS39" s="208">
        <v>0</v>
      </c>
      <c r="CV39" s="208">
        <v>0</v>
      </c>
      <c r="CY39" s="208">
        <v>0</v>
      </c>
      <c r="DB39" s="208">
        <v>0</v>
      </c>
      <c r="DE39" s="208">
        <v>0</v>
      </c>
      <c r="DH39" s="208">
        <v>0</v>
      </c>
      <c r="DK39" s="208">
        <v>0</v>
      </c>
      <c r="DN39" s="208">
        <v>0</v>
      </c>
      <c r="DQ39" s="208">
        <v>0</v>
      </c>
      <c r="DT39" s="208">
        <v>0</v>
      </c>
      <c r="DW39" s="208">
        <v>0</v>
      </c>
      <c r="DZ39" s="208"/>
      <c r="EA39" s="208"/>
      <c r="EB39" s="228">
        <v>85700000</v>
      </c>
      <c r="EC39" s="228">
        <v>0</v>
      </c>
      <c r="ED39" s="208">
        <v>9379.3888888888887</v>
      </c>
      <c r="EE39" s="209">
        <v>3.9399999999999998E-2</v>
      </c>
      <c r="EG39" s="228">
        <v>0</v>
      </c>
      <c r="EH39" s="208">
        <v>0</v>
      </c>
      <c r="EI39" s="209">
        <v>0</v>
      </c>
      <c r="EJ39" s="209"/>
      <c r="EK39" s="228">
        <v>85700000</v>
      </c>
      <c r="EL39" s="228">
        <v>0</v>
      </c>
      <c r="EM39" s="228">
        <v>9379.3888888888887</v>
      </c>
      <c r="EN39" s="209">
        <v>3.9399999999999998E-2</v>
      </c>
      <c r="EP39" s="208"/>
    </row>
    <row r="40" spans="1:146" x14ac:dyDescent="0.25">
      <c r="A40" s="222">
        <v>46203</v>
      </c>
      <c r="B40" s="208">
        <v>0</v>
      </c>
      <c r="C40" s="209">
        <v>3.7970299999999998E-2</v>
      </c>
      <c r="D40" s="208">
        <v>0</v>
      </c>
      <c r="G40" s="208">
        <v>0</v>
      </c>
      <c r="J40" s="208">
        <v>0</v>
      </c>
      <c r="M40" s="208">
        <v>0</v>
      </c>
      <c r="P40" s="208">
        <v>0</v>
      </c>
      <c r="S40" s="208">
        <v>0</v>
      </c>
      <c r="V40" s="208">
        <v>0</v>
      </c>
      <c r="Y40" s="208">
        <v>0</v>
      </c>
      <c r="AB40" s="208">
        <v>0</v>
      </c>
      <c r="AE40" s="208">
        <v>0</v>
      </c>
      <c r="AH40" s="208">
        <v>0</v>
      </c>
      <c r="AI40" s="223"/>
      <c r="AJ40" s="224"/>
      <c r="AK40" s="208">
        <v>0</v>
      </c>
      <c r="AL40" s="223"/>
      <c r="AM40" s="224"/>
      <c r="AN40" s="208">
        <v>0</v>
      </c>
      <c r="AO40" s="223"/>
      <c r="AP40" s="224"/>
      <c r="AQ40" s="208">
        <v>0</v>
      </c>
      <c r="AR40" s="223"/>
      <c r="AS40" s="224"/>
      <c r="AT40" s="208">
        <v>0</v>
      </c>
      <c r="AW40" s="208">
        <v>0</v>
      </c>
      <c r="AZ40" s="208">
        <v>0</v>
      </c>
      <c r="BC40" s="208">
        <v>0</v>
      </c>
      <c r="BF40" s="208">
        <v>0</v>
      </c>
      <c r="BI40" s="208">
        <v>0</v>
      </c>
      <c r="BL40" s="208">
        <v>0</v>
      </c>
      <c r="BO40" s="208">
        <v>0</v>
      </c>
      <c r="BR40" s="208">
        <v>0</v>
      </c>
      <c r="BU40" s="208">
        <v>0</v>
      </c>
      <c r="BX40" s="208">
        <v>0</v>
      </c>
      <c r="CA40" s="208">
        <v>0</v>
      </c>
      <c r="CD40" s="208">
        <v>0</v>
      </c>
      <c r="CG40" s="208">
        <v>0</v>
      </c>
      <c r="CJ40" s="208">
        <v>0</v>
      </c>
      <c r="CM40" s="208">
        <v>0</v>
      </c>
      <c r="CP40" s="208">
        <v>0</v>
      </c>
      <c r="CS40" s="208">
        <v>0</v>
      </c>
      <c r="CV40" s="208">
        <v>0</v>
      </c>
      <c r="CY40" s="208">
        <v>0</v>
      </c>
      <c r="DB40" s="208">
        <v>0</v>
      </c>
      <c r="DE40" s="208">
        <v>0</v>
      </c>
      <c r="DH40" s="208">
        <v>0</v>
      </c>
      <c r="DK40" s="208">
        <v>0</v>
      </c>
      <c r="DN40" s="208">
        <v>0</v>
      </c>
      <c r="DQ40" s="208">
        <v>0</v>
      </c>
      <c r="DT40" s="208">
        <v>0</v>
      </c>
      <c r="DW40" s="208">
        <v>0</v>
      </c>
      <c r="DZ40" s="208"/>
      <c r="EA40" s="208"/>
      <c r="EB40" s="228">
        <v>0</v>
      </c>
      <c r="EC40" s="228">
        <v>0</v>
      </c>
      <c r="ED40" s="208">
        <v>0</v>
      </c>
      <c r="EE40" s="209">
        <v>0</v>
      </c>
      <c r="EG40" s="228">
        <v>0</v>
      </c>
      <c r="EH40" s="208">
        <v>0</v>
      </c>
      <c r="EI40" s="209">
        <v>0</v>
      </c>
      <c r="EJ40" s="209"/>
      <c r="EK40" s="228">
        <v>0</v>
      </c>
      <c r="EL40" s="228">
        <v>0</v>
      </c>
      <c r="EM40" s="228">
        <v>0</v>
      </c>
      <c r="EN40" s="209">
        <v>0</v>
      </c>
      <c r="EP40" s="208"/>
    </row>
    <row r="41" spans="1:146" x14ac:dyDescent="0.25">
      <c r="A41" s="243" t="s">
        <v>35</v>
      </c>
      <c r="D41" s="225">
        <v>0</v>
      </c>
      <c r="G41" s="225">
        <v>0</v>
      </c>
      <c r="J41" s="225">
        <v>0</v>
      </c>
      <c r="M41" s="225">
        <v>0</v>
      </c>
      <c r="P41" s="225">
        <v>0</v>
      </c>
      <c r="S41" s="225">
        <v>0</v>
      </c>
      <c r="V41" s="225">
        <v>0</v>
      </c>
      <c r="Y41" s="225">
        <v>0</v>
      </c>
      <c r="AB41" s="225">
        <v>0</v>
      </c>
      <c r="AE41" s="225">
        <v>0</v>
      </c>
      <c r="AH41" s="225">
        <v>0</v>
      </c>
      <c r="AK41" s="225">
        <v>681470.2666666666</v>
      </c>
      <c r="AN41" s="225">
        <v>414991.38888888893</v>
      </c>
      <c r="AQ41" s="225">
        <v>265804.23333333334</v>
      </c>
      <c r="AT41" s="225">
        <v>0</v>
      </c>
      <c r="AW41" s="225">
        <v>0</v>
      </c>
      <c r="AZ41" s="225">
        <v>0</v>
      </c>
      <c r="BC41" s="225">
        <v>0</v>
      </c>
      <c r="BF41" s="225">
        <v>0</v>
      </c>
      <c r="BI41" s="225">
        <v>0</v>
      </c>
      <c r="BL41" s="225">
        <v>0</v>
      </c>
      <c r="BO41" s="225">
        <v>0</v>
      </c>
      <c r="BR41" s="225">
        <v>0</v>
      </c>
      <c r="BU41" s="225">
        <v>0</v>
      </c>
      <c r="BX41" s="225">
        <v>0</v>
      </c>
      <c r="CA41" s="225">
        <v>0</v>
      </c>
      <c r="CD41" s="225">
        <v>0</v>
      </c>
      <c r="CG41" s="225">
        <v>0</v>
      </c>
      <c r="CJ41" s="225">
        <v>0</v>
      </c>
      <c r="CM41" s="225">
        <v>0</v>
      </c>
      <c r="CP41" s="225">
        <v>0</v>
      </c>
      <c r="CS41" s="225">
        <v>0</v>
      </c>
      <c r="CV41" s="225">
        <v>0</v>
      </c>
      <c r="CY41" s="225">
        <v>0</v>
      </c>
      <c r="DB41" s="225">
        <v>0</v>
      </c>
      <c r="DE41" s="225">
        <v>0</v>
      </c>
      <c r="DH41" s="225">
        <v>0</v>
      </c>
      <c r="DK41" s="225">
        <v>0</v>
      </c>
      <c r="DN41" s="225">
        <v>0</v>
      </c>
      <c r="DQ41" s="225">
        <v>0</v>
      </c>
      <c r="DT41" s="225">
        <v>0</v>
      </c>
      <c r="DW41" s="225">
        <v>0</v>
      </c>
      <c r="DZ41" s="208"/>
      <c r="EA41" s="208"/>
      <c r="EB41" s="208"/>
      <c r="EC41" s="208"/>
      <c r="ED41" s="225">
        <v>1362265.8888888895</v>
      </c>
      <c r="EE41" s="209"/>
      <c r="EG41" s="208"/>
      <c r="EH41" s="225">
        <v>0</v>
      </c>
      <c r="EI41" s="209"/>
      <c r="EJ41" s="209"/>
      <c r="EK41" s="208"/>
      <c r="EL41" s="208"/>
      <c r="EM41" s="225">
        <v>1362265.8888888895</v>
      </c>
      <c r="EN41" s="209"/>
    </row>
    <row r="43" spans="1:146" x14ac:dyDescent="0.25">
      <c r="EM43" s="226"/>
    </row>
    <row r="44" spans="1:146" x14ac:dyDescent="0.25">
      <c r="EM44" s="208"/>
    </row>
    <row r="45" spans="1:146" x14ac:dyDescent="0.25">
      <c r="EM45" s="208"/>
    </row>
    <row r="47" spans="1:146" x14ac:dyDescent="0.25">
      <c r="EM47" s="208"/>
    </row>
  </sheetData>
  <pageMargins left="0.7" right="0.7" top="0.75" bottom="0.75" header="0.3" footer="0.3"/>
  <pageSetup scale="64" orientation="portrait" horizontalDpi="1200" verticalDpi="1200" r:id="rId1"/>
  <headerFooter>
    <oddFooter>&amp;CSchedule RL-1</oddFooter>
  </headerFooter>
  <colBreaks count="5" manualBreakCount="5">
    <brk id="7" max="1048575" man="1"/>
    <brk id="43" max="1048575" man="1"/>
    <brk id="52" max="40" man="1"/>
    <brk id="130" max="1048575" man="1"/>
    <brk id="14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44"/>
  <dimension ref="A1:EQ47"/>
  <sheetViews>
    <sheetView zoomScaleNormal="100" workbookViewId="0">
      <selection activeCell="F16" sqref="F16"/>
    </sheetView>
  </sheetViews>
  <sheetFormatPr defaultRowHeight="15" x14ac:dyDescent="0.25"/>
  <cols>
    <col min="1" max="1" width="14.5703125" style="166" bestFit="1" customWidth="1"/>
    <col min="2" max="2" width="15.5703125" style="208" bestFit="1" customWidth="1"/>
    <col min="3" max="3" width="15.42578125" style="209" bestFit="1" customWidth="1"/>
    <col min="4" max="4" width="15.42578125" style="166" bestFit="1" customWidth="1"/>
    <col min="5" max="5" width="15.5703125" style="208" bestFit="1" customWidth="1"/>
    <col min="6" max="6" width="12.28515625" style="209" bestFit="1" customWidth="1"/>
    <col min="7" max="7" width="18.42578125" style="166" bestFit="1" customWidth="1"/>
    <col min="8" max="8" width="15.42578125" style="208" hidden="1" customWidth="1"/>
    <col min="9" max="9" width="10.28515625" style="209" hidden="1" customWidth="1"/>
    <col min="10" max="10" width="13.42578125" style="166" hidden="1" customWidth="1"/>
    <col min="11" max="11" width="14.42578125" style="208" hidden="1" customWidth="1"/>
    <col min="12" max="12" width="10.28515625" style="209" hidden="1" customWidth="1"/>
    <col min="13" max="13" width="11.7109375" style="166" hidden="1" customWidth="1"/>
    <col min="14" max="14" width="14.42578125" style="208" hidden="1" customWidth="1"/>
    <col min="15" max="15" width="10.28515625" style="209" hidden="1" customWidth="1"/>
    <col min="16" max="16" width="11.7109375" style="166" hidden="1" customWidth="1"/>
    <col min="17" max="17" width="15.42578125" style="208" hidden="1" customWidth="1"/>
    <col min="18" max="18" width="10.28515625" style="209" hidden="1" customWidth="1"/>
    <col min="19" max="19" width="11.7109375" style="166" hidden="1" customWidth="1"/>
    <col min="20" max="20" width="15.42578125" style="208" hidden="1" customWidth="1"/>
    <col min="21" max="21" width="10.28515625" style="209" hidden="1" customWidth="1"/>
    <col min="22" max="22" width="11.7109375" style="166" hidden="1" customWidth="1"/>
    <col min="23" max="23" width="15.42578125" style="208" hidden="1" customWidth="1"/>
    <col min="24" max="24" width="10.28515625" style="209" hidden="1" customWidth="1"/>
    <col min="25" max="25" width="11.7109375" style="166" hidden="1" customWidth="1"/>
    <col min="26" max="26" width="15.42578125" style="208" hidden="1" customWidth="1"/>
    <col min="27" max="27" width="10.28515625" style="209" hidden="1" customWidth="1"/>
    <col min="28" max="28" width="11.7109375" style="166" hidden="1" customWidth="1"/>
    <col min="29" max="29" width="15.42578125" style="208" hidden="1" customWidth="1"/>
    <col min="30" max="30" width="10.28515625" style="209" hidden="1" customWidth="1"/>
    <col min="31" max="31" width="11.7109375" style="166" hidden="1" customWidth="1"/>
    <col min="32" max="32" width="14.42578125" style="208" hidden="1" customWidth="1"/>
    <col min="33" max="33" width="10.28515625" style="209" hidden="1" customWidth="1"/>
    <col min="34" max="34" width="10.7109375" style="166" hidden="1" customWidth="1"/>
    <col min="35" max="35" width="18.28515625" style="208" customWidth="1"/>
    <col min="36" max="36" width="11.7109375" style="209" customWidth="1"/>
    <col min="37" max="37" width="13.7109375" style="166" bestFit="1" customWidth="1"/>
    <col min="38" max="38" width="17.5703125" style="208" customWidth="1"/>
    <col min="39" max="39" width="13.140625" style="209" customWidth="1"/>
    <col min="40" max="40" width="13.7109375" style="166" bestFit="1" customWidth="1"/>
    <col min="41" max="41" width="15.42578125" style="208" bestFit="1" customWidth="1"/>
    <col min="42" max="42" width="12.28515625" style="209" bestFit="1" customWidth="1"/>
    <col min="43" max="43" width="12.5703125" style="166" bestFit="1" customWidth="1"/>
    <col min="44" max="44" width="15.42578125" style="208" bestFit="1" customWidth="1"/>
    <col min="45" max="45" width="10.28515625" style="209" bestFit="1" customWidth="1"/>
    <col min="46" max="46" width="11.7109375" style="166" bestFit="1" customWidth="1"/>
    <col min="47" max="47" width="14.42578125" style="208" customWidth="1"/>
    <col min="48" max="48" width="10.28515625" style="209" customWidth="1"/>
    <col min="49" max="49" width="10.7109375" style="166" customWidth="1"/>
    <col min="50" max="50" width="14.42578125" style="208" customWidth="1"/>
    <col min="51" max="51" width="10.28515625" style="209" customWidth="1"/>
    <col min="52" max="52" width="10.7109375" style="166" customWidth="1"/>
    <col min="53" max="53" width="14.42578125" style="208" customWidth="1"/>
    <col min="54" max="54" width="10.28515625" style="209" customWidth="1"/>
    <col min="55" max="55" width="10.7109375" style="166" customWidth="1"/>
    <col min="56" max="56" width="14.42578125" style="208" customWidth="1"/>
    <col min="57" max="57" width="10.28515625" style="209" customWidth="1"/>
    <col min="58" max="58" width="10.7109375" style="166" customWidth="1"/>
    <col min="59" max="59" width="14.42578125" style="208" customWidth="1"/>
    <col min="60" max="60" width="10.28515625" style="209" customWidth="1"/>
    <col min="61" max="61" width="10.7109375" style="166" customWidth="1"/>
    <col min="62" max="62" width="14.42578125" style="208" customWidth="1"/>
    <col min="63" max="63" width="10.28515625" style="209" customWidth="1"/>
    <col min="64" max="64" width="10.7109375" style="166" customWidth="1"/>
    <col min="65" max="65" width="14.42578125" style="208" hidden="1" customWidth="1"/>
    <col min="66" max="66" width="10.28515625" style="209" hidden="1" customWidth="1"/>
    <col min="67" max="67" width="10.7109375" style="166" hidden="1" customWidth="1"/>
    <col min="68" max="68" width="14.42578125" style="208" hidden="1" customWidth="1"/>
    <col min="69" max="69" width="10.28515625" style="209" hidden="1" customWidth="1"/>
    <col min="70" max="70" width="10.7109375" style="166" hidden="1" customWidth="1"/>
    <col min="71" max="71" width="14.42578125" style="208" hidden="1" customWidth="1"/>
    <col min="72" max="72" width="10.28515625" style="209" hidden="1" customWidth="1"/>
    <col min="73" max="73" width="10.7109375" style="166" hidden="1" customWidth="1"/>
    <col min="74" max="74" width="14.42578125" style="208" hidden="1" customWidth="1"/>
    <col min="75" max="75" width="10.28515625" style="209" hidden="1" customWidth="1"/>
    <col min="76" max="76" width="10.7109375" style="166" hidden="1" customWidth="1"/>
    <col min="77" max="77" width="14.42578125" style="208" hidden="1" customWidth="1"/>
    <col min="78" max="78" width="10.28515625" style="209" hidden="1" customWidth="1"/>
    <col min="79" max="79" width="10.7109375" style="166" hidden="1" customWidth="1"/>
    <col min="80" max="80" width="14.42578125" style="208" hidden="1" customWidth="1"/>
    <col min="81" max="81" width="10.28515625" style="209" hidden="1" customWidth="1"/>
    <col min="82" max="82" width="10.7109375" style="166" hidden="1" customWidth="1"/>
    <col min="83" max="83" width="14.42578125" style="208" hidden="1" customWidth="1"/>
    <col min="84" max="84" width="10.28515625" style="209" hidden="1" customWidth="1"/>
    <col min="85" max="85" width="10.7109375" style="166" hidden="1" customWidth="1"/>
    <col min="86" max="86" width="14.42578125" style="208" hidden="1" customWidth="1"/>
    <col min="87" max="87" width="10.28515625" style="209" hidden="1" customWidth="1"/>
    <col min="88" max="88" width="10.7109375" style="166" hidden="1" customWidth="1"/>
    <col min="89" max="89" width="14.42578125" style="208" hidden="1" customWidth="1"/>
    <col min="90" max="90" width="10.28515625" style="209" hidden="1" customWidth="1"/>
    <col min="91" max="91" width="10.7109375" style="166" hidden="1" customWidth="1"/>
    <col min="92" max="92" width="14.42578125" style="208" hidden="1" customWidth="1"/>
    <col min="93" max="93" width="10.28515625" style="209" hidden="1" customWidth="1"/>
    <col min="94" max="94" width="10.7109375" style="166" hidden="1" customWidth="1"/>
    <col min="95" max="95" width="14.42578125" style="208" hidden="1" customWidth="1"/>
    <col min="96" max="96" width="10.28515625" style="209" hidden="1" customWidth="1"/>
    <col min="97" max="97" width="10.7109375" style="166" hidden="1" customWidth="1"/>
    <col min="98" max="98" width="14.42578125" style="208" hidden="1" customWidth="1"/>
    <col min="99" max="99" width="10.28515625" style="209" hidden="1" customWidth="1"/>
    <col min="100" max="100" width="10.7109375" style="166" hidden="1" customWidth="1"/>
    <col min="101" max="101" width="14.42578125" style="208" hidden="1" customWidth="1"/>
    <col min="102" max="102" width="10.28515625" style="209" hidden="1" customWidth="1"/>
    <col min="103" max="103" width="10.7109375" style="166" hidden="1" customWidth="1"/>
    <col min="104" max="104" width="14.42578125" style="208" hidden="1" customWidth="1"/>
    <col min="105" max="105" width="10.28515625" style="209" hidden="1" customWidth="1"/>
    <col min="106" max="106" width="10.7109375" style="166" hidden="1" customWidth="1"/>
    <col min="107" max="107" width="14.42578125" style="208" hidden="1" customWidth="1"/>
    <col min="108" max="108" width="10.28515625" style="209" hidden="1" customWidth="1"/>
    <col min="109" max="109" width="10.7109375" style="166" hidden="1" customWidth="1"/>
    <col min="110" max="110" width="14.42578125" style="208" hidden="1" customWidth="1"/>
    <col min="111" max="111" width="10.28515625" style="209" hidden="1" customWidth="1"/>
    <col min="112" max="112" width="10.7109375" style="166" hidden="1" customWidth="1"/>
    <col min="113" max="113" width="14.42578125" style="208" hidden="1" customWidth="1"/>
    <col min="114" max="114" width="10.28515625" style="209" hidden="1" customWidth="1"/>
    <col min="115" max="115" width="10.7109375" style="166" hidden="1" customWidth="1"/>
    <col min="116" max="116" width="14.42578125" style="208" hidden="1" customWidth="1"/>
    <col min="117" max="117" width="10.28515625" style="209" hidden="1" customWidth="1"/>
    <col min="118" max="118" width="10.7109375" style="166" hidden="1" customWidth="1"/>
    <col min="119" max="119" width="14.42578125" style="208" hidden="1" customWidth="1"/>
    <col min="120" max="120" width="10.28515625" style="209" hidden="1" customWidth="1"/>
    <col min="121" max="121" width="10.7109375" style="166" hidden="1" customWidth="1"/>
    <col min="122" max="122" width="14.42578125" style="208" hidden="1" customWidth="1"/>
    <col min="123" max="123" width="10.28515625" style="209" hidden="1" customWidth="1"/>
    <col min="124" max="124" width="10.7109375" style="166" hidden="1" customWidth="1"/>
    <col min="125" max="125" width="14.42578125" style="208" hidden="1" customWidth="1"/>
    <col min="126" max="126" width="10.28515625" style="209" hidden="1" customWidth="1"/>
    <col min="127" max="127" width="10.7109375" style="166" hidden="1" customWidth="1"/>
    <col min="128" max="128" width="14.42578125" style="208" hidden="1" customWidth="1"/>
    <col min="129" max="129" width="10.28515625" style="209" hidden="1" customWidth="1"/>
    <col min="130" max="130" width="10.7109375" style="166" hidden="1" customWidth="1"/>
    <col min="131" max="131" width="2.7109375" style="166" customWidth="1"/>
    <col min="132" max="132" width="18.7109375" style="166" customWidth="1"/>
    <col min="133" max="133" width="15.42578125" style="166" hidden="1" customWidth="1"/>
    <col min="134" max="134" width="14.42578125" style="166" bestFit="1" customWidth="1"/>
    <col min="135" max="135" width="20.140625" style="166" customWidth="1"/>
    <col min="136" max="136" width="2.7109375" style="166" customWidth="1"/>
    <col min="137" max="137" width="15.42578125" style="166" hidden="1" customWidth="1"/>
    <col min="138" max="138" width="14.42578125" style="166" hidden="1" customWidth="1"/>
    <col min="139" max="139" width="12.42578125" style="166" hidden="1" customWidth="1"/>
    <col min="140" max="140" width="2.7109375" style="166" hidden="1" customWidth="1"/>
    <col min="141" max="141" width="18.5703125" style="166" customWidth="1"/>
    <col min="142" max="142" width="15.42578125" style="166" hidden="1" customWidth="1"/>
    <col min="143" max="143" width="14.42578125" style="166" bestFit="1" customWidth="1"/>
    <col min="144" max="144" width="18.42578125" style="166" bestFit="1" customWidth="1"/>
    <col min="145" max="145" width="42.85546875" style="166" bestFit="1" customWidth="1"/>
    <col min="146" max="146" width="19.42578125" style="166" bestFit="1" customWidth="1"/>
    <col min="147" max="147" width="23.140625" style="166" bestFit="1" customWidth="1"/>
    <col min="148" max="16384" width="9.140625" style="166"/>
  </cols>
  <sheetData>
    <row r="1" spans="1:147" s="175" customFormat="1" x14ac:dyDescent="0.25">
      <c r="A1" s="227" t="s">
        <v>0</v>
      </c>
      <c r="B1" s="228"/>
      <c r="C1" s="229"/>
      <c r="E1" s="228"/>
      <c r="F1" s="229"/>
      <c r="H1" s="228"/>
      <c r="I1" s="229"/>
      <c r="K1" s="228"/>
      <c r="L1" s="229"/>
      <c r="N1" s="228"/>
      <c r="O1" s="229"/>
      <c r="Q1" s="228"/>
      <c r="R1" s="229"/>
      <c r="T1" s="228"/>
      <c r="U1" s="229"/>
      <c r="W1" s="228"/>
      <c r="X1" s="229"/>
      <c r="Z1" s="228"/>
      <c r="AA1" s="229"/>
      <c r="AC1" s="228"/>
      <c r="AD1" s="229"/>
      <c r="AF1" s="228"/>
      <c r="AG1" s="229"/>
      <c r="AI1" s="228"/>
      <c r="AJ1" s="229"/>
      <c r="AL1" s="228"/>
      <c r="AM1" s="229"/>
      <c r="AO1" s="228"/>
      <c r="AP1" s="229"/>
      <c r="AR1" s="228"/>
      <c r="AS1" s="229"/>
      <c r="AU1" s="228"/>
      <c r="AV1" s="229"/>
      <c r="AX1" s="228"/>
      <c r="AY1" s="229"/>
      <c r="BA1" s="228"/>
      <c r="BB1" s="229"/>
      <c r="BD1" s="228"/>
      <c r="BE1" s="229"/>
      <c r="BG1" s="228"/>
      <c r="BH1" s="229"/>
      <c r="BJ1" s="228"/>
      <c r="BK1" s="229"/>
      <c r="BM1" s="228"/>
      <c r="BN1" s="229"/>
      <c r="BP1" s="228"/>
      <c r="BQ1" s="229"/>
      <c r="BS1" s="228"/>
      <c r="BT1" s="229"/>
      <c r="BV1" s="228"/>
      <c r="BW1" s="229"/>
      <c r="BY1" s="228"/>
      <c r="BZ1" s="229"/>
      <c r="CB1" s="228"/>
      <c r="CC1" s="229"/>
      <c r="CE1" s="228"/>
      <c r="CF1" s="229"/>
      <c r="CH1" s="228"/>
      <c r="CI1" s="229"/>
      <c r="CK1" s="228"/>
      <c r="CL1" s="229"/>
      <c r="CN1" s="228"/>
      <c r="CO1" s="229"/>
      <c r="CQ1" s="228"/>
      <c r="CR1" s="229"/>
      <c r="CT1" s="228"/>
      <c r="CU1" s="229"/>
      <c r="CW1" s="228"/>
      <c r="CX1" s="229"/>
      <c r="CZ1" s="228"/>
      <c r="DA1" s="229"/>
      <c r="DC1" s="228"/>
      <c r="DD1" s="229"/>
      <c r="DF1" s="228"/>
      <c r="DG1" s="229"/>
      <c r="DI1" s="228"/>
      <c r="DJ1" s="229"/>
      <c r="DL1" s="228"/>
      <c r="DM1" s="229"/>
      <c r="DO1" s="228"/>
      <c r="DP1" s="229"/>
      <c r="DR1" s="228"/>
      <c r="DS1" s="229"/>
      <c r="DU1" s="228"/>
      <c r="DV1" s="229"/>
      <c r="DX1" s="228"/>
      <c r="DY1" s="229"/>
      <c r="DZ1" s="230"/>
      <c r="ED1" s="169"/>
      <c r="EE1" s="231" t="s">
        <v>37</v>
      </c>
      <c r="EI1" s="169" t="s">
        <v>38</v>
      </c>
      <c r="EM1" s="169"/>
      <c r="EN1" s="169" t="s">
        <v>39</v>
      </c>
      <c r="EO1" s="227" t="s">
        <v>40</v>
      </c>
      <c r="EP1" s="227" t="s">
        <v>41</v>
      </c>
      <c r="EQ1" s="227" t="s">
        <v>42</v>
      </c>
    </row>
    <row r="2" spans="1:147" s="175" customFormat="1" ht="15.75" thickBot="1" x14ac:dyDescent="0.3">
      <c r="A2" s="227" t="s">
        <v>43</v>
      </c>
      <c r="B2" s="228"/>
      <c r="C2" s="229"/>
      <c r="E2" s="230"/>
      <c r="F2" s="229"/>
      <c r="G2" s="169"/>
      <c r="H2" s="228"/>
      <c r="I2" s="229"/>
      <c r="K2" s="228"/>
      <c r="L2" s="229"/>
      <c r="N2" s="228"/>
      <c r="O2" s="229"/>
      <c r="Q2" s="228"/>
      <c r="R2" s="229"/>
      <c r="T2" s="228"/>
      <c r="U2" s="229"/>
      <c r="W2" s="228"/>
      <c r="X2" s="229"/>
      <c r="Z2" s="228"/>
      <c r="AA2" s="229"/>
      <c r="AC2" s="228"/>
      <c r="AD2" s="229"/>
      <c r="AF2" s="228"/>
      <c r="AG2" s="229"/>
      <c r="AI2" s="228"/>
      <c r="AJ2" s="229"/>
      <c r="AL2" s="228"/>
      <c r="AM2" s="229"/>
      <c r="AO2" s="228"/>
      <c r="AP2" s="229"/>
      <c r="AR2" s="228"/>
      <c r="AS2" s="229"/>
      <c r="AU2" s="228"/>
      <c r="AV2" s="229"/>
      <c r="AX2" s="228"/>
      <c r="AY2" s="229"/>
      <c r="BA2" s="228"/>
      <c r="BB2" s="229"/>
      <c r="BD2" s="228"/>
      <c r="BE2" s="229"/>
      <c r="BG2" s="228"/>
      <c r="BH2" s="229"/>
      <c r="BJ2" s="228"/>
      <c r="BK2" s="229"/>
      <c r="BM2" s="228"/>
      <c r="BN2" s="229"/>
      <c r="BP2" s="228"/>
      <c r="BQ2" s="229"/>
      <c r="BS2" s="228"/>
      <c r="BT2" s="229"/>
      <c r="BV2" s="228"/>
      <c r="BW2" s="229"/>
      <c r="BY2" s="228"/>
      <c r="BZ2" s="229"/>
      <c r="CB2" s="228"/>
      <c r="CC2" s="229"/>
      <c r="CE2" s="228"/>
      <c r="CF2" s="229"/>
      <c r="CH2" s="228"/>
      <c r="CI2" s="229"/>
      <c r="CK2" s="228"/>
      <c r="CL2" s="229"/>
      <c r="CN2" s="228"/>
      <c r="CO2" s="229"/>
      <c r="CQ2" s="228"/>
      <c r="CR2" s="229"/>
      <c r="CT2" s="228"/>
      <c r="CU2" s="229"/>
      <c r="CW2" s="228"/>
      <c r="CX2" s="229"/>
      <c r="CZ2" s="228"/>
      <c r="DA2" s="229"/>
      <c r="DC2" s="228"/>
      <c r="DD2" s="229"/>
      <c r="DF2" s="228"/>
      <c r="DG2" s="229"/>
      <c r="DI2" s="228"/>
      <c r="DJ2" s="229"/>
      <c r="DL2" s="228"/>
      <c r="DM2" s="229"/>
      <c r="DO2" s="228"/>
      <c r="DP2" s="229"/>
      <c r="DR2" s="228"/>
      <c r="DS2" s="229"/>
      <c r="DU2" s="228"/>
      <c r="DV2" s="229"/>
      <c r="DX2" s="228"/>
      <c r="DY2" s="229"/>
      <c r="EB2" s="166" t="s">
        <v>44</v>
      </c>
      <c r="EC2" s="166"/>
      <c r="ED2" s="208"/>
      <c r="EE2" s="208">
        <f>EB41</f>
        <v>147304000</v>
      </c>
      <c r="EI2" s="208">
        <f>EG40</f>
        <v>0</v>
      </c>
      <c r="EM2" s="208"/>
      <c r="EN2" s="208">
        <f>EK41</f>
        <v>147304000</v>
      </c>
      <c r="EO2" s="232">
        <v>-42799.81</v>
      </c>
      <c r="EP2" s="228">
        <f>EN2+EO2</f>
        <v>147261200.19</v>
      </c>
      <c r="EQ2" s="228">
        <f>EE2+EO2</f>
        <v>147261200.19</v>
      </c>
    </row>
    <row r="3" spans="1:147" ht="15.75" thickTop="1" x14ac:dyDescent="0.25">
      <c r="A3" s="233" t="s">
        <v>258</v>
      </c>
      <c r="E3" s="234" t="s">
        <v>45</v>
      </c>
      <c r="F3" s="210"/>
      <c r="G3" s="211"/>
      <c r="EB3" s="166" t="s">
        <v>46</v>
      </c>
      <c r="ED3" s="208"/>
      <c r="EE3" s="208">
        <f>AVERAGE(EB11:EB41)</f>
        <v>66363709.677419357</v>
      </c>
      <c r="EI3" s="208">
        <f>AVERAGE(EG11:EG40)</f>
        <v>0</v>
      </c>
      <c r="EM3" s="208"/>
      <c r="EN3" s="208">
        <f>AVERAGE(EK11:EK41)</f>
        <v>66363709.677419357</v>
      </c>
    </row>
    <row r="4" spans="1:147" x14ac:dyDescent="0.25">
      <c r="E4" s="212" t="s">
        <v>44</v>
      </c>
      <c r="F4" s="208"/>
      <c r="G4" s="213">
        <f>EQ2</f>
        <v>147261200.19</v>
      </c>
      <c r="AI4" s="227" t="s">
        <v>47</v>
      </c>
      <c r="EB4" s="166" t="s">
        <v>48</v>
      </c>
      <c r="ED4" s="209"/>
      <c r="EE4" s="209">
        <f>IF(EE3=0,0,360*(AVERAGE(ED11:ED41)/EE3))</f>
        <v>3.8947257415756269E-2</v>
      </c>
      <c r="EI4" s="209">
        <f>IF(EI3=0,0,360*(AVERAGE(EH11:EH40)/EI3))</f>
        <v>0</v>
      </c>
      <c r="EM4" s="209"/>
      <c r="EN4" s="209">
        <f>IF(EN3=0,0,360*(AVERAGE(EM11:EM41)/EN3))</f>
        <v>3.8947257415756269E-2</v>
      </c>
      <c r="EO4" s="175" t="s">
        <v>239</v>
      </c>
      <c r="EQ4" s="169" t="s">
        <v>47</v>
      </c>
    </row>
    <row r="5" spans="1:147" x14ac:dyDescent="0.25">
      <c r="E5" s="212" t="s">
        <v>46</v>
      </c>
      <c r="F5" s="208"/>
      <c r="G5" s="213">
        <f>EE3</f>
        <v>66363709.677419357</v>
      </c>
      <c r="AI5" s="235" t="s">
        <v>39</v>
      </c>
      <c r="EB5" s="166" t="s">
        <v>49</v>
      </c>
      <c r="ED5" s="208"/>
      <c r="EE5" s="208">
        <f>MAX(EB11:EB41)</f>
        <v>151700000</v>
      </c>
      <c r="EI5" s="208">
        <f>MAX(EG11:EG40)</f>
        <v>0</v>
      </c>
      <c r="EM5" s="208"/>
      <c r="EN5" s="208">
        <f>MAX(EK11:EK41)</f>
        <v>151700000</v>
      </c>
      <c r="EO5" s="166" t="s">
        <v>240</v>
      </c>
    </row>
    <row r="6" spans="1:147" x14ac:dyDescent="0.25">
      <c r="E6" s="212" t="s">
        <v>48</v>
      </c>
      <c r="F6" s="208"/>
      <c r="G6" s="214">
        <f>EE4</f>
        <v>3.8947257415756269E-2</v>
      </c>
    </row>
    <row r="7" spans="1:147" ht="15.75" thickBot="1" x14ac:dyDescent="0.3">
      <c r="E7" s="215" t="s">
        <v>49</v>
      </c>
      <c r="F7" s="216"/>
      <c r="G7" s="217">
        <f>EE5</f>
        <v>151700000</v>
      </c>
      <c r="AI7" s="235" t="s">
        <v>39</v>
      </c>
      <c r="EB7" s="236" t="s">
        <v>50</v>
      </c>
      <c r="EC7" s="236"/>
      <c r="ED7" s="218"/>
      <c r="EE7" s="218"/>
      <c r="EG7" s="236" t="s">
        <v>51</v>
      </c>
      <c r="EH7" s="218"/>
      <c r="EI7" s="218"/>
      <c r="EJ7" s="165"/>
      <c r="EK7" s="236" t="s">
        <v>52</v>
      </c>
      <c r="EL7" s="236"/>
      <c r="EM7" s="218"/>
      <c r="EN7" s="218"/>
    </row>
    <row r="8" spans="1:147" ht="15.75" thickTop="1" x14ac:dyDescent="0.25">
      <c r="AI8" s="230" t="s">
        <v>53</v>
      </c>
      <c r="AL8" s="230" t="s">
        <v>53</v>
      </c>
      <c r="AO8" s="230" t="s">
        <v>53</v>
      </c>
      <c r="AR8" s="230" t="s">
        <v>53</v>
      </c>
      <c r="AU8" s="230" t="s">
        <v>53</v>
      </c>
      <c r="AX8" s="230" t="s">
        <v>53</v>
      </c>
      <c r="BA8" s="230" t="s">
        <v>53</v>
      </c>
      <c r="BD8" s="230" t="s">
        <v>53</v>
      </c>
      <c r="BG8" s="230" t="s">
        <v>53</v>
      </c>
      <c r="BJ8" s="230" t="s">
        <v>53</v>
      </c>
      <c r="BM8" s="230" t="s">
        <v>53</v>
      </c>
      <c r="BP8" s="230" t="s">
        <v>53</v>
      </c>
      <c r="BS8" s="230" t="s">
        <v>53</v>
      </c>
      <c r="BV8" s="230" t="s">
        <v>53</v>
      </c>
      <c r="BY8" s="230" t="s">
        <v>53</v>
      </c>
      <c r="CB8" s="230" t="s">
        <v>53</v>
      </c>
      <c r="CE8" s="230" t="s">
        <v>53</v>
      </c>
      <c r="CH8" s="230" t="s">
        <v>53</v>
      </c>
      <c r="CK8" s="230" t="s">
        <v>53</v>
      </c>
      <c r="CN8" s="230" t="s">
        <v>53</v>
      </c>
      <c r="CQ8" s="230" t="s">
        <v>53</v>
      </c>
      <c r="CT8" s="230" t="s">
        <v>53</v>
      </c>
      <c r="CW8" s="230" t="s">
        <v>53</v>
      </c>
      <c r="CZ8" s="230" t="s">
        <v>53</v>
      </c>
      <c r="DC8" s="230" t="s">
        <v>53</v>
      </c>
      <c r="DF8" s="230" t="s">
        <v>53</v>
      </c>
      <c r="DI8" s="230" t="s">
        <v>53</v>
      </c>
      <c r="DL8" s="230" t="s">
        <v>53</v>
      </c>
      <c r="DO8" s="230" t="s">
        <v>53</v>
      </c>
      <c r="DR8" s="230" t="s">
        <v>53</v>
      </c>
      <c r="EB8" s="219"/>
      <c r="EC8" s="219"/>
      <c r="ED8" s="219"/>
      <c r="EE8" s="219" t="s">
        <v>54</v>
      </c>
      <c r="EG8" s="219"/>
      <c r="EH8" s="237" t="s">
        <v>38</v>
      </c>
      <c r="EI8" s="219" t="s">
        <v>54</v>
      </c>
      <c r="EJ8" s="219"/>
      <c r="EK8" s="169" t="s">
        <v>55</v>
      </c>
      <c r="EL8" s="169" t="s">
        <v>56</v>
      </c>
      <c r="EM8" s="237" t="s">
        <v>57</v>
      </c>
      <c r="EN8" s="219" t="s">
        <v>54</v>
      </c>
    </row>
    <row r="9" spans="1:147" x14ac:dyDescent="0.25">
      <c r="B9" s="220" t="s">
        <v>58</v>
      </c>
      <c r="C9" s="221"/>
      <c r="D9" s="218"/>
      <c r="E9" s="220" t="s">
        <v>59</v>
      </c>
      <c r="F9" s="221"/>
      <c r="G9" s="218"/>
      <c r="H9" s="220" t="s">
        <v>60</v>
      </c>
      <c r="I9" s="221"/>
      <c r="J9" s="218"/>
      <c r="K9" s="220" t="s">
        <v>61</v>
      </c>
      <c r="L9" s="221"/>
      <c r="M9" s="218"/>
      <c r="N9" s="220" t="s">
        <v>62</v>
      </c>
      <c r="O9" s="221"/>
      <c r="P9" s="218"/>
      <c r="Q9" s="220" t="s">
        <v>63</v>
      </c>
      <c r="R9" s="221"/>
      <c r="S9" s="218"/>
      <c r="T9" s="220" t="s">
        <v>64</v>
      </c>
      <c r="U9" s="221"/>
      <c r="V9" s="218"/>
      <c r="W9" s="220" t="s">
        <v>65</v>
      </c>
      <c r="X9" s="221"/>
      <c r="Y9" s="218"/>
      <c r="Z9" s="220" t="s">
        <v>66</v>
      </c>
      <c r="AA9" s="221"/>
      <c r="AB9" s="218"/>
      <c r="AC9" s="238" t="s">
        <v>67</v>
      </c>
      <c r="AD9" s="221"/>
      <c r="AE9" s="218"/>
      <c r="AF9" s="238" t="s">
        <v>68</v>
      </c>
      <c r="AG9" s="221"/>
      <c r="AH9" s="218"/>
      <c r="AI9" s="220" t="s">
        <v>69</v>
      </c>
      <c r="AJ9" s="221"/>
      <c r="AK9" s="218"/>
      <c r="AL9" s="220" t="s">
        <v>70</v>
      </c>
      <c r="AM9" s="221"/>
      <c r="AN9" s="218"/>
      <c r="AO9" s="220" t="s">
        <v>71</v>
      </c>
      <c r="AP9" s="221"/>
      <c r="AQ9" s="218"/>
      <c r="AR9" s="220" t="s">
        <v>72</v>
      </c>
      <c r="AS9" s="221"/>
      <c r="AT9" s="218"/>
      <c r="AU9" s="220" t="s">
        <v>73</v>
      </c>
      <c r="AV9" s="221"/>
      <c r="AW9" s="218"/>
      <c r="AX9" s="220" t="s">
        <v>74</v>
      </c>
      <c r="AY9" s="221"/>
      <c r="AZ9" s="218"/>
      <c r="BA9" s="220" t="s">
        <v>75</v>
      </c>
      <c r="BB9" s="221"/>
      <c r="BC9" s="218"/>
      <c r="BD9" s="220" t="s">
        <v>76</v>
      </c>
      <c r="BE9" s="221"/>
      <c r="BF9" s="218"/>
      <c r="BG9" s="220" t="s">
        <v>77</v>
      </c>
      <c r="BH9" s="221"/>
      <c r="BI9" s="218"/>
      <c r="BJ9" s="220" t="s">
        <v>78</v>
      </c>
      <c r="BK9" s="221"/>
      <c r="BL9" s="218"/>
      <c r="BM9" s="220" t="s">
        <v>79</v>
      </c>
      <c r="BN9" s="221"/>
      <c r="BO9" s="218"/>
      <c r="BP9" s="220" t="s">
        <v>80</v>
      </c>
      <c r="BQ9" s="221"/>
      <c r="BR9" s="218"/>
      <c r="BS9" s="220" t="s">
        <v>81</v>
      </c>
      <c r="BT9" s="221"/>
      <c r="BU9" s="218"/>
      <c r="BV9" s="220" t="s">
        <v>82</v>
      </c>
      <c r="BW9" s="221"/>
      <c r="BX9" s="218"/>
      <c r="BY9" s="220" t="s">
        <v>83</v>
      </c>
      <c r="BZ9" s="221"/>
      <c r="CA9" s="218"/>
      <c r="CB9" s="220" t="s">
        <v>84</v>
      </c>
      <c r="CC9" s="221"/>
      <c r="CD9" s="218"/>
      <c r="CE9" s="220" t="s">
        <v>85</v>
      </c>
      <c r="CF9" s="221"/>
      <c r="CG9" s="218"/>
      <c r="CH9" s="220" t="s">
        <v>86</v>
      </c>
      <c r="CI9" s="221"/>
      <c r="CJ9" s="218"/>
      <c r="CK9" s="220" t="s">
        <v>87</v>
      </c>
      <c r="CL9" s="221"/>
      <c r="CM9" s="218"/>
      <c r="CN9" s="220" t="s">
        <v>88</v>
      </c>
      <c r="CO9" s="221"/>
      <c r="CP9" s="218"/>
      <c r="CQ9" s="220" t="s">
        <v>89</v>
      </c>
      <c r="CR9" s="221"/>
      <c r="CS9" s="218"/>
      <c r="CT9" s="220" t="s">
        <v>90</v>
      </c>
      <c r="CU9" s="221"/>
      <c r="CV9" s="218"/>
      <c r="CW9" s="220" t="s">
        <v>91</v>
      </c>
      <c r="CX9" s="221"/>
      <c r="CY9" s="218"/>
      <c r="CZ9" s="220" t="s">
        <v>92</v>
      </c>
      <c r="DA9" s="221"/>
      <c r="DB9" s="218"/>
      <c r="DC9" s="220" t="s">
        <v>93</v>
      </c>
      <c r="DD9" s="221"/>
      <c r="DE9" s="218"/>
      <c r="DF9" s="220" t="s">
        <v>94</v>
      </c>
      <c r="DG9" s="221"/>
      <c r="DH9" s="218"/>
      <c r="DI9" s="220" t="s">
        <v>95</v>
      </c>
      <c r="DJ9" s="221"/>
      <c r="DK9" s="218"/>
      <c r="DL9" s="220" t="s">
        <v>96</v>
      </c>
      <c r="DM9" s="221"/>
      <c r="DN9" s="218"/>
      <c r="DO9" s="220" t="s">
        <v>97</v>
      </c>
      <c r="DP9" s="221"/>
      <c r="DQ9" s="218"/>
      <c r="DR9" s="220" t="s">
        <v>98</v>
      </c>
      <c r="DS9" s="221"/>
      <c r="DT9" s="218"/>
      <c r="DU9" s="220" t="s">
        <v>99</v>
      </c>
      <c r="DV9" s="221"/>
      <c r="DW9" s="218"/>
      <c r="DX9" s="239" t="s">
        <v>100</v>
      </c>
      <c r="DY9" s="221"/>
      <c r="DZ9" s="218"/>
      <c r="EA9" s="165"/>
      <c r="EB9" s="169" t="s">
        <v>101</v>
      </c>
      <c r="EC9" s="169" t="s">
        <v>102</v>
      </c>
      <c r="ED9" s="219" t="s">
        <v>103</v>
      </c>
      <c r="EE9" s="219" t="s">
        <v>104</v>
      </c>
      <c r="EG9" s="237" t="s">
        <v>105</v>
      </c>
      <c r="EH9" s="219" t="s">
        <v>103</v>
      </c>
      <c r="EI9" s="219" t="s">
        <v>104</v>
      </c>
      <c r="EJ9" s="219"/>
      <c r="EK9" s="237" t="s">
        <v>57</v>
      </c>
      <c r="EL9" s="237" t="s">
        <v>57</v>
      </c>
      <c r="EM9" s="219" t="s">
        <v>103</v>
      </c>
      <c r="EN9" s="219" t="s">
        <v>104</v>
      </c>
    </row>
    <row r="10" spans="1:147" x14ac:dyDescent="0.25">
      <c r="A10" s="219" t="s">
        <v>106</v>
      </c>
      <c r="B10" s="240" t="s">
        <v>107</v>
      </c>
      <c r="C10" s="241" t="s">
        <v>108</v>
      </c>
      <c r="D10" s="242" t="s">
        <v>12</v>
      </c>
      <c r="E10" s="240" t="s">
        <v>107</v>
      </c>
      <c r="F10" s="241" t="s">
        <v>108</v>
      </c>
      <c r="G10" s="242" t="s">
        <v>12</v>
      </c>
      <c r="H10" s="240" t="s">
        <v>107</v>
      </c>
      <c r="I10" s="241" t="s">
        <v>108</v>
      </c>
      <c r="J10" s="242" t="s">
        <v>12</v>
      </c>
      <c r="K10" s="240" t="s">
        <v>107</v>
      </c>
      <c r="L10" s="241" t="s">
        <v>108</v>
      </c>
      <c r="M10" s="242" t="s">
        <v>12</v>
      </c>
      <c r="N10" s="240" t="s">
        <v>107</v>
      </c>
      <c r="O10" s="241" t="s">
        <v>108</v>
      </c>
      <c r="P10" s="242" t="s">
        <v>12</v>
      </c>
      <c r="Q10" s="240" t="s">
        <v>107</v>
      </c>
      <c r="R10" s="241" t="s">
        <v>108</v>
      </c>
      <c r="S10" s="242" t="s">
        <v>12</v>
      </c>
      <c r="T10" s="240" t="s">
        <v>107</v>
      </c>
      <c r="U10" s="241" t="s">
        <v>108</v>
      </c>
      <c r="V10" s="242" t="s">
        <v>12</v>
      </c>
      <c r="W10" s="240" t="s">
        <v>107</v>
      </c>
      <c r="X10" s="241" t="s">
        <v>108</v>
      </c>
      <c r="Y10" s="242" t="s">
        <v>12</v>
      </c>
      <c r="Z10" s="240" t="s">
        <v>107</v>
      </c>
      <c r="AA10" s="241" t="s">
        <v>108</v>
      </c>
      <c r="AB10" s="242" t="s">
        <v>12</v>
      </c>
      <c r="AC10" s="240" t="s">
        <v>107</v>
      </c>
      <c r="AD10" s="241" t="s">
        <v>108</v>
      </c>
      <c r="AE10" s="242" t="s">
        <v>12</v>
      </c>
      <c r="AF10" s="240" t="s">
        <v>107</v>
      </c>
      <c r="AG10" s="241" t="s">
        <v>108</v>
      </c>
      <c r="AH10" s="242" t="s">
        <v>12</v>
      </c>
      <c r="AI10" s="240" t="s">
        <v>107</v>
      </c>
      <c r="AJ10" s="241" t="s">
        <v>108</v>
      </c>
      <c r="AK10" s="242" t="s">
        <v>12</v>
      </c>
      <c r="AL10" s="240" t="s">
        <v>107</v>
      </c>
      <c r="AM10" s="241" t="s">
        <v>108</v>
      </c>
      <c r="AN10" s="242" t="s">
        <v>12</v>
      </c>
      <c r="AO10" s="240" t="s">
        <v>107</v>
      </c>
      <c r="AP10" s="241" t="s">
        <v>108</v>
      </c>
      <c r="AQ10" s="242" t="s">
        <v>12</v>
      </c>
      <c r="AR10" s="240" t="s">
        <v>107</v>
      </c>
      <c r="AS10" s="241" t="s">
        <v>108</v>
      </c>
      <c r="AT10" s="242" t="s">
        <v>12</v>
      </c>
      <c r="AU10" s="240" t="s">
        <v>107</v>
      </c>
      <c r="AV10" s="241" t="s">
        <v>108</v>
      </c>
      <c r="AW10" s="242" t="s">
        <v>12</v>
      </c>
      <c r="AX10" s="240" t="s">
        <v>107</v>
      </c>
      <c r="AY10" s="241" t="s">
        <v>108</v>
      </c>
      <c r="AZ10" s="242" t="s">
        <v>12</v>
      </c>
      <c r="BA10" s="240" t="s">
        <v>107</v>
      </c>
      <c r="BB10" s="241" t="s">
        <v>108</v>
      </c>
      <c r="BC10" s="242" t="s">
        <v>12</v>
      </c>
      <c r="BD10" s="240" t="s">
        <v>107</v>
      </c>
      <c r="BE10" s="241" t="s">
        <v>108</v>
      </c>
      <c r="BF10" s="242" t="s">
        <v>12</v>
      </c>
      <c r="BG10" s="240" t="s">
        <v>107</v>
      </c>
      <c r="BH10" s="241" t="s">
        <v>108</v>
      </c>
      <c r="BI10" s="242" t="s">
        <v>12</v>
      </c>
      <c r="BJ10" s="240" t="s">
        <v>107</v>
      </c>
      <c r="BK10" s="241" t="s">
        <v>108</v>
      </c>
      <c r="BL10" s="242" t="s">
        <v>12</v>
      </c>
      <c r="BM10" s="240" t="s">
        <v>107</v>
      </c>
      <c r="BN10" s="241" t="s">
        <v>108</v>
      </c>
      <c r="BO10" s="242" t="s">
        <v>12</v>
      </c>
      <c r="BP10" s="240" t="s">
        <v>107</v>
      </c>
      <c r="BQ10" s="241" t="s">
        <v>108</v>
      </c>
      <c r="BR10" s="242" t="s">
        <v>12</v>
      </c>
      <c r="BS10" s="240" t="s">
        <v>107</v>
      </c>
      <c r="BT10" s="241" t="s">
        <v>108</v>
      </c>
      <c r="BU10" s="242" t="s">
        <v>12</v>
      </c>
      <c r="BV10" s="240" t="s">
        <v>107</v>
      </c>
      <c r="BW10" s="241" t="s">
        <v>108</v>
      </c>
      <c r="BX10" s="242" t="s">
        <v>12</v>
      </c>
      <c r="BY10" s="240" t="s">
        <v>107</v>
      </c>
      <c r="BZ10" s="241" t="s">
        <v>108</v>
      </c>
      <c r="CA10" s="242" t="s">
        <v>12</v>
      </c>
      <c r="CB10" s="240" t="s">
        <v>107</v>
      </c>
      <c r="CC10" s="241" t="s">
        <v>108</v>
      </c>
      <c r="CD10" s="242" t="s">
        <v>12</v>
      </c>
      <c r="CE10" s="240" t="s">
        <v>107</v>
      </c>
      <c r="CF10" s="241" t="s">
        <v>108</v>
      </c>
      <c r="CG10" s="242" t="s">
        <v>12</v>
      </c>
      <c r="CH10" s="240" t="s">
        <v>107</v>
      </c>
      <c r="CI10" s="241" t="s">
        <v>108</v>
      </c>
      <c r="CJ10" s="242" t="s">
        <v>12</v>
      </c>
      <c r="CK10" s="240" t="s">
        <v>107</v>
      </c>
      <c r="CL10" s="241" t="s">
        <v>108</v>
      </c>
      <c r="CM10" s="242" t="s">
        <v>12</v>
      </c>
      <c r="CN10" s="240" t="s">
        <v>107</v>
      </c>
      <c r="CO10" s="241" t="s">
        <v>108</v>
      </c>
      <c r="CP10" s="242" t="s">
        <v>12</v>
      </c>
      <c r="CQ10" s="240" t="s">
        <v>107</v>
      </c>
      <c r="CR10" s="241" t="s">
        <v>108</v>
      </c>
      <c r="CS10" s="242" t="s">
        <v>12</v>
      </c>
      <c r="CT10" s="240" t="s">
        <v>107</v>
      </c>
      <c r="CU10" s="241" t="s">
        <v>108</v>
      </c>
      <c r="CV10" s="242" t="s">
        <v>12</v>
      </c>
      <c r="CW10" s="240" t="s">
        <v>107</v>
      </c>
      <c r="CX10" s="241" t="s">
        <v>108</v>
      </c>
      <c r="CY10" s="242" t="s">
        <v>12</v>
      </c>
      <c r="CZ10" s="240" t="s">
        <v>107</v>
      </c>
      <c r="DA10" s="241" t="s">
        <v>108</v>
      </c>
      <c r="DB10" s="242" t="s">
        <v>12</v>
      </c>
      <c r="DC10" s="240" t="s">
        <v>107</v>
      </c>
      <c r="DD10" s="241" t="s">
        <v>108</v>
      </c>
      <c r="DE10" s="242" t="s">
        <v>12</v>
      </c>
      <c r="DF10" s="240" t="s">
        <v>107</v>
      </c>
      <c r="DG10" s="241" t="s">
        <v>108</v>
      </c>
      <c r="DH10" s="242" t="s">
        <v>12</v>
      </c>
      <c r="DI10" s="240" t="s">
        <v>107</v>
      </c>
      <c r="DJ10" s="241" t="s">
        <v>108</v>
      </c>
      <c r="DK10" s="242" t="s">
        <v>12</v>
      </c>
      <c r="DL10" s="240" t="s">
        <v>107</v>
      </c>
      <c r="DM10" s="241" t="s">
        <v>108</v>
      </c>
      <c r="DN10" s="242" t="s">
        <v>12</v>
      </c>
      <c r="DO10" s="240" t="s">
        <v>107</v>
      </c>
      <c r="DP10" s="241" t="s">
        <v>108</v>
      </c>
      <c r="DQ10" s="242" t="s">
        <v>12</v>
      </c>
      <c r="DR10" s="240" t="s">
        <v>107</v>
      </c>
      <c r="DS10" s="241" t="s">
        <v>108</v>
      </c>
      <c r="DT10" s="242" t="s">
        <v>12</v>
      </c>
      <c r="DU10" s="240" t="s">
        <v>107</v>
      </c>
      <c r="DV10" s="241" t="s">
        <v>108</v>
      </c>
      <c r="DW10" s="242" t="s">
        <v>12</v>
      </c>
      <c r="DX10" s="240" t="s">
        <v>107</v>
      </c>
      <c r="DY10" s="241"/>
      <c r="DZ10" s="242"/>
      <c r="EA10" s="242"/>
      <c r="EB10" s="242" t="s">
        <v>109</v>
      </c>
      <c r="EC10" s="242" t="s">
        <v>109</v>
      </c>
      <c r="ED10" s="242" t="s">
        <v>12</v>
      </c>
      <c r="EE10" s="242" t="s">
        <v>108</v>
      </c>
      <c r="EG10" s="242" t="s">
        <v>109</v>
      </c>
      <c r="EH10" s="242" t="s">
        <v>12</v>
      </c>
      <c r="EI10" s="242" t="s">
        <v>108</v>
      </c>
      <c r="EJ10" s="242"/>
      <c r="EK10" s="242" t="s">
        <v>109</v>
      </c>
      <c r="EL10" s="242" t="s">
        <v>109</v>
      </c>
      <c r="EM10" s="242" t="s">
        <v>12</v>
      </c>
      <c r="EN10" s="242" t="s">
        <v>108</v>
      </c>
    </row>
    <row r="11" spans="1:147" x14ac:dyDescent="0.25">
      <c r="A11" s="222">
        <v>46204</v>
      </c>
      <c r="B11" s="208">
        <v>0</v>
      </c>
      <c r="C11" s="209">
        <v>3.825945E-2</v>
      </c>
      <c r="D11" s="208">
        <f>(B11*C11)/360</f>
        <v>0</v>
      </c>
      <c r="G11" s="208">
        <f>(E11*F11)/360</f>
        <v>0</v>
      </c>
      <c r="J11" s="208">
        <f>(H11*I11)/360</f>
        <v>0</v>
      </c>
      <c r="M11" s="208">
        <f>(K11*L11)/360</f>
        <v>0</v>
      </c>
      <c r="P11" s="208">
        <f>(N11*O11)/360</f>
        <v>0</v>
      </c>
      <c r="S11" s="208">
        <f>(Q11*R11)/360</f>
        <v>0</v>
      </c>
      <c r="V11" s="208">
        <f>(T11*U11)/360</f>
        <v>0</v>
      </c>
      <c r="Y11" s="208">
        <f>(W11*X11)/360</f>
        <v>0</v>
      </c>
      <c r="AB11" s="208">
        <f>(Z11*AA11)/360</f>
        <v>0</v>
      </c>
      <c r="AE11" s="208">
        <v>0</v>
      </c>
      <c r="AH11" s="208">
        <v>0</v>
      </c>
      <c r="AI11" s="223"/>
      <c r="AJ11" s="224"/>
      <c r="AK11" s="208">
        <f>(AI11*AJ11)/360</f>
        <v>0</v>
      </c>
      <c r="AL11" s="223"/>
      <c r="AM11" s="224"/>
      <c r="AN11" s="208">
        <f>(AL11*AM11)/360</f>
        <v>0</v>
      </c>
      <c r="AO11" s="223"/>
      <c r="AP11" s="224"/>
      <c r="AQ11" s="208">
        <f>(AO11*AP11)/360</f>
        <v>0</v>
      </c>
      <c r="AR11" s="223"/>
      <c r="AS11" s="224"/>
      <c r="AT11" s="208">
        <f>(AR11*AS11)/360</f>
        <v>0</v>
      </c>
      <c r="AW11" s="208">
        <f>(AU11*AV11)/360</f>
        <v>0</v>
      </c>
      <c r="AZ11" s="208">
        <f>(AX11*AY11)/360</f>
        <v>0</v>
      </c>
      <c r="BC11" s="208">
        <f>(BA11*BB11)/360</f>
        <v>0</v>
      </c>
      <c r="BF11" s="208">
        <f>(BD11*BE11)/360</f>
        <v>0</v>
      </c>
      <c r="BI11" s="208">
        <f>(BG11*BH11)/360</f>
        <v>0</v>
      </c>
      <c r="BL11" s="208">
        <f>(BJ11*BK11)/360</f>
        <v>0</v>
      </c>
      <c r="BO11" s="208">
        <f>(BM11*BN11)/360</f>
        <v>0</v>
      </c>
      <c r="BR11" s="208">
        <f>(BP11*BQ11)/360</f>
        <v>0</v>
      </c>
      <c r="BU11" s="208">
        <f>(BS11*BT11)/360</f>
        <v>0</v>
      </c>
      <c r="BX11" s="208">
        <f>(BV11*BW11)/360</f>
        <v>0</v>
      </c>
      <c r="CA11" s="208">
        <f>(BY11*BZ11)/360</f>
        <v>0</v>
      </c>
      <c r="CD11" s="208">
        <f>(CB11*CC11)/360</f>
        <v>0</v>
      </c>
      <c r="CG11" s="208">
        <f>(CE11*CF11)/360</f>
        <v>0</v>
      </c>
      <c r="CJ11" s="208">
        <f>(CH11*CI11)/360</f>
        <v>0</v>
      </c>
      <c r="CM11" s="208">
        <f>(CK11*CL11)/360</f>
        <v>0</v>
      </c>
      <c r="CP11" s="208">
        <f>(CN11*CO11)/360</f>
        <v>0</v>
      </c>
      <c r="CS11" s="208">
        <f>(CQ11*CR11)/360</f>
        <v>0</v>
      </c>
      <c r="CV11" s="208">
        <f>(CT11*CU11)/360</f>
        <v>0</v>
      </c>
      <c r="CY11" s="208">
        <f>(CW11*CX11)/360</f>
        <v>0</v>
      </c>
      <c r="DB11" s="208">
        <f>(CZ11*DA11)/360</f>
        <v>0</v>
      </c>
      <c r="DE11" s="208">
        <f>(DC11*DD11)/360</f>
        <v>0</v>
      </c>
      <c r="DH11" s="208">
        <f>(DF11*DG11)/360</f>
        <v>0</v>
      </c>
      <c r="DK11" s="208">
        <f>(DI11*DJ11)/360</f>
        <v>0</v>
      </c>
      <c r="DN11" s="208">
        <f>(DL11*DM11)/360</f>
        <v>0</v>
      </c>
      <c r="DQ11" s="208">
        <f>(DO11*DP11)/360</f>
        <v>0</v>
      </c>
      <c r="DT11" s="208">
        <f>(DR11*DS11)/360</f>
        <v>0</v>
      </c>
      <c r="DW11" s="208">
        <f>(DU11*DV11)/360</f>
        <v>0</v>
      </c>
      <c r="DZ11" s="208"/>
      <c r="EA11" s="208"/>
      <c r="EB11" s="228">
        <f>B11+E11+H11+K11+N11+Q11+T11+W11+Z11+AC11+AF11+AL11+AO11+AR11+AU11+AX11+BA11+BD11+BG11+DU11+AI11+DR11+DO11+DL11+DI11+DF11+DC11+CZ11+CW11+CT11+CQ11+CN11+CK11+CH11+CE11+CB11+BY11+BV11+BS11+BP11+BM11+BJ11</f>
        <v>0</v>
      </c>
      <c r="EC11" s="228">
        <f>EB11-EK11+EL11</f>
        <v>0</v>
      </c>
      <c r="ED11" s="208">
        <f>D11+G11+J11+M11+P11+S11+V11+Y11+AB11+AE11+AH11+AK11+AN11+AQ11+AT11+AW11+AZ11+BC11+BF11+BI11+DW11+DT11+DQ11+DN11+DK11+DH11+DE11+DB11+CY11+CV11+CS11+CP11+CM11+CJ11+CG11+CD11+CA11+BX11+BU11+BR11+BO11+BL11</f>
        <v>0</v>
      </c>
      <c r="EE11" s="209">
        <f>IF(EB11&lt;&gt;0,((ED11/EB11)*360),0)</f>
        <v>0</v>
      </c>
      <c r="EG11" s="228">
        <f>Q11+T11+W11+Z11+AC11+AF11</f>
        <v>0</v>
      </c>
      <c r="EH11" s="208">
        <f>S11+V11+Y11+AB11+AE11+AH11</f>
        <v>0</v>
      </c>
      <c r="EI11" s="209">
        <f>IF(EG11&lt;&gt;0,((EH11/EG11)*360),0)</f>
        <v>0</v>
      </c>
      <c r="EJ11" s="209"/>
      <c r="EK11" s="228">
        <f>DR11+DL11+DI11+DF11+DC11+CZ11+CW11+CT11+CQ11+CN11+CK11+CH11+CE11+CB11+BY11+BV11+BS11+BP11+BM11+BJ11+BG11+BD11+BA11+AX11+AU11+AR11+AO11+AL11+AI11+DO11</f>
        <v>0</v>
      </c>
      <c r="EL11" s="228">
        <f>DX11</f>
        <v>0</v>
      </c>
      <c r="EM11" s="228">
        <f>DT11+DQ11+DN11+DK11+DH11+DE11+DB11+CY11+CV11+CS11+CP11+CM11+CJ11+CG11+CD11+CA11+BX11+BU11+BR11+BO11+BL11+BI11+BF11+BC11+AZ11+AW11+AT11+AQ11+AN11+AK11</f>
        <v>0</v>
      </c>
      <c r="EN11" s="209">
        <f>IF(EK11&lt;&gt;0,((EM11/EK11)*360),0)</f>
        <v>0</v>
      </c>
      <c r="EP11" s="208"/>
    </row>
    <row r="12" spans="1:147" x14ac:dyDescent="0.25">
      <c r="A12" s="222">
        <f>1+A11</f>
        <v>46205</v>
      </c>
      <c r="B12" s="208">
        <v>0</v>
      </c>
      <c r="C12" s="209">
        <v>3.8002139999999997E-2</v>
      </c>
      <c r="D12" s="208">
        <f t="shared" ref="D12:D41" si="0">(B12*C12)/360</f>
        <v>0</v>
      </c>
      <c r="G12" s="208">
        <f t="shared" ref="G12:G41" si="1">(E12*F12)/360</f>
        <v>0</v>
      </c>
      <c r="J12" s="208">
        <f t="shared" ref="J12:J41" si="2">(H12*I12)/360</f>
        <v>0</v>
      </c>
      <c r="M12" s="208">
        <f t="shared" ref="M12:M41" si="3">(K12*L12)/360</f>
        <v>0</v>
      </c>
      <c r="P12" s="208">
        <f t="shared" ref="P12:P41" si="4">(N12*O12)/360</f>
        <v>0</v>
      </c>
      <c r="S12" s="208">
        <f t="shared" ref="S12:S41" si="5">(Q12*R12)/360</f>
        <v>0</v>
      </c>
      <c r="V12" s="208">
        <f t="shared" ref="V12:V41" si="6">(T12*U12)/360</f>
        <v>0</v>
      </c>
      <c r="Y12" s="208">
        <f t="shared" ref="Y12:Y41" si="7">(W12*X12)/360</f>
        <v>0</v>
      </c>
      <c r="AB12" s="208">
        <f t="shared" ref="AB12:AB41" si="8">(Z12*AA12)/360</f>
        <v>0</v>
      </c>
      <c r="AE12" s="208">
        <v>0</v>
      </c>
      <c r="AH12" s="208">
        <v>0</v>
      </c>
      <c r="AI12" s="223"/>
      <c r="AJ12" s="224"/>
      <c r="AK12" s="208">
        <f t="shared" ref="AK12:AK41" si="9">(AI12*AJ12)/360</f>
        <v>0</v>
      </c>
      <c r="AL12" s="223"/>
      <c r="AM12" s="224"/>
      <c r="AN12" s="208">
        <f t="shared" ref="AN12:AN41" si="10">(AL12*AM12)/360</f>
        <v>0</v>
      </c>
      <c r="AO12" s="223"/>
      <c r="AP12" s="224"/>
      <c r="AQ12" s="208">
        <f t="shared" ref="AQ12:AQ41" si="11">(AO12*AP12)/360</f>
        <v>0</v>
      </c>
      <c r="AR12" s="223"/>
      <c r="AS12" s="224"/>
      <c r="AT12" s="208">
        <f t="shared" ref="AT12:AT41" si="12">(AR12*AS12)/360</f>
        <v>0</v>
      </c>
      <c r="AW12" s="208">
        <f t="shared" ref="AW12:AW41" si="13">(AU12*AV12)/360</f>
        <v>0</v>
      </c>
      <c r="AZ12" s="208">
        <f t="shared" ref="AZ12:AZ41" si="14">(AX12*AY12)/360</f>
        <v>0</v>
      </c>
      <c r="BC12" s="208">
        <f t="shared" ref="BC12:BC41" si="15">(BA12*BB12)/360</f>
        <v>0</v>
      </c>
      <c r="BF12" s="208">
        <f t="shared" ref="BF12:BF41" si="16">(BD12*BE12)/360</f>
        <v>0</v>
      </c>
      <c r="BI12" s="208">
        <f t="shared" ref="BI12:BI41" si="17">(BG12*BH12)/360</f>
        <v>0</v>
      </c>
      <c r="BL12" s="208">
        <f t="shared" ref="BL12:BL41" si="18">(BJ12*BK12)/360</f>
        <v>0</v>
      </c>
      <c r="BO12" s="208">
        <f t="shared" ref="BO12:BO41" si="19">(BM12*BN12)/360</f>
        <v>0</v>
      </c>
      <c r="BR12" s="208">
        <f t="shared" ref="BR12:BR41" si="20">(BP12*BQ12)/360</f>
        <v>0</v>
      </c>
      <c r="BU12" s="208">
        <f t="shared" ref="BU12:BU41" si="21">(BS12*BT12)/360</f>
        <v>0</v>
      </c>
      <c r="BX12" s="208">
        <f t="shared" ref="BX12:BX41" si="22">(BV12*BW12)/360</f>
        <v>0</v>
      </c>
      <c r="CA12" s="208">
        <f t="shared" ref="CA12:CA41" si="23">(BY12*BZ12)/360</f>
        <v>0</v>
      </c>
      <c r="CD12" s="208">
        <f t="shared" ref="CD12:CD41" si="24">(CB12*CC12)/360</f>
        <v>0</v>
      </c>
      <c r="CG12" s="208">
        <f t="shared" ref="CG12:CG41" si="25">(CE12*CF12)/360</f>
        <v>0</v>
      </c>
      <c r="CJ12" s="208">
        <f t="shared" ref="CJ12:CJ41" si="26">(CH12*CI12)/360</f>
        <v>0</v>
      </c>
      <c r="CM12" s="208">
        <f t="shared" ref="CM12:CM41" si="27">(CK12*CL12)/360</f>
        <v>0</v>
      </c>
      <c r="CP12" s="208">
        <f t="shared" ref="CP12:CP41" si="28">(CN12*CO12)/360</f>
        <v>0</v>
      </c>
      <c r="CS12" s="208">
        <f t="shared" ref="CS12:CS41" si="29">(CQ12*CR12)/360</f>
        <v>0</v>
      </c>
      <c r="CV12" s="208">
        <f t="shared" ref="CV12:CV41" si="30">(CT12*CU12)/360</f>
        <v>0</v>
      </c>
      <c r="CY12" s="208">
        <f t="shared" ref="CY12:CY41" si="31">(CW12*CX12)/360</f>
        <v>0</v>
      </c>
      <c r="DB12" s="208">
        <f t="shared" ref="DB12:DB41" si="32">(CZ12*DA12)/360</f>
        <v>0</v>
      </c>
      <c r="DE12" s="208">
        <f t="shared" ref="DE12:DE41" si="33">(DC12*DD12)/360</f>
        <v>0</v>
      </c>
      <c r="DH12" s="208">
        <f t="shared" ref="DH12:DH41" si="34">(DF12*DG12)/360</f>
        <v>0</v>
      </c>
      <c r="DK12" s="208">
        <f t="shared" ref="DK12:DK41" si="35">(DI12*DJ12)/360</f>
        <v>0</v>
      </c>
      <c r="DN12" s="208">
        <f t="shared" ref="DN12:DN41" si="36">(DL12*DM12)/360</f>
        <v>0</v>
      </c>
      <c r="DQ12" s="208">
        <f t="shared" ref="DQ12:DQ41" si="37">(DO12*DP12)/360</f>
        <v>0</v>
      </c>
      <c r="DT12" s="208">
        <f t="shared" ref="DT12:DT41" si="38">(DR12*DS12)/360</f>
        <v>0</v>
      </c>
      <c r="DW12" s="208">
        <f t="shared" ref="DW12:DW41" si="39">(DU12*DV12)/360</f>
        <v>0</v>
      </c>
      <c r="DZ12" s="208"/>
      <c r="EA12" s="208"/>
      <c r="EB12" s="228">
        <f t="shared" ref="EB12:EB41" si="40">B12+E12+H12+K12+N12+Q12+T12+W12+Z12+AC12+AF12+AL12+AO12+AR12+AU12+AX12+BA12+BD12+BG12+DU12+AI12+DR12+DO12+DL12+DI12+DF12+DC12+CZ12+CW12+CT12+CQ12+CN12+CK12+CH12+CE12+CB12+BY12+BV12+BS12+BP12+BM12+BJ12</f>
        <v>0</v>
      </c>
      <c r="EC12" s="228">
        <f t="shared" ref="EC12:EC41" si="41">EB12-EK12+EL12</f>
        <v>0</v>
      </c>
      <c r="ED12" s="208">
        <f t="shared" ref="ED12:ED41" si="42">D12+G12+J12+M12+P12+S12+V12+Y12+AB12+AE12+AH12+AK12+AN12+AQ12+AT12+AW12+AZ12+BC12+BF12+BI12+DW12+DT12+DQ12+DN12+DK12+DH12+DE12+DB12+CY12+CV12+CS12+CP12+CM12+CJ12+CG12+CD12+CA12+BX12+BU12+BR12+BO12+BL12</f>
        <v>0</v>
      </c>
      <c r="EE12" s="209">
        <f t="shared" ref="EE12:EE41" si="43">IF(EB12&lt;&gt;0,((ED12/EB12)*360),0)</f>
        <v>0</v>
      </c>
      <c r="EG12" s="228">
        <f t="shared" ref="EG12:EG41" si="44">Q12+T12+W12+Z12+AC12+AF12</f>
        <v>0</v>
      </c>
      <c r="EH12" s="208">
        <f t="shared" ref="EH12:EH41" si="45">S12+V12+Y12+AB12+AE12+AH12</f>
        <v>0</v>
      </c>
      <c r="EI12" s="209">
        <f t="shared" ref="EI12:EI41" si="46">IF(EG12&lt;&gt;0,((EH12/EG12)*360),0)</f>
        <v>0</v>
      </c>
      <c r="EJ12" s="209"/>
      <c r="EK12" s="228">
        <f t="shared" ref="EK12:EK41" si="47">DR12+DL12+DI12+DF12+DC12+CZ12+CW12+CT12+CQ12+CN12+CK12+CH12+CE12+CB12+BY12+BV12+BS12+BP12+BM12+BJ12+BG12+BD12+BA12+AX12+AU12+AR12+AO12+AL12+AI12+DO12</f>
        <v>0</v>
      </c>
      <c r="EL12" s="228">
        <f t="shared" ref="EL12:EL41" si="48">DX12</f>
        <v>0</v>
      </c>
      <c r="EM12" s="228">
        <f t="shared" ref="EM12:EM41" si="49">DT12+DQ12+DN12+DK12+DH12+DE12+DB12+CY12+CV12+CS12+CP12+CM12+CJ12+CG12+CD12+CA12+BX12+BU12+BR12+BO12+BL12+BI12+BF12+BC12+AZ12+AW12+AT12+AQ12+AN12+AK12</f>
        <v>0</v>
      </c>
      <c r="EN12" s="209">
        <f t="shared" ref="EN12:EN41" si="50">IF(EK12&lt;&gt;0,((EM12/EK12)*360),0)</f>
        <v>0</v>
      </c>
      <c r="EP12" s="208"/>
    </row>
    <row r="13" spans="1:147" x14ac:dyDescent="0.25">
      <c r="A13" s="222">
        <f t="shared" ref="A13:A41" si="51">1+A12</f>
        <v>46206</v>
      </c>
      <c r="B13" s="208">
        <v>0</v>
      </c>
      <c r="C13" s="209">
        <v>3.8002139999999997E-2</v>
      </c>
      <c r="D13" s="208">
        <f t="shared" si="0"/>
        <v>0</v>
      </c>
      <c r="G13" s="208">
        <f t="shared" si="1"/>
        <v>0</v>
      </c>
      <c r="J13" s="208">
        <f t="shared" si="2"/>
        <v>0</v>
      </c>
      <c r="M13" s="208">
        <f t="shared" si="3"/>
        <v>0</v>
      </c>
      <c r="P13" s="208">
        <f t="shared" si="4"/>
        <v>0</v>
      </c>
      <c r="S13" s="208">
        <f t="shared" si="5"/>
        <v>0</v>
      </c>
      <c r="V13" s="208">
        <f t="shared" si="6"/>
        <v>0</v>
      </c>
      <c r="Y13" s="208">
        <f t="shared" si="7"/>
        <v>0</v>
      </c>
      <c r="AB13" s="208">
        <f t="shared" si="8"/>
        <v>0</v>
      </c>
      <c r="AE13" s="208">
        <v>0</v>
      </c>
      <c r="AH13" s="208">
        <v>0</v>
      </c>
      <c r="AI13" s="223"/>
      <c r="AJ13" s="224"/>
      <c r="AK13" s="208">
        <f t="shared" si="9"/>
        <v>0</v>
      </c>
      <c r="AL13" s="223"/>
      <c r="AM13" s="224"/>
      <c r="AN13" s="208">
        <f t="shared" si="10"/>
        <v>0</v>
      </c>
      <c r="AO13" s="223"/>
      <c r="AP13" s="224"/>
      <c r="AQ13" s="208">
        <f t="shared" si="11"/>
        <v>0</v>
      </c>
      <c r="AR13" s="223"/>
      <c r="AS13" s="224"/>
      <c r="AT13" s="208">
        <f t="shared" si="12"/>
        <v>0</v>
      </c>
      <c r="AW13" s="208">
        <f t="shared" si="13"/>
        <v>0</v>
      </c>
      <c r="AZ13" s="208">
        <f t="shared" si="14"/>
        <v>0</v>
      </c>
      <c r="BC13" s="208">
        <f t="shared" si="15"/>
        <v>0</v>
      </c>
      <c r="BF13" s="208">
        <f t="shared" si="16"/>
        <v>0</v>
      </c>
      <c r="BI13" s="208">
        <f t="shared" si="17"/>
        <v>0</v>
      </c>
      <c r="BL13" s="208">
        <f t="shared" si="18"/>
        <v>0</v>
      </c>
      <c r="BO13" s="208">
        <f t="shared" si="19"/>
        <v>0</v>
      </c>
      <c r="BR13" s="208">
        <f t="shared" si="20"/>
        <v>0</v>
      </c>
      <c r="BU13" s="208">
        <f t="shared" si="21"/>
        <v>0</v>
      </c>
      <c r="BX13" s="208">
        <f t="shared" si="22"/>
        <v>0</v>
      </c>
      <c r="CA13" s="208">
        <f t="shared" si="23"/>
        <v>0</v>
      </c>
      <c r="CD13" s="208">
        <f t="shared" si="24"/>
        <v>0</v>
      </c>
      <c r="CG13" s="208">
        <f t="shared" si="25"/>
        <v>0</v>
      </c>
      <c r="CJ13" s="208">
        <f t="shared" si="26"/>
        <v>0</v>
      </c>
      <c r="CM13" s="208">
        <f t="shared" si="27"/>
        <v>0</v>
      </c>
      <c r="CP13" s="208">
        <f t="shared" si="28"/>
        <v>0</v>
      </c>
      <c r="CS13" s="208">
        <f t="shared" si="29"/>
        <v>0</v>
      </c>
      <c r="CV13" s="208">
        <f t="shared" si="30"/>
        <v>0</v>
      </c>
      <c r="CY13" s="208">
        <f t="shared" si="31"/>
        <v>0</v>
      </c>
      <c r="DB13" s="208">
        <f t="shared" si="32"/>
        <v>0</v>
      </c>
      <c r="DE13" s="208">
        <f t="shared" si="33"/>
        <v>0</v>
      </c>
      <c r="DH13" s="208">
        <f t="shared" si="34"/>
        <v>0</v>
      </c>
      <c r="DK13" s="208">
        <f t="shared" si="35"/>
        <v>0</v>
      </c>
      <c r="DN13" s="208">
        <f t="shared" si="36"/>
        <v>0</v>
      </c>
      <c r="DQ13" s="208">
        <f t="shared" si="37"/>
        <v>0</v>
      </c>
      <c r="DT13" s="208">
        <f t="shared" si="38"/>
        <v>0</v>
      </c>
      <c r="DW13" s="208">
        <f t="shared" si="39"/>
        <v>0</v>
      </c>
      <c r="DZ13" s="208"/>
      <c r="EA13" s="208"/>
      <c r="EB13" s="228">
        <f t="shared" si="40"/>
        <v>0</v>
      </c>
      <c r="EC13" s="228">
        <f t="shared" si="41"/>
        <v>0</v>
      </c>
      <c r="ED13" s="208">
        <f t="shared" si="42"/>
        <v>0</v>
      </c>
      <c r="EE13" s="209">
        <f t="shared" si="43"/>
        <v>0</v>
      </c>
      <c r="EG13" s="228">
        <f t="shared" si="44"/>
        <v>0</v>
      </c>
      <c r="EH13" s="208">
        <f t="shared" si="45"/>
        <v>0</v>
      </c>
      <c r="EI13" s="209">
        <f t="shared" si="46"/>
        <v>0</v>
      </c>
      <c r="EJ13" s="209"/>
      <c r="EK13" s="228">
        <f t="shared" si="47"/>
        <v>0</v>
      </c>
      <c r="EL13" s="228">
        <f t="shared" si="48"/>
        <v>0</v>
      </c>
      <c r="EM13" s="228">
        <f t="shared" si="49"/>
        <v>0</v>
      </c>
      <c r="EN13" s="209">
        <f t="shared" si="50"/>
        <v>0</v>
      </c>
      <c r="EP13" s="208"/>
    </row>
    <row r="14" spans="1:147" x14ac:dyDescent="0.25">
      <c r="A14" s="222">
        <f t="shared" si="51"/>
        <v>46207</v>
      </c>
      <c r="B14" s="208">
        <v>0</v>
      </c>
      <c r="C14" s="209">
        <v>3.8002139999999997E-2</v>
      </c>
      <c r="D14" s="208">
        <f t="shared" si="0"/>
        <v>0</v>
      </c>
      <c r="G14" s="208">
        <f t="shared" si="1"/>
        <v>0</v>
      </c>
      <c r="J14" s="208">
        <f t="shared" si="2"/>
        <v>0</v>
      </c>
      <c r="M14" s="208">
        <f t="shared" si="3"/>
        <v>0</v>
      </c>
      <c r="P14" s="208">
        <f t="shared" si="4"/>
        <v>0</v>
      </c>
      <c r="S14" s="208">
        <f t="shared" si="5"/>
        <v>0</v>
      </c>
      <c r="V14" s="208">
        <f t="shared" si="6"/>
        <v>0</v>
      </c>
      <c r="Y14" s="208">
        <f t="shared" si="7"/>
        <v>0</v>
      </c>
      <c r="AB14" s="208">
        <f t="shared" si="8"/>
        <v>0</v>
      </c>
      <c r="AE14" s="208">
        <v>0</v>
      </c>
      <c r="AH14" s="208">
        <v>0</v>
      </c>
      <c r="AI14" s="223"/>
      <c r="AJ14" s="224"/>
      <c r="AK14" s="208">
        <f t="shared" si="9"/>
        <v>0</v>
      </c>
      <c r="AL14" s="223"/>
      <c r="AM14" s="224"/>
      <c r="AN14" s="208">
        <f t="shared" si="10"/>
        <v>0</v>
      </c>
      <c r="AO14" s="223"/>
      <c r="AP14" s="224"/>
      <c r="AQ14" s="208">
        <f t="shared" si="11"/>
        <v>0</v>
      </c>
      <c r="AR14" s="223"/>
      <c r="AS14" s="224"/>
      <c r="AT14" s="208">
        <f t="shared" si="12"/>
        <v>0</v>
      </c>
      <c r="AW14" s="208">
        <f t="shared" si="13"/>
        <v>0</v>
      </c>
      <c r="AZ14" s="208">
        <f t="shared" si="14"/>
        <v>0</v>
      </c>
      <c r="BC14" s="208">
        <f t="shared" si="15"/>
        <v>0</v>
      </c>
      <c r="BF14" s="208">
        <f t="shared" si="16"/>
        <v>0</v>
      </c>
      <c r="BI14" s="208">
        <f t="shared" si="17"/>
        <v>0</v>
      </c>
      <c r="BL14" s="208">
        <f t="shared" si="18"/>
        <v>0</v>
      </c>
      <c r="BO14" s="208">
        <f t="shared" si="19"/>
        <v>0</v>
      </c>
      <c r="BR14" s="208">
        <f t="shared" si="20"/>
        <v>0</v>
      </c>
      <c r="BU14" s="208">
        <f t="shared" si="21"/>
        <v>0</v>
      </c>
      <c r="BX14" s="208">
        <f t="shared" si="22"/>
        <v>0</v>
      </c>
      <c r="CA14" s="208">
        <f t="shared" si="23"/>
        <v>0</v>
      </c>
      <c r="CD14" s="208">
        <f t="shared" si="24"/>
        <v>0</v>
      </c>
      <c r="CG14" s="208">
        <f t="shared" si="25"/>
        <v>0</v>
      </c>
      <c r="CJ14" s="208">
        <f t="shared" si="26"/>
        <v>0</v>
      </c>
      <c r="CM14" s="208">
        <f t="shared" si="27"/>
        <v>0</v>
      </c>
      <c r="CP14" s="208">
        <f t="shared" si="28"/>
        <v>0</v>
      </c>
      <c r="CS14" s="208">
        <f t="shared" si="29"/>
        <v>0</v>
      </c>
      <c r="CV14" s="208">
        <f t="shared" si="30"/>
        <v>0</v>
      </c>
      <c r="CY14" s="208">
        <f t="shared" si="31"/>
        <v>0</v>
      </c>
      <c r="DB14" s="208">
        <f t="shared" si="32"/>
        <v>0</v>
      </c>
      <c r="DE14" s="208">
        <f t="shared" si="33"/>
        <v>0</v>
      </c>
      <c r="DH14" s="208">
        <f t="shared" si="34"/>
        <v>0</v>
      </c>
      <c r="DK14" s="208">
        <f t="shared" si="35"/>
        <v>0</v>
      </c>
      <c r="DN14" s="208">
        <f t="shared" si="36"/>
        <v>0</v>
      </c>
      <c r="DQ14" s="208">
        <f t="shared" si="37"/>
        <v>0</v>
      </c>
      <c r="DT14" s="208">
        <f t="shared" si="38"/>
        <v>0</v>
      </c>
      <c r="DW14" s="208">
        <f t="shared" si="39"/>
        <v>0</v>
      </c>
      <c r="DZ14" s="208"/>
      <c r="EA14" s="208"/>
      <c r="EB14" s="228">
        <f t="shared" si="40"/>
        <v>0</v>
      </c>
      <c r="EC14" s="228">
        <f t="shared" si="41"/>
        <v>0</v>
      </c>
      <c r="ED14" s="208">
        <f t="shared" si="42"/>
        <v>0</v>
      </c>
      <c r="EE14" s="209">
        <f t="shared" si="43"/>
        <v>0</v>
      </c>
      <c r="EG14" s="228">
        <f t="shared" si="44"/>
        <v>0</v>
      </c>
      <c r="EH14" s="208">
        <f t="shared" si="45"/>
        <v>0</v>
      </c>
      <c r="EI14" s="209">
        <f t="shared" si="46"/>
        <v>0</v>
      </c>
      <c r="EJ14" s="209"/>
      <c r="EK14" s="228">
        <f t="shared" si="47"/>
        <v>0</v>
      </c>
      <c r="EL14" s="228">
        <f t="shared" si="48"/>
        <v>0</v>
      </c>
      <c r="EM14" s="228">
        <f t="shared" si="49"/>
        <v>0</v>
      </c>
      <c r="EN14" s="209">
        <f t="shared" si="50"/>
        <v>0</v>
      </c>
      <c r="EP14" s="208"/>
    </row>
    <row r="15" spans="1:147" x14ac:dyDescent="0.25">
      <c r="A15" s="222">
        <f t="shared" si="51"/>
        <v>46208</v>
      </c>
      <c r="B15" s="208">
        <v>0</v>
      </c>
      <c r="C15" s="209">
        <v>3.8002139999999997E-2</v>
      </c>
      <c r="D15" s="208">
        <f t="shared" si="0"/>
        <v>0</v>
      </c>
      <c r="G15" s="208">
        <f t="shared" si="1"/>
        <v>0</v>
      </c>
      <c r="J15" s="208">
        <f t="shared" si="2"/>
        <v>0</v>
      </c>
      <c r="M15" s="208">
        <f t="shared" si="3"/>
        <v>0</v>
      </c>
      <c r="P15" s="208">
        <f t="shared" si="4"/>
        <v>0</v>
      </c>
      <c r="S15" s="208">
        <f t="shared" si="5"/>
        <v>0</v>
      </c>
      <c r="V15" s="208">
        <f t="shared" si="6"/>
        <v>0</v>
      </c>
      <c r="Y15" s="208">
        <f t="shared" si="7"/>
        <v>0</v>
      </c>
      <c r="AB15" s="208">
        <f t="shared" si="8"/>
        <v>0</v>
      </c>
      <c r="AE15" s="208">
        <v>0</v>
      </c>
      <c r="AH15" s="208">
        <v>0</v>
      </c>
      <c r="AI15" s="223"/>
      <c r="AJ15" s="224"/>
      <c r="AK15" s="208">
        <f t="shared" si="9"/>
        <v>0</v>
      </c>
      <c r="AL15" s="223"/>
      <c r="AM15" s="224"/>
      <c r="AN15" s="208">
        <f t="shared" si="10"/>
        <v>0</v>
      </c>
      <c r="AO15" s="223"/>
      <c r="AP15" s="224"/>
      <c r="AQ15" s="208">
        <f t="shared" si="11"/>
        <v>0</v>
      </c>
      <c r="AR15" s="223"/>
      <c r="AS15" s="224"/>
      <c r="AT15" s="208">
        <f t="shared" si="12"/>
        <v>0</v>
      </c>
      <c r="AW15" s="208">
        <f t="shared" si="13"/>
        <v>0</v>
      </c>
      <c r="AZ15" s="208">
        <f t="shared" si="14"/>
        <v>0</v>
      </c>
      <c r="BC15" s="208">
        <f t="shared" si="15"/>
        <v>0</v>
      </c>
      <c r="BF15" s="208">
        <f t="shared" si="16"/>
        <v>0</v>
      </c>
      <c r="BI15" s="208">
        <f t="shared" si="17"/>
        <v>0</v>
      </c>
      <c r="BL15" s="208">
        <f t="shared" si="18"/>
        <v>0</v>
      </c>
      <c r="BO15" s="208">
        <f t="shared" si="19"/>
        <v>0</v>
      </c>
      <c r="BR15" s="208">
        <f t="shared" si="20"/>
        <v>0</v>
      </c>
      <c r="BU15" s="208">
        <f t="shared" si="21"/>
        <v>0</v>
      </c>
      <c r="BX15" s="208">
        <f t="shared" si="22"/>
        <v>0</v>
      </c>
      <c r="CA15" s="208">
        <f t="shared" si="23"/>
        <v>0</v>
      </c>
      <c r="CD15" s="208">
        <f t="shared" si="24"/>
        <v>0</v>
      </c>
      <c r="CG15" s="208">
        <f t="shared" si="25"/>
        <v>0</v>
      </c>
      <c r="CJ15" s="208">
        <f t="shared" si="26"/>
        <v>0</v>
      </c>
      <c r="CM15" s="208">
        <f t="shared" si="27"/>
        <v>0</v>
      </c>
      <c r="CP15" s="208">
        <f t="shared" si="28"/>
        <v>0</v>
      </c>
      <c r="CS15" s="208">
        <f t="shared" si="29"/>
        <v>0</v>
      </c>
      <c r="CV15" s="208">
        <f t="shared" si="30"/>
        <v>0</v>
      </c>
      <c r="CY15" s="208">
        <f t="shared" si="31"/>
        <v>0</v>
      </c>
      <c r="DB15" s="208">
        <f t="shared" si="32"/>
        <v>0</v>
      </c>
      <c r="DE15" s="208">
        <f t="shared" si="33"/>
        <v>0</v>
      </c>
      <c r="DH15" s="208">
        <f t="shared" si="34"/>
        <v>0</v>
      </c>
      <c r="DK15" s="208">
        <f t="shared" si="35"/>
        <v>0</v>
      </c>
      <c r="DN15" s="208">
        <f t="shared" si="36"/>
        <v>0</v>
      </c>
      <c r="DQ15" s="208">
        <f t="shared" si="37"/>
        <v>0</v>
      </c>
      <c r="DT15" s="208">
        <f t="shared" si="38"/>
        <v>0</v>
      </c>
      <c r="DW15" s="208">
        <f t="shared" si="39"/>
        <v>0</v>
      </c>
      <c r="DZ15" s="208"/>
      <c r="EA15" s="208"/>
      <c r="EB15" s="228">
        <f t="shared" si="40"/>
        <v>0</v>
      </c>
      <c r="EC15" s="228">
        <f t="shared" si="41"/>
        <v>0</v>
      </c>
      <c r="ED15" s="208">
        <f t="shared" si="42"/>
        <v>0</v>
      </c>
      <c r="EE15" s="209">
        <f t="shared" si="43"/>
        <v>0</v>
      </c>
      <c r="EG15" s="228">
        <f t="shared" si="44"/>
        <v>0</v>
      </c>
      <c r="EH15" s="208">
        <f t="shared" si="45"/>
        <v>0</v>
      </c>
      <c r="EI15" s="209">
        <f t="shared" si="46"/>
        <v>0</v>
      </c>
      <c r="EJ15" s="209"/>
      <c r="EK15" s="228">
        <f t="shared" si="47"/>
        <v>0</v>
      </c>
      <c r="EL15" s="228">
        <f t="shared" si="48"/>
        <v>0</v>
      </c>
      <c r="EM15" s="228">
        <f t="shared" si="49"/>
        <v>0</v>
      </c>
      <c r="EN15" s="209">
        <f t="shared" si="50"/>
        <v>0</v>
      </c>
      <c r="EP15" s="208"/>
    </row>
    <row r="16" spans="1:147" x14ac:dyDescent="0.25">
      <c r="A16" s="222">
        <f t="shared" si="51"/>
        <v>46209</v>
      </c>
      <c r="B16" s="208">
        <v>0</v>
      </c>
      <c r="C16" s="209">
        <v>3.8999270000000003E-2</v>
      </c>
      <c r="D16" s="208">
        <f t="shared" si="0"/>
        <v>0</v>
      </c>
      <c r="G16" s="208">
        <f t="shared" si="1"/>
        <v>0</v>
      </c>
      <c r="J16" s="208">
        <f t="shared" si="2"/>
        <v>0</v>
      </c>
      <c r="M16" s="208">
        <f t="shared" si="3"/>
        <v>0</v>
      </c>
      <c r="P16" s="208">
        <f t="shared" si="4"/>
        <v>0</v>
      </c>
      <c r="S16" s="208">
        <f t="shared" si="5"/>
        <v>0</v>
      </c>
      <c r="V16" s="208">
        <f t="shared" si="6"/>
        <v>0</v>
      </c>
      <c r="Y16" s="208">
        <f t="shared" si="7"/>
        <v>0</v>
      </c>
      <c r="AB16" s="208">
        <f t="shared" si="8"/>
        <v>0</v>
      </c>
      <c r="AE16" s="208">
        <v>0</v>
      </c>
      <c r="AH16" s="208">
        <v>0</v>
      </c>
      <c r="AI16" s="223">
        <v>113000000</v>
      </c>
      <c r="AJ16" s="224">
        <v>3.8800000000000001E-2</v>
      </c>
      <c r="AK16" s="208">
        <f t="shared" si="9"/>
        <v>12178.888888888889</v>
      </c>
      <c r="AL16" s="223"/>
      <c r="AM16" s="224"/>
      <c r="AN16" s="208">
        <f t="shared" si="10"/>
        <v>0</v>
      </c>
      <c r="AO16" s="223"/>
      <c r="AP16" s="224"/>
      <c r="AQ16" s="208">
        <f t="shared" si="11"/>
        <v>0</v>
      </c>
      <c r="AR16" s="223"/>
      <c r="AS16" s="224"/>
      <c r="AT16" s="208">
        <f t="shared" si="12"/>
        <v>0</v>
      </c>
      <c r="AW16" s="208">
        <f t="shared" si="13"/>
        <v>0</v>
      </c>
      <c r="AZ16" s="208">
        <f t="shared" si="14"/>
        <v>0</v>
      </c>
      <c r="BC16" s="208">
        <f t="shared" si="15"/>
        <v>0</v>
      </c>
      <c r="BF16" s="208">
        <f t="shared" si="16"/>
        <v>0</v>
      </c>
      <c r="BI16" s="208">
        <f t="shared" si="17"/>
        <v>0</v>
      </c>
      <c r="BL16" s="208">
        <f t="shared" si="18"/>
        <v>0</v>
      </c>
      <c r="BO16" s="208">
        <f t="shared" si="19"/>
        <v>0</v>
      </c>
      <c r="BR16" s="208">
        <f t="shared" si="20"/>
        <v>0</v>
      </c>
      <c r="BU16" s="208">
        <f t="shared" si="21"/>
        <v>0</v>
      </c>
      <c r="BX16" s="208">
        <f t="shared" si="22"/>
        <v>0</v>
      </c>
      <c r="CA16" s="208">
        <f t="shared" si="23"/>
        <v>0</v>
      </c>
      <c r="CD16" s="208">
        <f t="shared" si="24"/>
        <v>0</v>
      </c>
      <c r="CG16" s="208">
        <f t="shared" si="25"/>
        <v>0</v>
      </c>
      <c r="CJ16" s="208">
        <f t="shared" si="26"/>
        <v>0</v>
      </c>
      <c r="CM16" s="208">
        <f t="shared" si="27"/>
        <v>0</v>
      </c>
      <c r="CP16" s="208">
        <f t="shared" si="28"/>
        <v>0</v>
      </c>
      <c r="CS16" s="208">
        <f t="shared" si="29"/>
        <v>0</v>
      </c>
      <c r="CV16" s="208">
        <f t="shared" si="30"/>
        <v>0</v>
      </c>
      <c r="CY16" s="208">
        <f t="shared" si="31"/>
        <v>0</v>
      </c>
      <c r="DB16" s="208">
        <f t="shared" si="32"/>
        <v>0</v>
      </c>
      <c r="DE16" s="208">
        <f t="shared" si="33"/>
        <v>0</v>
      </c>
      <c r="DH16" s="208">
        <f t="shared" si="34"/>
        <v>0</v>
      </c>
      <c r="DK16" s="208">
        <f t="shared" si="35"/>
        <v>0</v>
      </c>
      <c r="DN16" s="208">
        <f t="shared" si="36"/>
        <v>0</v>
      </c>
      <c r="DQ16" s="208">
        <f t="shared" si="37"/>
        <v>0</v>
      </c>
      <c r="DT16" s="208">
        <f t="shared" si="38"/>
        <v>0</v>
      </c>
      <c r="DW16" s="208">
        <f t="shared" si="39"/>
        <v>0</v>
      </c>
      <c r="DZ16" s="208"/>
      <c r="EA16" s="208"/>
      <c r="EB16" s="228">
        <f t="shared" si="40"/>
        <v>113000000</v>
      </c>
      <c r="EC16" s="228">
        <f t="shared" si="41"/>
        <v>0</v>
      </c>
      <c r="ED16" s="208">
        <f t="shared" si="42"/>
        <v>12178.888888888889</v>
      </c>
      <c r="EE16" s="209">
        <f t="shared" si="43"/>
        <v>3.8800000000000001E-2</v>
      </c>
      <c r="EG16" s="228">
        <f t="shared" si="44"/>
        <v>0</v>
      </c>
      <c r="EH16" s="208">
        <f t="shared" si="45"/>
        <v>0</v>
      </c>
      <c r="EI16" s="209">
        <f t="shared" si="46"/>
        <v>0</v>
      </c>
      <c r="EJ16" s="209"/>
      <c r="EK16" s="228">
        <f t="shared" si="47"/>
        <v>113000000</v>
      </c>
      <c r="EL16" s="228">
        <f t="shared" si="48"/>
        <v>0</v>
      </c>
      <c r="EM16" s="228">
        <f t="shared" si="49"/>
        <v>12178.888888888889</v>
      </c>
      <c r="EN16" s="209">
        <f t="shared" si="50"/>
        <v>3.8800000000000001E-2</v>
      </c>
      <c r="EP16" s="208"/>
    </row>
    <row r="17" spans="1:146" x14ac:dyDescent="0.25">
      <c r="A17" s="222">
        <f t="shared" si="51"/>
        <v>46210</v>
      </c>
      <c r="B17" s="208">
        <v>0</v>
      </c>
      <c r="C17" s="209">
        <v>3.9270269999999996E-2</v>
      </c>
      <c r="D17" s="208">
        <f t="shared" si="0"/>
        <v>0</v>
      </c>
      <c r="G17" s="208">
        <f t="shared" si="1"/>
        <v>0</v>
      </c>
      <c r="J17" s="208">
        <f t="shared" si="2"/>
        <v>0</v>
      </c>
      <c r="M17" s="208">
        <f t="shared" si="3"/>
        <v>0</v>
      </c>
      <c r="P17" s="208">
        <f t="shared" si="4"/>
        <v>0</v>
      </c>
      <c r="S17" s="208">
        <f t="shared" si="5"/>
        <v>0</v>
      </c>
      <c r="V17" s="208">
        <f t="shared" si="6"/>
        <v>0</v>
      </c>
      <c r="Y17" s="208">
        <f t="shared" si="7"/>
        <v>0</v>
      </c>
      <c r="AB17" s="208">
        <f t="shared" si="8"/>
        <v>0</v>
      </c>
      <c r="AE17" s="208">
        <v>0</v>
      </c>
      <c r="AH17" s="208">
        <v>0</v>
      </c>
      <c r="AI17" s="223"/>
      <c r="AJ17" s="224"/>
      <c r="AK17" s="208">
        <f t="shared" si="9"/>
        <v>0</v>
      </c>
      <c r="AL17" s="223">
        <v>100000000</v>
      </c>
      <c r="AM17" s="224">
        <v>3.9399999999999998E-2</v>
      </c>
      <c r="AN17" s="208">
        <f t="shared" si="10"/>
        <v>10944.444444444443</v>
      </c>
      <c r="AO17" s="223"/>
      <c r="AP17" s="224"/>
      <c r="AQ17" s="208">
        <f t="shared" si="11"/>
        <v>0</v>
      </c>
      <c r="AR17" s="223"/>
      <c r="AS17" s="224"/>
      <c r="AT17" s="208">
        <f t="shared" si="12"/>
        <v>0</v>
      </c>
      <c r="AW17" s="208">
        <f t="shared" si="13"/>
        <v>0</v>
      </c>
      <c r="AZ17" s="208">
        <f t="shared" si="14"/>
        <v>0</v>
      </c>
      <c r="BC17" s="208">
        <f t="shared" si="15"/>
        <v>0</v>
      </c>
      <c r="BF17" s="208">
        <f t="shared" si="16"/>
        <v>0</v>
      </c>
      <c r="BI17" s="208">
        <f t="shared" si="17"/>
        <v>0</v>
      </c>
      <c r="BL17" s="208">
        <f t="shared" si="18"/>
        <v>0</v>
      </c>
      <c r="BO17" s="208">
        <f t="shared" si="19"/>
        <v>0</v>
      </c>
      <c r="BR17" s="208">
        <f t="shared" si="20"/>
        <v>0</v>
      </c>
      <c r="BU17" s="208">
        <f t="shared" si="21"/>
        <v>0</v>
      </c>
      <c r="BX17" s="208">
        <f t="shared" si="22"/>
        <v>0</v>
      </c>
      <c r="CA17" s="208">
        <f t="shared" si="23"/>
        <v>0</v>
      </c>
      <c r="CD17" s="208">
        <f t="shared" si="24"/>
        <v>0</v>
      </c>
      <c r="CG17" s="208">
        <f t="shared" si="25"/>
        <v>0</v>
      </c>
      <c r="CJ17" s="208">
        <f t="shared" si="26"/>
        <v>0</v>
      </c>
      <c r="CM17" s="208">
        <f t="shared" si="27"/>
        <v>0</v>
      </c>
      <c r="CP17" s="208">
        <f t="shared" si="28"/>
        <v>0</v>
      </c>
      <c r="CS17" s="208">
        <f t="shared" si="29"/>
        <v>0</v>
      </c>
      <c r="CV17" s="208">
        <f t="shared" si="30"/>
        <v>0</v>
      </c>
      <c r="CY17" s="208">
        <f t="shared" si="31"/>
        <v>0</v>
      </c>
      <c r="DB17" s="208">
        <f t="shared" si="32"/>
        <v>0</v>
      </c>
      <c r="DE17" s="208">
        <f t="shared" si="33"/>
        <v>0</v>
      </c>
      <c r="DH17" s="208">
        <f t="shared" si="34"/>
        <v>0</v>
      </c>
      <c r="DK17" s="208">
        <f t="shared" si="35"/>
        <v>0</v>
      </c>
      <c r="DN17" s="208">
        <f t="shared" si="36"/>
        <v>0</v>
      </c>
      <c r="DQ17" s="208">
        <f t="shared" si="37"/>
        <v>0</v>
      </c>
      <c r="DT17" s="208">
        <f t="shared" si="38"/>
        <v>0</v>
      </c>
      <c r="DW17" s="208">
        <f t="shared" si="39"/>
        <v>0</v>
      </c>
      <c r="DZ17" s="208"/>
      <c r="EA17" s="208"/>
      <c r="EB17" s="228">
        <f t="shared" si="40"/>
        <v>100000000</v>
      </c>
      <c r="EC17" s="228">
        <f t="shared" si="41"/>
        <v>0</v>
      </c>
      <c r="ED17" s="208">
        <f t="shared" si="42"/>
        <v>10944.444444444443</v>
      </c>
      <c r="EE17" s="209">
        <f t="shared" si="43"/>
        <v>3.9399999999999998E-2</v>
      </c>
      <c r="EG17" s="228">
        <f t="shared" si="44"/>
        <v>0</v>
      </c>
      <c r="EH17" s="208">
        <f t="shared" si="45"/>
        <v>0</v>
      </c>
      <c r="EI17" s="209">
        <f t="shared" si="46"/>
        <v>0</v>
      </c>
      <c r="EJ17" s="209"/>
      <c r="EK17" s="228">
        <f t="shared" si="47"/>
        <v>100000000</v>
      </c>
      <c r="EL17" s="228">
        <f t="shared" si="48"/>
        <v>0</v>
      </c>
      <c r="EM17" s="228">
        <f t="shared" si="49"/>
        <v>10944.444444444443</v>
      </c>
      <c r="EN17" s="209">
        <f t="shared" si="50"/>
        <v>3.9399999999999998E-2</v>
      </c>
      <c r="EP17" s="208"/>
    </row>
    <row r="18" spans="1:146" x14ac:dyDescent="0.25">
      <c r="A18" s="222">
        <f t="shared" si="51"/>
        <v>46211</v>
      </c>
      <c r="B18" s="208">
        <v>0</v>
      </c>
      <c r="C18" s="209">
        <v>3.918837E-2</v>
      </c>
      <c r="D18" s="208">
        <f t="shared" si="0"/>
        <v>0</v>
      </c>
      <c r="G18" s="208">
        <f t="shared" si="1"/>
        <v>0</v>
      </c>
      <c r="J18" s="208">
        <f t="shared" si="2"/>
        <v>0</v>
      </c>
      <c r="M18" s="208">
        <f t="shared" si="3"/>
        <v>0</v>
      </c>
      <c r="P18" s="208">
        <f t="shared" si="4"/>
        <v>0</v>
      </c>
      <c r="S18" s="208">
        <f t="shared" si="5"/>
        <v>0</v>
      </c>
      <c r="V18" s="208">
        <f t="shared" si="6"/>
        <v>0</v>
      </c>
      <c r="Y18" s="208">
        <f t="shared" si="7"/>
        <v>0</v>
      </c>
      <c r="AB18" s="208">
        <f t="shared" si="8"/>
        <v>0</v>
      </c>
      <c r="AE18" s="208">
        <v>0</v>
      </c>
      <c r="AH18" s="208">
        <v>0</v>
      </c>
      <c r="AI18" s="223"/>
      <c r="AJ18" s="224"/>
      <c r="AK18" s="208">
        <f t="shared" si="9"/>
        <v>0</v>
      </c>
      <c r="AL18" s="223">
        <v>100000000</v>
      </c>
      <c r="AM18" s="224">
        <v>3.9399999999999998E-2</v>
      </c>
      <c r="AN18" s="208">
        <f t="shared" si="10"/>
        <v>10944.444444444443</v>
      </c>
      <c r="AO18" s="223"/>
      <c r="AP18" s="224"/>
      <c r="AQ18" s="208">
        <f t="shared" si="11"/>
        <v>0</v>
      </c>
      <c r="AR18" s="223"/>
      <c r="AS18" s="224"/>
      <c r="AT18" s="208">
        <f t="shared" si="12"/>
        <v>0</v>
      </c>
      <c r="AW18" s="208">
        <f t="shared" si="13"/>
        <v>0</v>
      </c>
      <c r="AZ18" s="208">
        <f t="shared" si="14"/>
        <v>0</v>
      </c>
      <c r="BC18" s="208">
        <f t="shared" si="15"/>
        <v>0</v>
      </c>
      <c r="BF18" s="208">
        <f t="shared" si="16"/>
        <v>0</v>
      </c>
      <c r="BI18" s="208">
        <f t="shared" si="17"/>
        <v>0</v>
      </c>
      <c r="BL18" s="208">
        <f t="shared" si="18"/>
        <v>0</v>
      </c>
      <c r="BO18" s="208">
        <f t="shared" si="19"/>
        <v>0</v>
      </c>
      <c r="BR18" s="208">
        <f t="shared" si="20"/>
        <v>0</v>
      </c>
      <c r="BU18" s="208">
        <f t="shared" si="21"/>
        <v>0</v>
      </c>
      <c r="BX18" s="208">
        <f t="shared" si="22"/>
        <v>0</v>
      </c>
      <c r="CA18" s="208">
        <f t="shared" si="23"/>
        <v>0</v>
      </c>
      <c r="CD18" s="208">
        <f t="shared" si="24"/>
        <v>0</v>
      </c>
      <c r="CG18" s="208">
        <f t="shared" si="25"/>
        <v>0</v>
      </c>
      <c r="CJ18" s="208">
        <f t="shared" si="26"/>
        <v>0</v>
      </c>
      <c r="CM18" s="208">
        <f t="shared" si="27"/>
        <v>0</v>
      </c>
      <c r="CP18" s="208">
        <f t="shared" si="28"/>
        <v>0</v>
      </c>
      <c r="CS18" s="208">
        <f t="shared" si="29"/>
        <v>0</v>
      </c>
      <c r="CV18" s="208">
        <f t="shared" si="30"/>
        <v>0</v>
      </c>
      <c r="CY18" s="208">
        <f t="shared" si="31"/>
        <v>0</v>
      </c>
      <c r="DB18" s="208">
        <f t="shared" si="32"/>
        <v>0</v>
      </c>
      <c r="DE18" s="208">
        <f t="shared" si="33"/>
        <v>0</v>
      </c>
      <c r="DH18" s="208">
        <f t="shared" si="34"/>
        <v>0</v>
      </c>
      <c r="DK18" s="208">
        <f t="shared" si="35"/>
        <v>0</v>
      </c>
      <c r="DN18" s="208">
        <f t="shared" si="36"/>
        <v>0</v>
      </c>
      <c r="DQ18" s="208">
        <f t="shared" si="37"/>
        <v>0</v>
      </c>
      <c r="DT18" s="208">
        <f t="shared" si="38"/>
        <v>0</v>
      </c>
      <c r="DW18" s="208">
        <f t="shared" si="39"/>
        <v>0</v>
      </c>
      <c r="DZ18" s="208"/>
      <c r="EA18" s="208"/>
      <c r="EB18" s="228">
        <f t="shared" si="40"/>
        <v>100000000</v>
      </c>
      <c r="EC18" s="228">
        <f t="shared" si="41"/>
        <v>0</v>
      </c>
      <c r="ED18" s="208">
        <f t="shared" si="42"/>
        <v>10944.444444444443</v>
      </c>
      <c r="EE18" s="209">
        <f t="shared" si="43"/>
        <v>3.9399999999999998E-2</v>
      </c>
      <c r="EG18" s="228">
        <f t="shared" si="44"/>
        <v>0</v>
      </c>
      <c r="EH18" s="208">
        <f t="shared" si="45"/>
        <v>0</v>
      </c>
      <c r="EI18" s="209">
        <f t="shared" si="46"/>
        <v>0</v>
      </c>
      <c r="EJ18" s="209"/>
      <c r="EK18" s="228">
        <f t="shared" si="47"/>
        <v>100000000</v>
      </c>
      <c r="EL18" s="228">
        <f t="shared" si="48"/>
        <v>0</v>
      </c>
      <c r="EM18" s="228">
        <f t="shared" si="49"/>
        <v>10944.444444444443</v>
      </c>
      <c r="EN18" s="209">
        <f t="shared" si="50"/>
        <v>3.9399999999999998E-2</v>
      </c>
      <c r="EP18" s="208"/>
    </row>
    <row r="19" spans="1:146" x14ac:dyDescent="0.25">
      <c r="A19" s="222">
        <f t="shared" si="51"/>
        <v>46212</v>
      </c>
      <c r="B19" s="208">
        <v>0</v>
      </c>
      <c r="C19" s="209">
        <v>3.9104679999999996E-2</v>
      </c>
      <c r="D19" s="208">
        <f t="shared" si="0"/>
        <v>0</v>
      </c>
      <c r="G19" s="208">
        <f t="shared" si="1"/>
        <v>0</v>
      </c>
      <c r="J19" s="208">
        <f t="shared" si="2"/>
        <v>0</v>
      </c>
      <c r="M19" s="208">
        <f t="shared" si="3"/>
        <v>0</v>
      </c>
      <c r="P19" s="208">
        <f t="shared" si="4"/>
        <v>0</v>
      </c>
      <c r="S19" s="208">
        <f t="shared" si="5"/>
        <v>0</v>
      </c>
      <c r="V19" s="208">
        <f t="shared" si="6"/>
        <v>0</v>
      </c>
      <c r="Y19" s="208">
        <f t="shared" si="7"/>
        <v>0</v>
      </c>
      <c r="AB19" s="208">
        <f t="shared" si="8"/>
        <v>0</v>
      </c>
      <c r="AE19" s="208">
        <v>0</v>
      </c>
      <c r="AH19" s="208">
        <v>0</v>
      </c>
      <c r="AI19" s="223"/>
      <c r="AJ19" s="224"/>
      <c r="AK19" s="208">
        <f t="shared" si="9"/>
        <v>0</v>
      </c>
      <c r="AL19" s="223">
        <v>100000000</v>
      </c>
      <c r="AM19" s="224">
        <v>3.9399999999999998E-2</v>
      </c>
      <c r="AN19" s="208">
        <f t="shared" si="10"/>
        <v>10944.444444444443</v>
      </c>
      <c r="AO19" s="223"/>
      <c r="AP19" s="224"/>
      <c r="AQ19" s="208">
        <f t="shared" si="11"/>
        <v>0</v>
      </c>
      <c r="AR19" s="223"/>
      <c r="AS19" s="224"/>
      <c r="AT19" s="208">
        <f t="shared" si="12"/>
        <v>0</v>
      </c>
      <c r="AW19" s="208">
        <f t="shared" si="13"/>
        <v>0</v>
      </c>
      <c r="AZ19" s="208">
        <f t="shared" si="14"/>
        <v>0</v>
      </c>
      <c r="BC19" s="208">
        <f t="shared" si="15"/>
        <v>0</v>
      </c>
      <c r="BF19" s="208">
        <f t="shared" si="16"/>
        <v>0</v>
      </c>
      <c r="BI19" s="208">
        <f t="shared" si="17"/>
        <v>0</v>
      </c>
      <c r="BL19" s="208">
        <f t="shared" si="18"/>
        <v>0</v>
      </c>
      <c r="BO19" s="208">
        <f t="shared" si="19"/>
        <v>0</v>
      </c>
      <c r="BR19" s="208">
        <f t="shared" si="20"/>
        <v>0</v>
      </c>
      <c r="BU19" s="208">
        <f t="shared" si="21"/>
        <v>0</v>
      </c>
      <c r="BX19" s="208">
        <f t="shared" si="22"/>
        <v>0</v>
      </c>
      <c r="CA19" s="208">
        <f t="shared" si="23"/>
        <v>0</v>
      </c>
      <c r="CD19" s="208">
        <f t="shared" si="24"/>
        <v>0</v>
      </c>
      <c r="CG19" s="208">
        <f t="shared" si="25"/>
        <v>0</v>
      </c>
      <c r="CJ19" s="208">
        <f t="shared" si="26"/>
        <v>0</v>
      </c>
      <c r="CM19" s="208">
        <f t="shared" si="27"/>
        <v>0</v>
      </c>
      <c r="CP19" s="208">
        <f t="shared" si="28"/>
        <v>0</v>
      </c>
      <c r="CS19" s="208">
        <f t="shared" si="29"/>
        <v>0</v>
      </c>
      <c r="CV19" s="208">
        <f t="shared" si="30"/>
        <v>0</v>
      </c>
      <c r="CY19" s="208">
        <f t="shared" si="31"/>
        <v>0</v>
      </c>
      <c r="DB19" s="208">
        <f t="shared" si="32"/>
        <v>0</v>
      </c>
      <c r="DE19" s="208">
        <f t="shared" si="33"/>
        <v>0</v>
      </c>
      <c r="DH19" s="208">
        <f t="shared" si="34"/>
        <v>0</v>
      </c>
      <c r="DK19" s="208">
        <f t="shared" si="35"/>
        <v>0</v>
      </c>
      <c r="DN19" s="208">
        <f t="shared" si="36"/>
        <v>0</v>
      </c>
      <c r="DQ19" s="208">
        <f t="shared" si="37"/>
        <v>0</v>
      </c>
      <c r="DT19" s="208">
        <f t="shared" si="38"/>
        <v>0</v>
      </c>
      <c r="DW19" s="208">
        <f t="shared" si="39"/>
        <v>0</v>
      </c>
      <c r="DZ19" s="208"/>
      <c r="EA19" s="208"/>
      <c r="EB19" s="228">
        <f t="shared" si="40"/>
        <v>100000000</v>
      </c>
      <c r="EC19" s="228">
        <f t="shared" si="41"/>
        <v>0</v>
      </c>
      <c r="ED19" s="208">
        <f t="shared" si="42"/>
        <v>10944.444444444443</v>
      </c>
      <c r="EE19" s="209">
        <f t="shared" si="43"/>
        <v>3.9399999999999998E-2</v>
      </c>
      <c r="EG19" s="228">
        <f t="shared" si="44"/>
        <v>0</v>
      </c>
      <c r="EH19" s="208">
        <f t="shared" si="45"/>
        <v>0</v>
      </c>
      <c r="EI19" s="209">
        <f t="shared" si="46"/>
        <v>0</v>
      </c>
      <c r="EJ19" s="209"/>
      <c r="EK19" s="228">
        <f t="shared" si="47"/>
        <v>100000000</v>
      </c>
      <c r="EL19" s="228">
        <f t="shared" si="48"/>
        <v>0</v>
      </c>
      <c r="EM19" s="228">
        <f t="shared" si="49"/>
        <v>10944.444444444443</v>
      </c>
      <c r="EN19" s="209">
        <f t="shared" si="50"/>
        <v>3.9399999999999998E-2</v>
      </c>
      <c r="EP19" s="208"/>
    </row>
    <row r="20" spans="1:146" x14ac:dyDescent="0.25">
      <c r="A20" s="222">
        <f t="shared" si="51"/>
        <v>46213</v>
      </c>
      <c r="B20" s="208">
        <v>0</v>
      </c>
      <c r="C20" s="209">
        <v>3.9137089999999999E-2</v>
      </c>
      <c r="D20" s="208">
        <f t="shared" si="0"/>
        <v>0</v>
      </c>
      <c r="G20" s="208">
        <f t="shared" si="1"/>
        <v>0</v>
      </c>
      <c r="J20" s="208">
        <f t="shared" si="2"/>
        <v>0</v>
      </c>
      <c r="M20" s="208">
        <f t="shared" si="3"/>
        <v>0</v>
      </c>
      <c r="P20" s="208">
        <f t="shared" si="4"/>
        <v>0</v>
      </c>
      <c r="S20" s="208">
        <f t="shared" si="5"/>
        <v>0</v>
      </c>
      <c r="V20" s="208">
        <f t="shared" si="6"/>
        <v>0</v>
      </c>
      <c r="Y20" s="208">
        <f t="shared" si="7"/>
        <v>0</v>
      </c>
      <c r="AB20" s="208">
        <f t="shared" si="8"/>
        <v>0</v>
      </c>
      <c r="AE20" s="208">
        <v>0</v>
      </c>
      <c r="AH20" s="208">
        <v>0</v>
      </c>
      <c r="AI20" s="223"/>
      <c r="AJ20" s="224"/>
      <c r="AK20" s="208">
        <f t="shared" si="9"/>
        <v>0</v>
      </c>
      <c r="AL20" s="223">
        <v>100000000</v>
      </c>
      <c r="AM20" s="224">
        <v>3.9399999999999998E-2</v>
      </c>
      <c r="AN20" s="208">
        <f t="shared" si="10"/>
        <v>10944.444444444443</v>
      </c>
      <c r="AO20" s="223"/>
      <c r="AP20" s="224"/>
      <c r="AQ20" s="208">
        <f t="shared" si="11"/>
        <v>0</v>
      </c>
      <c r="AR20" s="223"/>
      <c r="AS20" s="224"/>
      <c r="AT20" s="208">
        <f t="shared" si="12"/>
        <v>0</v>
      </c>
      <c r="AW20" s="208">
        <f t="shared" si="13"/>
        <v>0</v>
      </c>
      <c r="AZ20" s="208">
        <f t="shared" si="14"/>
        <v>0</v>
      </c>
      <c r="BC20" s="208">
        <f t="shared" si="15"/>
        <v>0</v>
      </c>
      <c r="BF20" s="208">
        <f t="shared" si="16"/>
        <v>0</v>
      </c>
      <c r="BI20" s="208">
        <f t="shared" si="17"/>
        <v>0</v>
      </c>
      <c r="BL20" s="208">
        <f t="shared" si="18"/>
        <v>0</v>
      </c>
      <c r="BO20" s="208">
        <f t="shared" si="19"/>
        <v>0</v>
      </c>
      <c r="BR20" s="208">
        <f t="shared" si="20"/>
        <v>0</v>
      </c>
      <c r="BU20" s="208">
        <f t="shared" si="21"/>
        <v>0</v>
      </c>
      <c r="BX20" s="208">
        <f t="shared" si="22"/>
        <v>0</v>
      </c>
      <c r="CA20" s="208">
        <f t="shared" si="23"/>
        <v>0</v>
      </c>
      <c r="CD20" s="208">
        <f t="shared" si="24"/>
        <v>0</v>
      </c>
      <c r="CG20" s="208">
        <f t="shared" si="25"/>
        <v>0</v>
      </c>
      <c r="CJ20" s="208">
        <f t="shared" si="26"/>
        <v>0</v>
      </c>
      <c r="CM20" s="208">
        <f t="shared" si="27"/>
        <v>0</v>
      </c>
      <c r="CP20" s="208">
        <f t="shared" si="28"/>
        <v>0</v>
      </c>
      <c r="CS20" s="208">
        <f t="shared" si="29"/>
        <v>0</v>
      </c>
      <c r="CV20" s="208">
        <f t="shared" si="30"/>
        <v>0</v>
      </c>
      <c r="CY20" s="208">
        <f t="shared" si="31"/>
        <v>0</v>
      </c>
      <c r="DB20" s="208">
        <f t="shared" si="32"/>
        <v>0</v>
      </c>
      <c r="DE20" s="208">
        <f t="shared" si="33"/>
        <v>0</v>
      </c>
      <c r="DH20" s="208">
        <f t="shared" si="34"/>
        <v>0</v>
      </c>
      <c r="DK20" s="208">
        <f t="shared" si="35"/>
        <v>0</v>
      </c>
      <c r="DN20" s="208">
        <f t="shared" si="36"/>
        <v>0</v>
      </c>
      <c r="DQ20" s="208">
        <f t="shared" si="37"/>
        <v>0</v>
      </c>
      <c r="DT20" s="208">
        <f t="shared" si="38"/>
        <v>0</v>
      </c>
      <c r="DW20" s="208">
        <f t="shared" si="39"/>
        <v>0</v>
      </c>
      <c r="DZ20" s="208"/>
      <c r="EA20" s="208"/>
      <c r="EB20" s="228">
        <f t="shared" si="40"/>
        <v>100000000</v>
      </c>
      <c r="EC20" s="228">
        <f t="shared" si="41"/>
        <v>0</v>
      </c>
      <c r="ED20" s="208">
        <f t="shared" si="42"/>
        <v>10944.444444444443</v>
      </c>
      <c r="EE20" s="209">
        <f t="shared" si="43"/>
        <v>3.9399999999999998E-2</v>
      </c>
      <c r="EG20" s="228">
        <f t="shared" si="44"/>
        <v>0</v>
      </c>
      <c r="EH20" s="208">
        <f t="shared" si="45"/>
        <v>0</v>
      </c>
      <c r="EI20" s="209">
        <f t="shared" si="46"/>
        <v>0</v>
      </c>
      <c r="EJ20" s="209"/>
      <c r="EK20" s="228">
        <f t="shared" si="47"/>
        <v>100000000</v>
      </c>
      <c r="EL20" s="228">
        <f t="shared" si="48"/>
        <v>0</v>
      </c>
      <c r="EM20" s="228">
        <f t="shared" si="49"/>
        <v>10944.444444444443</v>
      </c>
      <c r="EN20" s="209">
        <f t="shared" si="50"/>
        <v>3.9399999999999998E-2</v>
      </c>
      <c r="EP20" s="208"/>
    </row>
    <row r="21" spans="1:146" x14ac:dyDescent="0.25">
      <c r="A21" s="222">
        <f t="shared" si="51"/>
        <v>46214</v>
      </c>
      <c r="B21" s="208">
        <v>0</v>
      </c>
      <c r="C21" s="209">
        <v>3.9137089999999999E-2</v>
      </c>
      <c r="D21" s="208">
        <f t="shared" si="0"/>
        <v>0</v>
      </c>
      <c r="G21" s="208">
        <f t="shared" si="1"/>
        <v>0</v>
      </c>
      <c r="J21" s="208">
        <f t="shared" si="2"/>
        <v>0</v>
      </c>
      <c r="M21" s="208">
        <f t="shared" si="3"/>
        <v>0</v>
      </c>
      <c r="P21" s="208">
        <f t="shared" si="4"/>
        <v>0</v>
      </c>
      <c r="S21" s="208">
        <f t="shared" si="5"/>
        <v>0</v>
      </c>
      <c r="V21" s="208">
        <f t="shared" si="6"/>
        <v>0</v>
      </c>
      <c r="Y21" s="208">
        <f t="shared" si="7"/>
        <v>0</v>
      </c>
      <c r="AB21" s="208">
        <f t="shared" si="8"/>
        <v>0</v>
      </c>
      <c r="AE21" s="208">
        <v>0</v>
      </c>
      <c r="AH21" s="208">
        <v>0</v>
      </c>
      <c r="AI21" s="223"/>
      <c r="AJ21" s="224"/>
      <c r="AK21" s="208">
        <f t="shared" si="9"/>
        <v>0</v>
      </c>
      <c r="AL21" s="223">
        <v>100000000</v>
      </c>
      <c r="AM21" s="224">
        <v>3.9399999999999998E-2</v>
      </c>
      <c r="AN21" s="208">
        <f t="shared" si="10"/>
        <v>10944.444444444443</v>
      </c>
      <c r="AO21" s="223"/>
      <c r="AP21" s="224"/>
      <c r="AQ21" s="208">
        <f t="shared" si="11"/>
        <v>0</v>
      </c>
      <c r="AR21" s="223"/>
      <c r="AS21" s="224"/>
      <c r="AT21" s="208">
        <f t="shared" si="12"/>
        <v>0</v>
      </c>
      <c r="AW21" s="208">
        <f t="shared" si="13"/>
        <v>0</v>
      </c>
      <c r="AZ21" s="208">
        <f t="shared" si="14"/>
        <v>0</v>
      </c>
      <c r="BC21" s="208">
        <f t="shared" si="15"/>
        <v>0</v>
      </c>
      <c r="BF21" s="208">
        <f t="shared" si="16"/>
        <v>0</v>
      </c>
      <c r="BI21" s="208">
        <f t="shared" si="17"/>
        <v>0</v>
      </c>
      <c r="BL21" s="208">
        <f t="shared" si="18"/>
        <v>0</v>
      </c>
      <c r="BO21" s="208">
        <f t="shared" si="19"/>
        <v>0</v>
      </c>
      <c r="BR21" s="208">
        <f t="shared" si="20"/>
        <v>0</v>
      </c>
      <c r="BU21" s="208">
        <f t="shared" si="21"/>
        <v>0</v>
      </c>
      <c r="BX21" s="208">
        <f t="shared" si="22"/>
        <v>0</v>
      </c>
      <c r="CA21" s="208">
        <f t="shared" si="23"/>
        <v>0</v>
      </c>
      <c r="CD21" s="208">
        <f t="shared" si="24"/>
        <v>0</v>
      </c>
      <c r="CG21" s="208">
        <f t="shared" si="25"/>
        <v>0</v>
      </c>
      <c r="CJ21" s="208">
        <f t="shared" si="26"/>
        <v>0</v>
      </c>
      <c r="CM21" s="208">
        <f t="shared" si="27"/>
        <v>0</v>
      </c>
      <c r="CP21" s="208">
        <f t="shared" si="28"/>
        <v>0</v>
      </c>
      <c r="CS21" s="208">
        <f t="shared" si="29"/>
        <v>0</v>
      </c>
      <c r="CV21" s="208">
        <f t="shared" si="30"/>
        <v>0</v>
      </c>
      <c r="CY21" s="208">
        <f t="shared" si="31"/>
        <v>0</v>
      </c>
      <c r="DB21" s="208">
        <f t="shared" si="32"/>
        <v>0</v>
      </c>
      <c r="DE21" s="208">
        <f t="shared" si="33"/>
        <v>0</v>
      </c>
      <c r="DH21" s="208">
        <f t="shared" si="34"/>
        <v>0</v>
      </c>
      <c r="DK21" s="208">
        <f t="shared" si="35"/>
        <v>0</v>
      </c>
      <c r="DN21" s="208">
        <f t="shared" si="36"/>
        <v>0</v>
      </c>
      <c r="DQ21" s="208">
        <f t="shared" si="37"/>
        <v>0</v>
      </c>
      <c r="DT21" s="208">
        <f t="shared" si="38"/>
        <v>0</v>
      </c>
      <c r="DW21" s="208">
        <f t="shared" si="39"/>
        <v>0</v>
      </c>
      <c r="DZ21" s="208"/>
      <c r="EA21" s="208"/>
      <c r="EB21" s="228">
        <f t="shared" si="40"/>
        <v>100000000</v>
      </c>
      <c r="EC21" s="228">
        <f t="shared" si="41"/>
        <v>0</v>
      </c>
      <c r="ED21" s="208">
        <f t="shared" si="42"/>
        <v>10944.444444444443</v>
      </c>
      <c r="EE21" s="209">
        <f t="shared" si="43"/>
        <v>3.9399999999999998E-2</v>
      </c>
      <c r="EG21" s="228">
        <f t="shared" si="44"/>
        <v>0</v>
      </c>
      <c r="EH21" s="208">
        <f t="shared" si="45"/>
        <v>0</v>
      </c>
      <c r="EI21" s="209">
        <f t="shared" si="46"/>
        <v>0</v>
      </c>
      <c r="EJ21" s="209"/>
      <c r="EK21" s="228">
        <f t="shared" si="47"/>
        <v>100000000</v>
      </c>
      <c r="EL21" s="228">
        <f t="shared" si="48"/>
        <v>0</v>
      </c>
      <c r="EM21" s="228">
        <f t="shared" si="49"/>
        <v>10944.444444444443</v>
      </c>
      <c r="EN21" s="209">
        <f t="shared" si="50"/>
        <v>3.9399999999999998E-2</v>
      </c>
      <c r="EP21" s="208"/>
    </row>
    <row r="22" spans="1:146" x14ac:dyDescent="0.25">
      <c r="A22" s="222">
        <f t="shared" si="51"/>
        <v>46215</v>
      </c>
      <c r="B22" s="208">
        <v>0</v>
      </c>
      <c r="C22" s="209">
        <v>3.9137089999999999E-2</v>
      </c>
      <c r="D22" s="208">
        <f t="shared" si="0"/>
        <v>0</v>
      </c>
      <c r="G22" s="208">
        <f t="shared" si="1"/>
        <v>0</v>
      </c>
      <c r="J22" s="208">
        <f t="shared" si="2"/>
        <v>0</v>
      </c>
      <c r="M22" s="208">
        <f t="shared" si="3"/>
        <v>0</v>
      </c>
      <c r="P22" s="208">
        <f t="shared" si="4"/>
        <v>0</v>
      </c>
      <c r="S22" s="208">
        <f t="shared" si="5"/>
        <v>0</v>
      </c>
      <c r="V22" s="208">
        <f t="shared" si="6"/>
        <v>0</v>
      </c>
      <c r="Y22" s="208">
        <f t="shared" si="7"/>
        <v>0</v>
      </c>
      <c r="AB22" s="208">
        <f t="shared" si="8"/>
        <v>0</v>
      </c>
      <c r="AE22" s="208">
        <v>0</v>
      </c>
      <c r="AH22" s="208">
        <v>0</v>
      </c>
      <c r="AI22" s="223"/>
      <c r="AJ22" s="224"/>
      <c r="AK22" s="208">
        <f t="shared" si="9"/>
        <v>0</v>
      </c>
      <c r="AL22" s="223">
        <v>100000000</v>
      </c>
      <c r="AM22" s="224">
        <v>3.9399999999999998E-2</v>
      </c>
      <c r="AN22" s="208">
        <f t="shared" si="10"/>
        <v>10944.444444444443</v>
      </c>
      <c r="AO22" s="223"/>
      <c r="AP22" s="224"/>
      <c r="AQ22" s="208">
        <f t="shared" si="11"/>
        <v>0</v>
      </c>
      <c r="AR22" s="223"/>
      <c r="AS22" s="224"/>
      <c r="AT22" s="208">
        <f t="shared" si="12"/>
        <v>0</v>
      </c>
      <c r="AW22" s="208">
        <f t="shared" si="13"/>
        <v>0</v>
      </c>
      <c r="AZ22" s="208">
        <f t="shared" si="14"/>
        <v>0</v>
      </c>
      <c r="BC22" s="208">
        <f t="shared" si="15"/>
        <v>0</v>
      </c>
      <c r="BF22" s="208">
        <f t="shared" si="16"/>
        <v>0</v>
      </c>
      <c r="BI22" s="208">
        <f t="shared" si="17"/>
        <v>0</v>
      </c>
      <c r="BL22" s="208">
        <f t="shared" si="18"/>
        <v>0</v>
      </c>
      <c r="BO22" s="208">
        <f t="shared" si="19"/>
        <v>0</v>
      </c>
      <c r="BR22" s="208">
        <f t="shared" si="20"/>
        <v>0</v>
      </c>
      <c r="BU22" s="208">
        <f t="shared" si="21"/>
        <v>0</v>
      </c>
      <c r="BX22" s="208">
        <f t="shared" si="22"/>
        <v>0</v>
      </c>
      <c r="CA22" s="208">
        <f t="shared" si="23"/>
        <v>0</v>
      </c>
      <c r="CD22" s="208">
        <f t="shared" si="24"/>
        <v>0</v>
      </c>
      <c r="CG22" s="208">
        <f t="shared" si="25"/>
        <v>0</v>
      </c>
      <c r="CJ22" s="208">
        <f t="shared" si="26"/>
        <v>0</v>
      </c>
      <c r="CM22" s="208">
        <f t="shared" si="27"/>
        <v>0</v>
      </c>
      <c r="CP22" s="208">
        <f t="shared" si="28"/>
        <v>0</v>
      </c>
      <c r="CS22" s="208">
        <f t="shared" si="29"/>
        <v>0</v>
      </c>
      <c r="CV22" s="208">
        <f t="shared" si="30"/>
        <v>0</v>
      </c>
      <c r="CY22" s="208">
        <f t="shared" si="31"/>
        <v>0</v>
      </c>
      <c r="DB22" s="208">
        <f t="shared" si="32"/>
        <v>0</v>
      </c>
      <c r="DE22" s="208">
        <f t="shared" si="33"/>
        <v>0</v>
      </c>
      <c r="DH22" s="208">
        <f t="shared" si="34"/>
        <v>0</v>
      </c>
      <c r="DK22" s="208">
        <f t="shared" si="35"/>
        <v>0</v>
      </c>
      <c r="DN22" s="208">
        <f t="shared" si="36"/>
        <v>0</v>
      </c>
      <c r="DQ22" s="208">
        <f t="shared" si="37"/>
        <v>0</v>
      </c>
      <c r="DT22" s="208">
        <f t="shared" si="38"/>
        <v>0</v>
      </c>
      <c r="DW22" s="208">
        <f t="shared" si="39"/>
        <v>0</v>
      </c>
      <c r="DZ22" s="208"/>
      <c r="EA22" s="208"/>
      <c r="EB22" s="228">
        <f t="shared" si="40"/>
        <v>100000000</v>
      </c>
      <c r="EC22" s="228">
        <f t="shared" si="41"/>
        <v>0</v>
      </c>
      <c r="ED22" s="208">
        <f t="shared" si="42"/>
        <v>10944.444444444443</v>
      </c>
      <c r="EE22" s="209">
        <f t="shared" si="43"/>
        <v>3.9399999999999998E-2</v>
      </c>
      <c r="EG22" s="228">
        <f t="shared" si="44"/>
        <v>0</v>
      </c>
      <c r="EH22" s="208">
        <f t="shared" si="45"/>
        <v>0</v>
      </c>
      <c r="EI22" s="209">
        <f t="shared" si="46"/>
        <v>0</v>
      </c>
      <c r="EJ22" s="209"/>
      <c r="EK22" s="228">
        <f t="shared" si="47"/>
        <v>100000000</v>
      </c>
      <c r="EL22" s="228">
        <f t="shared" si="48"/>
        <v>0</v>
      </c>
      <c r="EM22" s="228">
        <f t="shared" si="49"/>
        <v>10944.444444444443</v>
      </c>
      <c r="EN22" s="209">
        <f t="shared" si="50"/>
        <v>3.9399999999999998E-2</v>
      </c>
      <c r="EP22" s="208"/>
    </row>
    <row r="23" spans="1:146" x14ac:dyDescent="0.25">
      <c r="A23" s="222">
        <f t="shared" si="51"/>
        <v>46216</v>
      </c>
      <c r="B23" s="208">
        <v>0</v>
      </c>
      <c r="C23" s="209">
        <v>3.9247030000000002E-2</v>
      </c>
      <c r="D23" s="208">
        <f t="shared" si="0"/>
        <v>0</v>
      </c>
      <c r="G23" s="208">
        <f t="shared" si="1"/>
        <v>0</v>
      </c>
      <c r="J23" s="208">
        <f t="shared" si="2"/>
        <v>0</v>
      </c>
      <c r="M23" s="208">
        <f t="shared" si="3"/>
        <v>0</v>
      </c>
      <c r="P23" s="208">
        <f t="shared" si="4"/>
        <v>0</v>
      </c>
      <c r="S23" s="208">
        <f t="shared" si="5"/>
        <v>0</v>
      </c>
      <c r="V23" s="208">
        <f t="shared" si="6"/>
        <v>0</v>
      </c>
      <c r="Y23" s="208">
        <f t="shared" si="7"/>
        <v>0</v>
      </c>
      <c r="AB23" s="208">
        <f t="shared" si="8"/>
        <v>0</v>
      </c>
      <c r="AE23" s="208">
        <v>0</v>
      </c>
      <c r="AH23" s="208">
        <v>0</v>
      </c>
      <c r="AI23" s="223"/>
      <c r="AJ23" s="224"/>
      <c r="AK23" s="208">
        <f t="shared" si="9"/>
        <v>0</v>
      </c>
      <c r="AL23" s="223">
        <v>100000000</v>
      </c>
      <c r="AM23" s="224">
        <v>3.9399999999999998E-2</v>
      </c>
      <c r="AN23" s="208">
        <f t="shared" si="10"/>
        <v>10944.444444444443</v>
      </c>
      <c r="AO23" s="223"/>
      <c r="AP23" s="224"/>
      <c r="AQ23" s="208">
        <f t="shared" si="11"/>
        <v>0</v>
      </c>
      <c r="AR23" s="223"/>
      <c r="AS23" s="224"/>
      <c r="AT23" s="208">
        <f t="shared" si="12"/>
        <v>0</v>
      </c>
      <c r="AW23" s="208">
        <f t="shared" si="13"/>
        <v>0</v>
      </c>
      <c r="AZ23" s="208">
        <f t="shared" si="14"/>
        <v>0</v>
      </c>
      <c r="BC23" s="208">
        <f t="shared" si="15"/>
        <v>0</v>
      </c>
      <c r="BF23" s="208">
        <f t="shared" si="16"/>
        <v>0</v>
      </c>
      <c r="BI23" s="208">
        <f t="shared" si="17"/>
        <v>0</v>
      </c>
      <c r="BL23" s="208">
        <f t="shared" si="18"/>
        <v>0</v>
      </c>
      <c r="BO23" s="208">
        <f t="shared" si="19"/>
        <v>0</v>
      </c>
      <c r="BR23" s="208">
        <f t="shared" si="20"/>
        <v>0</v>
      </c>
      <c r="BU23" s="208">
        <f t="shared" si="21"/>
        <v>0</v>
      </c>
      <c r="BX23" s="208">
        <f t="shared" si="22"/>
        <v>0</v>
      </c>
      <c r="CA23" s="208">
        <f t="shared" si="23"/>
        <v>0</v>
      </c>
      <c r="CD23" s="208">
        <f t="shared" si="24"/>
        <v>0</v>
      </c>
      <c r="CG23" s="208">
        <f t="shared" si="25"/>
        <v>0</v>
      </c>
      <c r="CJ23" s="208">
        <f t="shared" si="26"/>
        <v>0</v>
      </c>
      <c r="CM23" s="208">
        <f t="shared" si="27"/>
        <v>0</v>
      </c>
      <c r="CP23" s="208">
        <f t="shared" si="28"/>
        <v>0</v>
      </c>
      <c r="CS23" s="208">
        <f t="shared" si="29"/>
        <v>0</v>
      </c>
      <c r="CV23" s="208">
        <f t="shared" si="30"/>
        <v>0</v>
      </c>
      <c r="CY23" s="208">
        <f t="shared" si="31"/>
        <v>0</v>
      </c>
      <c r="DB23" s="208">
        <f t="shared" si="32"/>
        <v>0</v>
      </c>
      <c r="DE23" s="208">
        <f t="shared" si="33"/>
        <v>0</v>
      </c>
      <c r="DH23" s="208">
        <f t="shared" si="34"/>
        <v>0</v>
      </c>
      <c r="DK23" s="208">
        <f t="shared" si="35"/>
        <v>0</v>
      </c>
      <c r="DN23" s="208">
        <f t="shared" si="36"/>
        <v>0</v>
      </c>
      <c r="DQ23" s="208">
        <f t="shared" si="37"/>
        <v>0</v>
      </c>
      <c r="DT23" s="208">
        <f t="shared" si="38"/>
        <v>0</v>
      </c>
      <c r="DW23" s="208">
        <f t="shared" si="39"/>
        <v>0</v>
      </c>
      <c r="DZ23" s="208"/>
      <c r="EA23" s="208"/>
      <c r="EB23" s="228">
        <f t="shared" si="40"/>
        <v>100000000</v>
      </c>
      <c r="EC23" s="228">
        <f t="shared" si="41"/>
        <v>0</v>
      </c>
      <c r="ED23" s="208">
        <f t="shared" si="42"/>
        <v>10944.444444444443</v>
      </c>
      <c r="EE23" s="209">
        <f t="shared" si="43"/>
        <v>3.9399999999999998E-2</v>
      </c>
      <c r="EG23" s="228">
        <f t="shared" si="44"/>
        <v>0</v>
      </c>
      <c r="EH23" s="208">
        <f t="shared" si="45"/>
        <v>0</v>
      </c>
      <c r="EI23" s="209">
        <f t="shared" si="46"/>
        <v>0</v>
      </c>
      <c r="EJ23" s="209"/>
      <c r="EK23" s="228">
        <f t="shared" si="47"/>
        <v>100000000</v>
      </c>
      <c r="EL23" s="228">
        <f t="shared" si="48"/>
        <v>0</v>
      </c>
      <c r="EM23" s="228">
        <f t="shared" si="49"/>
        <v>10944.444444444443</v>
      </c>
      <c r="EN23" s="209">
        <f t="shared" si="50"/>
        <v>3.9399999999999998E-2</v>
      </c>
      <c r="EP23" s="208"/>
    </row>
    <row r="24" spans="1:146" x14ac:dyDescent="0.25">
      <c r="A24" s="222">
        <f t="shared" si="51"/>
        <v>46217</v>
      </c>
      <c r="B24" s="208">
        <v>0</v>
      </c>
      <c r="C24" s="209">
        <v>3.902071E-2</v>
      </c>
      <c r="D24" s="208">
        <f t="shared" si="0"/>
        <v>0</v>
      </c>
      <c r="G24" s="208">
        <f t="shared" si="1"/>
        <v>0</v>
      </c>
      <c r="J24" s="208">
        <f t="shared" si="2"/>
        <v>0</v>
      </c>
      <c r="M24" s="208">
        <f t="shared" si="3"/>
        <v>0</v>
      </c>
      <c r="P24" s="208">
        <f t="shared" si="4"/>
        <v>0</v>
      </c>
      <c r="S24" s="208">
        <f t="shared" si="5"/>
        <v>0</v>
      </c>
      <c r="V24" s="208">
        <f t="shared" si="6"/>
        <v>0</v>
      </c>
      <c r="Y24" s="208">
        <f t="shared" si="7"/>
        <v>0</v>
      </c>
      <c r="AB24" s="208">
        <f t="shared" si="8"/>
        <v>0</v>
      </c>
      <c r="AE24" s="208">
        <v>0</v>
      </c>
      <c r="AH24" s="208">
        <v>0</v>
      </c>
      <c r="AI24" s="223"/>
      <c r="AJ24" s="224"/>
      <c r="AK24" s="208">
        <f t="shared" si="9"/>
        <v>0</v>
      </c>
      <c r="AL24" s="223"/>
      <c r="AM24" s="224"/>
      <c r="AN24" s="208">
        <f t="shared" si="10"/>
        <v>0</v>
      </c>
      <c r="AO24" s="223"/>
      <c r="AP24" s="224"/>
      <c r="AQ24" s="208">
        <f t="shared" si="11"/>
        <v>0</v>
      </c>
      <c r="AR24" s="223"/>
      <c r="AS24" s="224"/>
      <c r="AT24" s="208">
        <f t="shared" si="12"/>
        <v>0</v>
      </c>
      <c r="AW24" s="208">
        <f t="shared" si="13"/>
        <v>0</v>
      </c>
      <c r="AZ24" s="208">
        <f t="shared" si="14"/>
        <v>0</v>
      </c>
      <c r="BC24" s="208">
        <f t="shared" si="15"/>
        <v>0</v>
      </c>
      <c r="BF24" s="208">
        <f t="shared" si="16"/>
        <v>0</v>
      </c>
      <c r="BI24" s="208">
        <f t="shared" si="17"/>
        <v>0</v>
      </c>
      <c r="BL24" s="208">
        <f t="shared" si="18"/>
        <v>0</v>
      </c>
      <c r="BO24" s="208">
        <f t="shared" si="19"/>
        <v>0</v>
      </c>
      <c r="BR24" s="208">
        <f t="shared" si="20"/>
        <v>0</v>
      </c>
      <c r="BU24" s="208">
        <f t="shared" si="21"/>
        <v>0</v>
      </c>
      <c r="BX24" s="208">
        <f t="shared" si="22"/>
        <v>0</v>
      </c>
      <c r="CA24" s="208">
        <f t="shared" si="23"/>
        <v>0</v>
      </c>
      <c r="CD24" s="208">
        <f t="shared" si="24"/>
        <v>0</v>
      </c>
      <c r="CG24" s="208">
        <f t="shared" si="25"/>
        <v>0</v>
      </c>
      <c r="CJ24" s="208">
        <f t="shared" si="26"/>
        <v>0</v>
      </c>
      <c r="CM24" s="208">
        <f t="shared" si="27"/>
        <v>0</v>
      </c>
      <c r="CP24" s="208">
        <f t="shared" si="28"/>
        <v>0</v>
      </c>
      <c r="CS24" s="208">
        <f t="shared" si="29"/>
        <v>0</v>
      </c>
      <c r="CV24" s="208">
        <f t="shared" si="30"/>
        <v>0</v>
      </c>
      <c r="CY24" s="208">
        <f t="shared" si="31"/>
        <v>0</v>
      </c>
      <c r="DB24" s="208">
        <f t="shared" si="32"/>
        <v>0</v>
      </c>
      <c r="DE24" s="208">
        <f t="shared" si="33"/>
        <v>0</v>
      </c>
      <c r="DH24" s="208">
        <f t="shared" si="34"/>
        <v>0</v>
      </c>
      <c r="DK24" s="208">
        <f t="shared" si="35"/>
        <v>0</v>
      </c>
      <c r="DN24" s="208">
        <f t="shared" si="36"/>
        <v>0</v>
      </c>
      <c r="DQ24" s="208">
        <f t="shared" si="37"/>
        <v>0</v>
      </c>
      <c r="DT24" s="208">
        <f t="shared" si="38"/>
        <v>0</v>
      </c>
      <c r="DW24" s="208">
        <f t="shared" si="39"/>
        <v>0</v>
      </c>
      <c r="DZ24" s="208"/>
      <c r="EA24" s="208"/>
      <c r="EB24" s="228">
        <f t="shared" si="40"/>
        <v>0</v>
      </c>
      <c r="EC24" s="228">
        <f t="shared" si="41"/>
        <v>0</v>
      </c>
      <c r="ED24" s="208">
        <f t="shared" si="42"/>
        <v>0</v>
      </c>
      <c r="EE24" s="209">
        <f t="shared" si="43"/>
        <v>0</v>
      </c>
      <c r="EG24" s="228">
        <f t="shared" si="44"/>
        <v>0</v>
      </c>
      <c r="EH24" s="208">
        <f t="shared" si="45"/>
        <v>0</v>
      </c>
      <c r="EI24" s="209">
        <f t="shared" si="46"/>
        <v>0</v>
      </c>
      <c r="EJ24" s="209"/>
      <c r="EK24" s="228">
        <f t="shared" si="47"/>
        <v>0</v>
      </c>
      <c r="EL24" s="228">
        <f t="shared" si="48"/>
        <v>0</v>
      </c>
      <c r="EM24" s="228">
        <f t="shared" si="49"/>
        <v>0</v>
      </c>
      <c r="EN24" s="209">
        <f t="shared" si="50"/>
        <v>0</v>
      </c>
      <c r="EP24" s="208"/>
    </row>
    <row r="25" spans="1:146" x14ac:dyDescent="0.25">
      <c r="A25" s="222">
        <f t="shared" si="51"/>
        <v>46218</v>
      </c>
      <c r="B25" s="208">
        <v>0</v>
      </c>
      <c r="C25" s="209">
        <v>3.8945439999999998E-2</v>
      </c>
      <c r="D25" s="208">
        <f t="shared" si="0"/>
        <v>0</v>
      </c>
      <c r="G25" s="208">
        <f t="shared" si="1"/>
        <v>0</v>
      </c>
      <c r="J25" s="208">
        <f t="shared" si="2"/>
        <v>0</v>
      </c>
      <c r="M25" s="208">
        <f t="shared" si="3"/>
        <v>0</v>
      </c>
      <c r="P25" s="208">
        <f t="shared" si="4"/>
        <v>0</v>
      </c>
      <c r="S25" s="208">
        <f t="shared" si="5"/>
        <v>0</v>
      </c>
      <c r="V25" s="208">
        <f t="shared" si="6"/>
        <v>0</v>
      </c>
      <c r="Y25" s="208">
        <f t="shared" si="7"/>
        <v>0</v>
      </c>
      <c r="AB25" s="208">
        <f t="shared" si="8"/>
        <v>0</v>
      </c>
      <c r="AE25" s="208">
        <v>0</v>
      </c>
      <c r="AH25" s="208">
        <v>0</v>
      </c>
      <c r="AI25" s="223"/>
      <c r="AJ25" s="224"/>
      <c r="AK25" s="208">
        <f t="shared" si="9"/>
        <v>0</v>
      </c>
      <c r="AL25" s="223"/>
      <c r="AM25" s="224"/>
      <c r="AN25" s="208">
        <f t="shared" si="10"/>
        <v>0</v>
      </c>
      <c r="AO25" s="223"/>
      <c r="AP25" s="224"/>
      <c r="AQ25" s="208">
        <f t="shared" si="11"/>
        <v>0</v>
      </c>
      <c r="AR25" s="223"/>
      <c r="AS25" s="224"/>
      <c r="AT25" s="208">
        <f t="shared" si="12"/>
        <v>0</v>
      </c>
      <c r="AW25" s="208">
        <f t="shared" si="13"/>
        <v>0</v>
      </c>
      <c r="AZ25" s="208">
        <f t="shared" si="14"/>
        <v>0</v>
      </c>
      <c r="BC25" s="208">
        <f t="shared" si="15"/>
        <v>0</v>
      </c>
      <c r="BF25" s="208">
        <f t="shared" si="16"/>
        <v>0</v>
      </c>
      <c r="BI25" s="208">
        <f t="shared" si="17"/>
        <v>0</v>
      </c>
      <c r="BL25" s="208">
        <f t="shared" si="18"/>
        <v>0</v>
      </c>
      <c r="BO25" s="208">
        <f t="shared" si="19"/>
        <v>0</v>
      </c>
      <c r="BR25" s="208">
        <f t="shared" si="20"/>
        <v>0</v>
      </c>
      <c r="BU25" s="208">
        <f t="shared" si="21"/>
        <v>0</v>
      </c>
      <c r="BX25" s="208">
        <f t="shared" si="22"/>
        <v>0</v>
      </c>
      <c r="CA25" s="208">
        <f t="shared" si="23"/>
        <v>0</v>
      </c>
      <c r="CD25" s="208">
        <f t="shared" si="24"/>
        <v>0</v>
      </c>
      <c r="CG25" s="208">
        <f t="shared" si="25"/>
        <v>0</v>
      </c>
      <c r="CJ25" s="208">
        <f t="shared" si="26"/>
        <v>0</v>
      </c>
      <c r="CM25" s="208">
        <f t="shared" si="27"/>
        <v>0</v>
      </c>
      <c r="CP25" s="208">
        <f t="shared" si="28"/>
        <v>0</v>
      </c>
      <c r="CS25" s="208">
        <f t="shared" si="29"/>
        <v>0</v>
      </c>
      <c r="CV25" s="208">
        <f t="shared" si="30"/>
        <v>0</v>
      </c>
      <c r="CY25" s="208">
        <f t="shared" si="31"/>
        <v>0</v>
      </c>
      <c r="DB25" s="208">
        <f t="shared" si="32"/>
        <v>0</v>
      </c>
      <c r="DE25" s="208">
        <f t="shared" si="33"/>
        <v>0</v>
      </c>
      <c r="DH25" s="208">
        <f t="shared" si="34"/>
        <v>0</v>
      </c>
      <c r="DK25" s="208">
        <f t="shared" si="35"/>
        <v>0</v>
      </c>
      <c r="DN25" s="208">
        <f t="shared" si="36"/>
        <v>0</v>
      </c>
      <c r="DQ25" s="208">
        <f t="shared" si="37"/>
        <v>0</v>
      </c>
      <c r="DT25" s="208">
        <f t="shared" si="38"/>
        <v>0</v>
      </c>
      <c r="DW25" s="208">
        <f t="shared" si="39"/>
        <v>0</v>
      </c>
      <c r="DZ25" s="208"/>
      <c r="EA25" s="208"/>
      <c r="EB25" s="228">
        <f t="shared" si="40"/>
        <v>0</v>
      </c>
      <c r="EC25" s="228">
        <f t="shared" si="41"/>
        <v>0</v>
      </c>
      <c r="ED25" s="208">
        <f t="shared" si="42"/>
        <v>0</v>
      </c>
      <c r="EE25" s="209">
        <f t="shared" si="43"/>
        <v>0</v>
      </c>
      <c r="EG25" s="228">
        <f t="shared" si="44"/>
        <v>0</v>
      </c>
      <c r="EH25" s="208">
        <f t="shared" si="45"/>
        <v>0</v>
      </c>
      <c r="EI25" s="209">
        <f t="shared" si="46"/>
        <v>0</v>
      </c>
      <c r="EJ25" s="209"/>
      <c r="EK25" s="228">
        <f t="shared" si="47"/>
        <v>0</v>
      </c>
      <c r="EL25" s="228">
        <f t="shared" si="48"/>
        <v>0</v>
      </c>
      <c r="EM25" s="228">
        <f t="shared" si="49"/>
        <v>0</v>
      </c>
      <c r="EN25" s="209">
        <f t="shared" si="50"/>
        <v>0</v>
      </c>
      <c r="EP25" s="208"/>
    </row>
    <row r="26" spans="1:146" x14ac:dyDescent="0.25">
      <c r="A26" s="222">
        <f t="shared" si="51"/>
        <v>46219</v>
      </c>
      <c r="B26" s="208">
        <v>0</v>
      </c>
      <c r="C26" s="209">
        <v>3.9003589999999998E-2</v>
      </c>
      <c r="D26" s="208">
        <f t="shared" si="0"/>
        <v>0</v>
      </c>
      <c r="G26" s="208">
        <f t="shared" si="1"/>
        <v>0</v>
      </c>
      <c r="J26" s="208">
        <f t="shared" si="2"/>
        <v>0</v>
      </c>
      <c r="M26" s="208">
        <f t="shared" si="3"/>
        <v>0</v>
      </c>
      <c r="P26" s="208">
        <f t="shared" si="4"/>
        <v>0</v>
      </c>
      <c r="S26" s="208">
        <f t="shared" si="5"/>
        <v>0</v>
      </c>
      <c r="V26" s="208">
        <f t="shared" si="6"/>
        <v>0</v>
      </c>
      <c r="Y26" s="208">
        <f t="shared" si="7"/>
        <v>0</v>
      </c>
      <c r="AB26" s="208">
        <f t="shared" si="8"/>
        <v>0</v>
      </c>
      <c r="AE26" s="208">
        <v>0</v>
      </c>
      <c r="AH26" s="208">
        <v>0</v>
      </c>
      <c r="AI26" s="223">
        <v>23775000</v>
      </c>
      <c r="AJ26" s="224">
        <v>3.8699999999999998E-2</v>
      </c>
      <c r="AK26" s="208">
        <f t="shared" si="9"/>
        <v>2555.8125</v>
      </c>
      <c r="AL26" s="223"/>
      <c r="AM26" s="224"/>
      <c r="AN26" s="208">
        <f t="shared" si="10"/>
        <v>0</v>
      </c>
      <c r="AO26" s="223"/>
      <c r="AP26" s="224"/>
      <c r="AQ26" s="208">
        <f t="shared" si="11"/>
        <v>0</v>
      </c>
      <c r="AR26" s="223"/>
      <c r="AS26" s="224"/>
      <c r="AT26" s="208">
        <f t="shared" si="12"/>
        <v>0</v>
      </c>
      <c r="AW26" s="208">
        <f t="shared" si="13"/>
        <v>0</v>
      </c>
      <c r="AZ26" s="208">
        <f t="shared" si="14"/>
        <v>0</v>
      </c>
      <c r="BC26" s="208">
        <f t="shared" si="15"/>
        <v>0</v>
      </c>
      <c r="BF26" s="208">
        <f t="shared" si="16"/>
        <v>0</v>
      </c>
      <c r="BI26" s="208">
        <f t="shared" si="17"/>
        <v>0</v>
      </c>
      <c r="BL26" s="208">
        <f t="shared" si="18"/>
        <v>0</v>
      </c>
      <c r="BO26" s="208">
        <f t="shared" si="19"/>
        <v>0</v>
      </c>
      <c r="BR26" s="208">
        <f t="shared" si="20"/>
        <v>0</v>
      </c>
      <c r="BU26" s="208">
        <f t="shared" si="21"/>
        <v>0</v>
      </c>
      <c r="BX26" s="208">
        <f t="shared" si="22"/>
        <v>0</v>
      </c>
      <c r="CA26" s="208">
        <f t="shared" si="23"/>
        <v>0</v>
      </c>
      <c r="CD26" s="208">
        <f t="shared" si="24"/>
        <v>0</v>
      </c>
      <c r="CG26" s="208">
        <f t="shared" si="25"/>
        <v>0</v>
      </c>
      <c r="CJ26" s="208">
        <f t="shared" si="26"/>
        <v>0</v>
      </c>
      <c r="CM26" s="208">
        <f t="shared" si="27"/>
        <v>0</v>
      </c>
      <c r="CP26" s="208">
        <f t="shared" si="28"/>
        <v>0</v>
      </c>
      <c r="CS26" s="208">
        <f t="shared" si="29"/>
        <v>0</v>
      </c>
      <c r="CV26" s="208">
        <f t="shared" si="30"/>
        <v>0</v>
      </c>
      <c r="CY26" s="208">
        <f t="shared" si="31"/>
        <v>0</v>
      </c>
      <c r="DB26" s="208">
        <f t="shared" si="32"/>
        <v>0</v>
      </c>
      <c r="DE26" s="208">
        <f t="shared" si="33"/>
        <v>0</v>
      </c>
      <c r="DH26" s="208">
        <f t="shared" si="34"/>
        <v>0</v>
      </c>
      <c r="DK26" s="208">
        <f t="shared" si="35"/>
        <v>0</v>
      </c>
      <c r="DN26" s="208">
        <f t="shared" si="36"/>
        <v>0</v>
      </c>
      <c r="DQ26" s="208">
        <f t="shared" si="37"/>
        <v>0</v>
      </c>
      <c r="DT26" s="208">
        <f t="shared" si="38"/>
        <v>0</v>
      </c>
      <c r="DW26" s="208">
        <f t="shared" si="39"/>
        <v>0</v>
      </c>
      <c r="DZ26" s="208"/>
      <c r="EA26" s="208"/>
      <c r="EB26" s="228">
        <f t="shared" si="40"/>
        <v>23775000</v>
      </c>
      <c r="EC26" s="228">
        <f t="shared" si="41"/>
        <v>0</v>
      </c>
      <c r="ED26" s="208">
        <f t="shared" si="42"/>
        <v>2555.8125</v>
      </c>
      <c r="EE26" s="209">
        <f t="shared" si="43"/>
        <v>3.8699999999999998E-2</v>
      </c>
      <c r="EG26" s="228">
        <f t="shared" si="44"/>
        <v>0</v>
      </c>
      <c r="EH26" s="208">
        <f t="shared" si="45"/>
        <v>0</v>
      </c>
      <c r="EI26" s="209">
        <f t="shared" si="46"/>
        <v>0</v>
      </c>
      <c r="EJ26" s="209"/>
      <c r="EK26" s="228">
        <f t="shared" si="47"/>
        <v>23775000</v>
      </c>
      <c r="EL26" s="228">
        <f t="shared" si="48"/>
        <v>0</v>
      </c>
      <c r="EM26" s="228">
        <f t="shared" si="49"/>
        <v>2555.8125</v>
      </c>
      <c r="EN26" s="209">
        <f t="shared" si="50"/>
        <v>3.8699999999999998E-2</v>
      </c>
      <c r="EP26" s="208"/>
    </row>
    <row r="27" spans="1:146" x14ac:dyDescent="0.25">
      <c r="A27" s="222">
        <f t="shared" si="51"/>
        <v>46220</v>
      </c>
      <c r="B27" s="208">
        <v>0</v>
      </c>
      <c r="C27" s="209">
        <v>3.9086839999999998E-2</v>
      </c>
      <c r="D27" s="208">
        <f t="shared" si="0"/>
        <v>0</v>
      </c>
      <c r="G27" s="208">
        <f t="shared" si="1"/>
        <v>0</v>
      </c>
      <c r="J27" s="208">
        <f t="shared" si="2"/>
        <v>0</v>
      </c>
      <c r="M27" s="208">
        <f t="shared" si="3"/>
        <v>0</v>
      </c>
      <c r="P27" s="208">
        <f t="shared" si="4"/>
        <v>0</v>
      </c>
      <c r="S27" s="208">
        <f t="shared" si="5"/>
        <v>0</v>
      </c>
      <c r="V27" s="208">
        <f t="shared" si="6"/>
        <v>0</v>
      </c>
      <c r="Y27" s="208">
        <f t="shared" si="7"/>
        <v>0</v>
      </c>
      <c r="AB27" s="208">
        <f t="shared" si="8"/>
        <v>0</v>
      </c>
      <c r="AE27" s="208">
        <v>0</v>
      </c>
      <c r="AH27" s="208">
        <v>0</v>
      </c>
      <c r="AI27" s="223">
        <v>29300000</v>
      </c>
      <c r="AJ27" s="224">
        <v>3.8699999999999998E-2</v>
      </c>
      <c r="AK27" s="208">
        <f t="shared" si="9"/>
        <v>3149.75</v>
      </c>
      <c r="AL27" s="223"/>
      <c r="AM27" s="224"/>
      <c r="AN27" s="208">
        <f t="shared" si="10"/>
        <v>0</v>
      </c>
      <c r="AO27" s="223"/>
      <c r="AP27" s="224"/>
      <c r="AQ27" s="208">
        <f t="shared" si="11"/>
        <v>0</v>
      </c>
      <c r="AR27" s="223"/>
      <c r="AS27" s="224"/>
      <c r="AT27" s="208">
        <f t="shared" si="12"/>
        <v>0</v>
      </c>
      <c r="AW27" s="208">
        <f t="shared" si="13"/>
        <v>0</v>
      </c>
      <c r="AZ27" s="208">
        <f t="shared" si="14"/>
        <v>0</v>
      </c>
      <c r="BC27" s="208">
        <f t="shared" si="15"/>
        <v>0</v>
      </c>
      <c r="BF27" s="208">
        <f t="shared" si="16"/>
        <v>0</v>
      </c>
      <c r="BI27" s="208">
        <f t="shared" si="17"/>
        <v>0</v>
      </c>
      <c r="BL27" s="208">
        <f t="shared" si="18"/>
        <v>0</v>
      </c>
      <c r="BO27" s="208">
        <f t="shared" si="19"/>
        <v>0</v>
      </c>
      <c r="BR27" s="208">
        <f t="shared" si="20"/>
        <v>0</v>
      </c>
      <c r="BU27" s="208">
        <f t="shared" si="21"/>
        <v>0</v>
      </c>
      <c r="BX27" s="208">
        <f t="shared" si="22"/>
        <v>0</v>
      </c>
      <c r="CA27" s="208">
        <f t="shared" si="23"/>
        <v>0</v>
      </c>
      <c r="CD27" s="208">
        <f t="shared" si="24"/>
        <v>0</v>
      </c>
      <c r="CG27" s="208">
        <f t="shared" si="25"/>
        <v>0</v>
      </c>
      <c r="CJ27" s="208">
        <f t="shared" si="26"/>
        <v>0</v>
      </c>
      <c r="CM27" s="208">
        <f t="shared" si="27"/>
        <v>0</v>
      </c>
      <c r="CP27" s="208">
        <f t="shared" si="28"/>
        <v>0</v>
      </c>
      <c r="CS27" s="208">
        <f t="shared" si="29"/>
        <v>0</v>
      </c>
      <c r="CV27" s="208">
        <f t="shared" si="30"/>
        <v>0</v>
      </c>
      <c r="CY27" s="208">
        <f t="shared" si="31"/>
        <v>0</v>
      </c>
      <c r="DB27" s="208">
        <f t="shared" si="32"/>
        <v>0</v>
      </c>
      <c r="DE27" s="208">
        <f t="shared" si="33"/>
        <v>0</v>
      </c>
      <c r="DH27" s="208">
        <f t="shared" si="34"/>
        <v>0</v>
      </c>
      <c r="DK27" s="208">
        <f t="shared" si="35"/>
        <v>0</v>
      </c>
      <c r="DN27" s="208">
        <f t="shared" si="36"/>
        <v>0</v>
      </c>
      <c r="DQ27" s="208">
        <f t="shared" si="37"/>
        <v>0</v>
      </c>
      <c r="DT27" s="208">
        <f t="shared" si="38"/>
        <v>0</v>
      </c>
      <c r="DW27" s="208">
        <f t="shared" si="39"/>
        <v>0</v>
      </c>
      <c r="DZ27" s="208"/>
      <c r="EA27" s="208"/>
      <c r="EB27" s="228">
        <f t="shared" si="40"/>
        <v>29300000</v>
      </c>
      <c r="EC27" s="228">
        <f t="shared" si="41"/>
        <v>0</v>
      </c>
      <c r="ED27" s="208">
        <f t="shared" si="42"/>
        <v>3149.75</v>
      </c>
      <c r="EE27" s="209">
        <f t="shared" si="43"/>
        <v>3.8699999999999998E-2</v>
      </c>
      <c r="EG27" s="228">
        <f t="shared" si="44"/>
        <v>0</v>
      </c>
      <c r="EH27" s="208">
        <f t="shared" si="45"/>
        <v>0</v>
      </c>
      <c r="EI27" s="209">
        <f t="shared" si="46"/>
        <v>0</v>
      </c>
      <c r="EJ27" s="209"/>
      <c r="EK27" s="228">
        <f t="shared" si="47"/>
        <v>29300000</v>
      </c>
      <c r="EL27" s="228">
        <f t="shared" si="48"/>
        <v>0</v>
      </c>
      <c r="EM27" s="228">
        <f t="shared" si="49"/>
        <v>3149.75</v>
      </c>
      <c r="EN27" s="209">
        <f t="shared" si="50"/>
        <v>3.8699999999999998E-2</v>
      </c>
      <c r="EP27" s="208"/>
    </row>
    <row r="28" spans="1:146" x14ac:dyDescent="0.25">
      <c r="A28" s="222">
        <f t="shared" si="51"/>
        <v>46221</v>
      </c>
      <c r="B28" s="208">
        <v>0</v>
      </c>
      <c r="C28" s="209">
        <v>3.9086839999999998E-2</v>
      </c>
      <c r="D28" s="208">
        <f t="shared" si="0"/>
        <v>0</v>
      </c>
      <c r="G28" s="208">
        <f t="shared" si="1"/>
        <v>0</v>
      </c>
      <c r="J28" s="208">
        <f t="shared" si="2"/>
        <v>0</v>
      </c>
      <c r="M28" s="208">
        <f t="shared" si="3"/>
        <v>0</v>
      </c>
      <c r="P28" s="208">
        <f t="shared" si="4"/>
        <v>0</v>
      </c>
      <c r="S28" s="208">
        <f t="shared" si="5"/>
        <v>0</v>
      </c>
      <c r="V28" s="208">
        <f t="shared" si="6"/>
        <v>0</v>
      </c>
      <c r="Y28" s="208">
        <f t="shared" si="7"/>
        <v>0</v>
      </c>
      <c r="AB28" s="208">
        <f t="shared" si="8"/>
        <v>0</v>
      </c>
      <c r="AE28" s="208">
        <v>0</v>
      </c>
      <c r="AH28" s="208">
        <v>0</v>
      </c>
      <c r="AI28" s="223">
        <v>29300000</v>
      </c>
      <c r="AJ28" s="224">
        <v>3.8699999999999998E-2</v>
      </c>
      <c r="AK28" s="208">
        <f t="shared" si="9"/>
        <v>3149.75</v>
      </c>
      <c r="AL28" s="223"/>
      <c r="AM28" s="224"/>
      <c r="AN28" s="208">
        <f t="shared" si="10"/>
        <v>0</v>
      </c>
      <c r="AO28" s="223"/>
      <c r="AP28" s="224"/>
      <c r="AQ28" s="208">
        <f t="shared" si="11"/>
        <v>0</v>
      </c>
      <c r="AR28" s="223"/>
      <c r="AS28" s="224"/>
      <c r="AT28" s="208">
        <f t="shared" si="12"/>
        <v>0</v>
      </c>
      <c r="AW28" s="208">
        <f t="shared" si="13"/>
        <v>0</v>
      </c>
      <c r="AZ28" s="208">
        <f t="shared" si="14"/>
        <v>0</v>
      </c>
      <c r="BC28" s="208">
        <f t="shared" si="15"/>
        <v>0</v>
      </c>
      <c r="BF28" s="208">
        <f t="shared" si="16"/>
        <v>0</v>
      </c>
      <c r="BI28" s="208">
        <f t="shared" si="17"/>
        <v>0</v>
      </c>
      <c r="BL28" s="208">
        <f t="shared" si="18"/>
        <v>0</v>
      </c>
      <c r="BO28" s="208">
        <f t="shared" si="19"/>
        <v>0</v>
      </c>
      <c r="BR28" s="208">
        <f t="shared" si="20"/>
        <v>0</v>
      </c>
      <c r="BU28" s="208">
        <f t="shared" si="21"/>
        <v>0</v>
      </c>
      <c r="BX28" s="208">
        <f t="shared" si="22"/>
        <v>0</v>
      </c>
      <c r="CA28" s="208">
        <f t="shared" si="23"/>
        <v>0</v>
      </c>
      <c r="CD28" s="208">
        <f t="shared" si="24"/>
        <v>0</v>
      </c>
      <c r="CG28" s="208">
        <f t="shared" si="25"/>
        <v>0</v>
      </c>
      <c r="CJ28" s="208">
        <f t="shared" si="26"/>
        <v>0</v>
      </c>
      <c r="CM28" s="208">
        <f t="shared" si="27"/>
        <v>0</v>
      </c>
      <c r="CP28" s="208">
        <f t="shared" si="28"/>
        <v>0</v>
      </c>
      <c r="CS28" s="208">
        <f t="shared" si="29"/>
        <v>0</v>
      </c>
      <c r="CV28" s="208">
        <f t="shared" si="30"/>
        <v>0</v>
      </c>
      <c r="CY28" s="208">
        <f t="shared" si="31"/>
        <v>0</v>
      </c>
      <c r="DB28" s="208">
        <f t="shared" si="32"/>
        <v>0</v>
      </c>
      <c r="DE28" s="208">
        <f t="shared" si="33"/>
        <v>0</v>
      </c>
      <c r="DH28" s="208">
        <f t="shared" si="34"/>
        <v>0</v>
      </c>
      <c r="DK28" s="208">
        <f t="shared" si="35"/>
        <v>0</v>
      </c>
      <c r="DN28" s="208">
        <f t="shared" si="36"/>
        <v>0</v>
      </c>
      <c r="DQ28" s="208">
        <f t="shared" si="37"/>
        <v>0</v>
      </c>
      <c r="DT28" s="208">
        <f t="shared" si="38"/>
        <v>0</v>
      </c>
      <c r="DW28" s="208">
        <f t="shared" si="39"/>
        <v>0</v>
      </c>
      <c r="DZ28" s="208"/>
      <c r="EA28" s="208"/>
      <c r="EB28" s="228">
        <f t="shared" si="40"/>
        <v>29300000</v>
      </c>
      <c r="EC28" s="228">
        <f t="shared" si="41"/>
        <v>0</v>
      </c>
      <c r="ED28" s="208">
        <f t="shared" si="42"/>
        <v>3149.75</v>
      </c>
      <c r="EE28" s="209">
        <f t="shared" si="43"/>
        <v>3.8699999999999998E-2</v>
      </c>
      <c r="EG28" s="228">
        <f t="shared" si="44"/>
        <v>0</v>
      </c>
      <c r="EH28" s="208">
        <f t="shared" si="45"/>
        <v>0</v>
      </c>
      <c r="EI28" s="209">
        <f t="shared" si="46"/>
        <v>0</v>
      </c>
      <c r="EJ28" s="209"/>
      <c r="EK28" s="228">
        <f t="shared" si="47"/>
        <v>29300000</v>
      </c>
      <c r="EL28" s="228">
        <f t="shared" si="48"/>
        <v>0</v>
      </c>
      <c r="EM28" s="228">
        <f t="shared" si="49"/>
        <v>3149.75</v>
      </c>
      <c r="EN28" s="209">
        <f t="shared" si="50"/>
        <v>3.8699999999999998E-2</v>
      </c>
      <c r="EP28" s="208"/>
    </row>
    <row r="29" spans="1:146" x14ac:dyDescent="0.25">
      <c r="A29" s="222">
        <f t="shared" si="51"/>
        <v>46222</v>
      </c>
      <c r="B29" s="208">
        <v>0</v>
      </c>
      <c r="C29" s="209">
        <v>3.9086839999999998E-2</v>
      </c>
      <c r="D29" s="208">
        <f t="shared" si="0"/>
        <v>0</v>
      </c>
      <c r="G29" s="208">
        <f t="shared" si="1"/>
        <v>0</v>
      </c>
      <c r="J29" s="208">
        <f t="shared" si="2"/>
        <v>0</v>
      </c>
      <c r="M29" s="208">
        <f t="shared" si="3"/>
        <v>0</v>
      </c>
      <c r="P29" s="208">
        <f t="shared" si="4"/>
        <v>0</v>
      </c>
      <c r="S29" s="208">
        <f t="shared" si="5"/>
        <v>0</v>
      </c>
      <c r="V29" s="208">
        <f t="shared" si="6"/>
        <v>0</v>
      </c>
      <c r="Y29" s="208">
        <f t="shared" si="7"/>
        <v>0</v>
      </c>
      <c r="AB29" s="208">
        <f t="shared" si="8"/>
        <v>0</v>
      </c>
      <c r="AE29" s="208">
        <v>0</v>
      </c>
      <c r="AH29" s="208">
        <v>0</v>
      </c>
      <c r="AI29" s="223">
        <v>29300000</v>
      </c>
      <c r="AJ29" s="224">
        <v>3.8699999999999998E-2</v>
      </c>
      <c r="AK29" s="208">
        <f t="shared" si="9"/>
        <v>3149.75</v>
      </c>
      <c r="AL29" s="223"/>
      <c r="AM29" s="224"/>
      <c r="AN29" s="208">
        <f t="shared" si="10"/>
        <v>0</v>
      </c>
      <c r="AO29" s="223"/>
      <c r="AP29" s="224"/>
      <c r="AQ29" s="208">
        <f t="shared" si="11"/>
        <v>0</v>
      </c>
      <c r="AR29" s="223"/>
      <c r="AS29" s="224"/>
      <c r="AT29" s="208">
        <f t="shared" si="12"/>
        <v>0</v>
      </c>
      <c r="AW29" s="208">
        <f t="shared" si="13"/>
        <v>0</v>
      </c>
      <c r="AZ29" s="208">
        <f t="shared" si="14"/>
        <v>0</v>
      </c>
      <c r="BC29" s="208">
        <f t="shared" si="15"/>
        <v>0</v>
      </c>
      <c r="BF29" s="208">
        <f t="shared" si="16"/>
        <v>0</v>
      </c>
      <c r="BI29" s="208">
        <f t="shared" si="17"/>
        <v>0</v>
      </c>
      <c r="BL29" s="208">
        <f t="shared" si="18"/>
        <v>0</v>
      </c>
      <c r="BO29" s="208">
        <f t="shared" si="19"/>
        <v>0</v>
      </c>
      <c r="BR29" s="208">
        <f t="shared" si="20"/>
        <v>0</v>
      </c>
      <c r="BU29" s="208">
        <f t="shared" si="21"/>
        <v>0</v>
      </c>
      <c r="BX29" s="208">
        <f t="shared" si="22"/>
        <v>0</v>
      </c>
      <c r="CA29" s="208">
        <f t="shared" si="23"/>
        <v>0</v>
      </c>
      <c r="CD29" s="208">
        <f t="shared" si="24"/>
        <v>0</v>
      </c>
      <c r="CG29" s="208">
        <f t="shared" si="25"/>
        <v>0</v>
      </c>
      <c r="CJ29" s="208">
        <f t="shared" si="26"/>
        <v>0</v>
      </c>
      <c r="CM29" s="208">
        <f t="shared" si="27"/>
        <v>0</v>
      </c>
      <c r="CP29" s="208">
        <f t="shared" si="28"/>
        <v>0</v>
      </c>
      <c r="CS29" s="208">
        <f t="shared" si="29"/>
        <v>0</v>
      </c>
      <c r="CV29" s="208">
        <f t="shared" si="30"/>
        <v>0</v>
      </c>
      <c r="CY29" s="208">
        <f t="shared" si="31"/>
        <v>0</v>
      </c>
      <c r="DB29" s="208">
        <f t="shared" si="32"/>
        <v>0</v>
      </c>
      <c r="DE29" s="208">
        <f t="shared" si="33"/>
        <v>0</v>
      </c>
      <c r="DH29" s="208">
        <f t="shared" si="34"/>
        <v>0</v>
      </c>
      <c r="DK29" s="208">
        <f t="shared" si="35"/>
        <v>0</v>
      </c>
      <c r="DN29" s="208">
        <f t="shared" si="36"/>
        <v>0</v>
      </c>
      <c r="DQ29" s="208">
        <f t="shared" si="37"/>
        <v>0</v>
      </c>
      <c r="DT29" s="208">
        <f t="shared" si="38"/>
        <v>0</v>
      </c>
      <c r="DW29" s="208">
        <f t="shared" si="39"/>
        <v>0</v>
      </c>
      <c r="DZ29" s="208"/>
      <c r="EA29" s="208"/>
      <c r="EB29" s="228">
        <f t="shared" si="40"/>
        <v>29300000</v>
      </c>
      <c r="EC29" s="228">
        <f t="shared" si="41"/>
        <v>0</v>
      </c>
      <c r="ED29" s="208">
        <f t="shared" si="42"/>
        <v>3149.75</v>
      </c>
      <c r="EE29" s="209">
        <f t="shared" si="43"/>
        <v>3.8699999999999998E-2</v>
      </c>
      <c r="EG29" s="228">
        <f t="shared" si="44"/>
        <v>0</v>
      </c>
      <c r="EH29" s="208">
        <f t="shared" si="45"/>
        <v>0</v>
      </c>
      <c r="EI29" s="209">
        <f t="shared" si="46"/>
        <v>0</v>
      </c>
      <c r="EJ29" s="209"/>
      <c r="EK29" s="228">
        <f t="shared" si="47"/>
        <v>29300000</v>
      </c>
      <c r="EL29" s="228">
        <f t="shared" si="48"/>
        <v>0</v>
      </c>
      <c r="EM29" s="228">
        <f t="shared" si="49"/>
        <v>3149.75</v>
      </c>
      <c r="EN29" s="209">
        <f t="shared" si="50"/>
        <v>3.8699999999999998E-2</v>
      </c>
      <c r="EP29" s="208"/>
    </row>
    <row r="30" spans="1:146" x14ac:dyDescent="0.25">
      <c r="A30" s="222">
        <f t="shared" si="51"/>
        <v>46223</v>
      </c>
      <c r="B30" s="208">
        <v>0</v>
      </c>
      <c r="C30" s="209">
        <v>3.9098670000000002E-2</v>
      </c>
      <c r="D30" s="208">
        <f t="shared" si="0"/>
        <v>0</v>
      </c>
      <c r="G30" s="208">
        <f t="shared" si="1"/>
        <v>0</v>
      </c>
      <c r="J30" s="208">
        <f t="shared" si="2"/>
        <v>0</v>
      </c>
      <c r="M30" s="208">
        <f t="shared" si="3"/>
        <v>0</v>
      </c>
      <c r="P30" s="208">
        <f t="shared" si="4"/>
        <v>0</v>
      </c>
      <c r="S30" s="208">
        <f t="shared" si="5"/>
        <v>0</v>
      </c>
      <c r="V30" s="208">
        <f t="shared" si="6"/>
        <v>0</v>
      </c>
      <c r="Y30" s="208">
        <f t="shared" si="7"/>
        <v>0</v>
      </c>
      <c r="AB30" s="208">
        <f t="shared" si="8"/>
        <v>0</v>
      </c>
      <c r="AE30" s="208">
        <v>0</v>
      </c>
      <c r="AH30" s="208">
        <v>0</v>
      </c>
      <c r="AI30" s="223">
        <v>27625000</v>
      </c>
      <c r="AJ30" s="224">
        <v>3.8699999999999998E-2</v>
      </c>
      <c r="AK30" s="208">
        <f t="shared" si="9"/>
        <v>2969.6875</v>
      </c>
      <c r="AL30" s="223"/>
      <c r="AM30" s="224"/>
      <c r="AN30" s="208">
        <f t="shared" si="10"/>
        <v>0</v>
      </c>
      <c r="AO30" s="223"/>
      <c r="AP30" s="224"/>
      <c r="AQ30" s="208">
        <f t="shared" si="11"/>
        <v>0</v>
      </c>
      <c r="AR30" s="223"/>
      <c r="AS30" s="224"/>
      <c r="AT30" s="208">
        <f t="shared" si="12"/>
        <v>0</v>
      </c>
      <c r="AW30" s="208">
        <f t="shared" si="13"/>
        <v>0</v>
      </c>
      <c r="AZ30" s="208">
        <f t="shared" si="14"/>
        <v>0</v>
      </c>
      <c r="BC30" s="208">
        <f t="shared" si="15"/>
        <v>0</v>
      </c>
      <c r="BF30" s="208">
        <f t="shared" si="16"/>
        <v>0</v>
      </c>
      <c r="BI30" s="208">
        <f t="shared" si="17"/>
        <v>0</v>
      </c>
      <c r="BL30" s="208">
        <f t="shared" si="18"/>
        <v>0</v>
      </c>
      <c r="BO30" s="208">
        <f t="shared" si="19"/>
        <v>0</v>
      </c>
      <c r="BR30" s="208">
        <f t="shared" si="20"/>
        <v>0</v>
      </c>
      <c r="BU30" s="208">
        <f t="shared" si="21"/>
        <v>0</v>
      </c>
      <c r="BX30" s="208">
        <f t="shared" si="22"/>
        <v>0</v>
      </c>
      <c r="CA30" s="208">
        <f t="shared" si="23"/>
        <v>0</v>
      </c>
      <c r="CD30" s="208">
        <f t="shared" si="24"/>
        <v>0</v>
      </c>
      <c r="CG30" s="208">
        <f t="shared" si="25"/>
        <v>0</v>
      </c>
      <c r="CJ30" s="208">
        <f t="shared" si="26"/>
        <v>0</v>
      </c>
      <c r="CM30" s="208">
        <f t="shared" si="27"/>
        <v>0</v>
      </c>
      <c r="CP30" s="208">
        <f t="shared" si="28"/>
        <v>0</v>
      </c>
      <c r="CS30" s="208">
        <f t="shared" si="29"/>
        <v>0</v>
      </c>
      <c r="CV30" s="208">
        <f t="shared" si="30"/>
        <v>0</v>
      </c>
      <c r="CY30" s="208">
        <f t="shared" si="31"/>
        <v>0</v>
      </c>
      <c r="DB30" s="208">
        <f t="shared" si="32"/>
        <v>0</v>
      </c>
      <c r="DE30" s="208">
        <f t="shared" si="33"/>
        <v>0</v>
      </c>
      <c r="DH30" s="208">
        <f t="shared" si="34"/>
        <v>0</v>
      </c>
      <c r="DK30" s="208">
        <f t="shared" si="35"/>
        <v>0</v>
      </c>
      <c r="DN30" s="208">
        <f t="shared" si="36"/>
        <v>0</v>
      </c>
      <c r="DQ30" s="208">
        <f t="shared" si="37"/>
        <v>0</v>
      </c>
      <c r="DT30" s="208">
        <f t="shared" si="38"/>
        <v>0</v>
      </c>
      <c r="DW30" s="208">
        <f t="shared" si="39"/>
        <v>0</v>
      </c>
      <c r="DZ30" s="208"/>
      <c r="EA30" s="208"/>
      <c r="EB30" s="228">
        <f t="shared" si="40"/>
        <v>27625000</v>
      </c>
      <c r="EC30" s="228">
        <f t="shared" si="41"/>
        <v>0</v>
      </c>
      <c r="ED30" s="208">
        <f t="shared" si="42"/>
        <v>2969.6875</v>
      </c>
      <c r="EE30" s="209">
        <f t="shared" si="43"/>
        <v>3.8699999999999998E-2</v>
      </c>
      <c r="EG30" s="228">
        <f t="shared" si="44"/>
        <v>0</v>
      </c>
      <c r="EH30" s="208">
        <f t="shared" si="45"/>
        <v>0</v>
      </c>
      <c r="EI30" s="209">
        <f t="shared" si="46"/>
        <v>0</v>
      </c>
      <c r="EJ30" s="209"/>
      <c r="EK30" s="228">
        <f t="shared" si="47"/>
        <v>27625000</v>
      </c>
      <c r="EL30" s="228">
        <f t="shared" si="48"/>
        <v>0</v>
      </c>
      <c r="EM30" s="228">
        <f t="shared" si="49"/>
        <v>2969.6875</v>
      </c>
      <c r="EN30" s="209">
        <f t="shared" si="50"/>
        <v>3.8699999999999998E-2</v>
      </c>
      <c r="EP30" s="208"/>
    </row>
    <row r="31" spans="1:146" x14ac:dyDescent="0.25">
      <c r="A31" s="222">
        <f t="shared" si="51"/>
        <v>46224</v>
      </c>
      <c r="B31" s="208">
        <v>0</v>
      </c>
      <c r="C31" s="209">
        <v>3.9142869999999996E-2</v>
      </c>
      <c r="D31" s="208">
        <f t="shared" si="0"/>
        <v>0</v>
      </c>
      <c r="G31" s="208">
        <f t="shared" si="1"/>
        <v>0</v>
      </c>
      <c r="J31" s="208">
        <f t="shared" si="2"/>
        <v>0</v>
      </c>
      <c r="M31" s="208">
        <f t="shared" si="3"/>
        <v>0</v>
      </c>
      <c r="P31" s="208">
        <f t="shared" si="4"/>
        <v>0</v>
      </c>
      <c r="S31" s="208">
        <f t="shared" si="5"/>
        <v>0</v>
      </c>
      <c r="V31" s="208">
        <f t="shared" si="6"/>
        <v>0</v>
      </c>
      <c r="Y31" s="208">
        <f t="shared" si="7"/>
        <v>0</v>
      </c>
      <c r="AB31" s="208">
        <f t="shared" si="8"/>
        <v>0</v>
      </c>
      <c r="AE31" s="208">
        <v>0</v>
      </c>
      <c r="AH31" s="208">
        <v>0</v>
      </c>
      <c r="AI31" s="223">
        <v>8475000</v>
      </c>
      <c r="AJ31" s="224">
        <v>3.8699999999999998E-2</v>
      </c>
      <c r="AK31" s="208">
        <f t="shared" si="9"/>
        <v>911.0625</v>
      </c>
      <c r="AL31" s="223"/>
      <c r="AM31" s="224"/>
      <c r="AN31" s="208">
        <f t="shared" si="10"/>
        <v>0</v>
      </c>
      <c r="AO31" s="223"/>
      <c r="AP31" s="224"/>
      <c r="AQ31" s="208">
        <f t="shared" si="11"/>
        <v>0</v>
      </c>
      <c r="AR31" s="223"/>
      <c r="AS31" s="224"/>
      <c r="AT31" s="208">
        <f t="shared" si="12"/>
        <v>0</v>
      </c>
      <c r="AW31" s="208">
        <f t="shared" si="13"/>
        <v>0</v>
      </c>
      <c r="AZ31" s="208">
        <f t="shared" si="14"/>
        <v>0</v>
      </c>
      <c r="BC31" s="208">
        <f t="shared" si="15"/>
        <v>0</v>
      </c>
      <c r="BF31" s="208">
        <f t="shared" si="16"/>
        <v>0</v>
      </c>
      <c r="BI31" s="208">
        <f t="shared" si="17"/>
        <v>0</v>
      </c>
      <c r="BL31" s="208">
        <f t="shared" si="18"/>
        <v>0</v>
      </c>
      <c r="BO31" s="208">
        <f t="shared" si="19"/>
        <v>0</v>
      </c>
      <c r="BR31" s="208">
        <f t="shared" si="20"/>
        <v>0</v>
      </c>
      <c r="BU31" s="208">
        <f t="shared" si="21"/>
        <v>0</v>
      </c>
      <c r="BX31" s="208">
        <f t="shared" si="22"/>
        <v>0</v>
      </c>
      <c r="CA31" s="208">
        <f t="shared" si="23"/>
        <v>0</v>
      </c>
      <c r="CD31" s="208">
        <f t="shared" si="24"/>
        <v>0</v>
      </c>
      <c r="CG31" s="208">
        <f t="shared" si="25"/>
        <v>0</v>
      </c>
      <c r="CJ31" s="208">
        <f t="shared" si="26"/>
        <v>0</v>
      </c>
      <c r="CM31" s="208">
        <f t="shared" si="27"/>
        <v>0</v>
      </c>
      <c r="CP31" s="208">
        <f t="shared" si="28"/>
        <v>0</v>
      </c>
      <c r="CS31" s="208">
        <f t="shared" si="29"/>
        <v>0</v>
      </c>
      <c r="CV31" s="208">
        <f t="shared" si="30"/>
        <v>0</v>
      </c>
      <c r="CY31" s="208">
        <f t="shared" si="31"/>
        <v>0</v>
      </c>
      <c r="DB31" s="208">
        <f t="shared" si="32"/>
        <v>0</v>
      </c>
      <c r="DE31" s="208">
        <f t="shared" si="33"/>
        <v>0</v>
      </c>
      <c r="DH31" s="208">
        <f t="shared" si="34"/>
        <v>0</v>
      </c>
      <c r="DK31" s="208">
        <f t="shared" si="35"/>
        <v>0</v>
      </c>
      <c r="DN31" s="208">
        <f t="shared" si="36"/>
        <v>0</v>
      </c>
      <c r="DQ31" s="208">
        <f t="shared" si="37"/>
        <v>0</v>
      </c>
      <c r="DT31" s="208">
        <f t="shared" si="38"/>
        <v>0</v>
      </c>
      <c r="DW31" s="208">
        <f t="shared" si="39"/>
        <v>0</v>
      </c>
      <c r="DZ31" s="208"/>
      <c r="EA31" s="208"/>
      <c r="EB31" s="228">
        <f t="shared" si="40"/>
        <v>8475000</v>
      </c>
      <c r="EC31" s="228">
        <f t="shared" si="41"/>
        <v>0</v>
      </c>
      <c r="ED31" s="208">
        <f t="shared" si="42"/>
        <v>911.0625</v>
      </c>
      <c r="EE31" s="209">
        <f t="shared" si="43"/>
        <v>3.8699999999999998E-2</v>
      </c>
      <c r="EG31" s="228">
        <f t="shared" si="44"/>
        <v>0</v>
      </c>
      <c r="EH31" s="208">
        <f t="shared" si="45"/>
        <v>0</v>
      </c>
      <c r="EI31" s="209">
        <f t="shared" si="46"/>
        <v>0</v>
      </c>
      <c r="EJ31" s="209"/>
      <c r="EK31" s="228">
        <f t="shared" si="47"/>
        <v>8475000</v>
      </c>
      <c r="EL31" s="228">
        <f t="shared" si="48"/>
        <v>0</v>
      </c>
      <c r="EM31" s="228">
        <f t="shared" si="49"/>
        <v>911.0625</v>
      </c>
      <c r="EN31" s="209">
        <f t="shared" si="50"/>
        <v>3.8699999999999998E-2</v>
      </c>
      <c r="EP31" s="208"/>
    </row>
    <row r="32" spans="1:146" x14ac:dyDescent="0.25">
      <c r="A32" s="222">
        <f t="shared" si="51"/>
        <v>46225</v>
      </c>
      <c r="B32" s="208">
        <v>0</v>
      </c>
      <c r="C32" s="209">
        <v>3.9079559999999999E-2</v>
      </c>
      <c r="D32" s="208">
        <f t="shared" si="0"/>
        <v>0</v>
      </c>
      <c r="G32" s="208">
        <f t="shared" si="1"/>
        <v>0</v>
      </c>
      <c r="J32" s="208">
        <f t="shared" si="2"/>
        <v>0</v>
      </c>
      <c r="M32" s="208">
        <f t="shared" si="3"/>
        <v>0</v>
      </c>
      <c r="P32" s="208">
        <f t="shared" si="4"/>
        <v>0</v>
      </c>
      <c r="S32" s="208">
        <f t="shared" si="5"/>
        <v>0</v>
      </c>
      <c r="V32" s="208">
        <f t="shared" si="6"/>
        <v>0</v>
      </c>
      <c r="Y32" s="208">
        <f t="shared" si="7"/>
        <v>0</v>
      </c>
      <c r="AB32" s="208">
        <f t="shared" si="8"/>
        <v>0</v>
      </c>
      <c r="AE32" s="208">
        <v>0</v>
      </c>
      <c r="AH32" s="208">
        <v>0</v>
      </c>
      <c r="AI32" s="223">
        <v>2675000</v>
      </c>
      <c r="AJ32" s="224">
        <v>3.8699999999999998E-2</v>
      </c>
      <c r="AK32" s="208">
        <f t="shared" si="9"/>
        <v>287.5625</v>
      </c>
      <c r="AL32" s="223"/>
      <c r="AM32" s="224"/>
      <c r="AN32" s="208">
        <f t="shared" si="10"/>
        <v>0</v>
      </c>
      <c r="AO32" s="223"/>
      <c r="AP32" s="224"/>
      <c r="AQ32" s="208">
        <f t="shared" si="11"/>
        <v>0</v>
      </c>
      <c r="AR32" s="223"/>
      <c r="AS32" s="224"/>
      <c r="AT32" s="208">
        <f t="shared" si="12"/>
        <v>0</v>
      </c>
      <c r="AW32" s="208">
        <f t="shared" si="13"/>
        <v>0</v>
      </c>
      <c r="AZ32" s="208">
        <f t="shared" si="14"/>
        <v>0</v>
      </c>
      <c r="BC32" s="208">
        <f t="shared" si="15"/>
        <v>0</v>
      </c>
      <c r="BF32" s="208">
        <f t="shared" si="16"/>
        <v>0</v>
      </c>
      <c r="BI32" s="208">
        <f t="shared" si="17"/>
        <v>0</v>
      </c>
      <c r="BL32" s="208">
        <f t="shared" si="18"/>
        <v>0</v>
      </c>
      <c r="BO32" s="208">
        <f t="shared" si="19"/>
        <v>0</v>
      </c>
      <c r="BR32" s="208">
        <f t="shared" si="20"/>
        <v>0</v>
      </c>
      <c r="BU32" s="208">
        <f t="shared" si="21"/>
        <v>0</v>
      </c>
      <c r="BX32" s="208">
        <f t="shared" si="22"/>
        <v>0</v>
      </c>
      <c r="CA32" s="208">
        <f t="shared" si="23"/>
        <v>0</v>
      </c>
      <c r="CD32" s="208">
        <f t="shared" si="24"/>
        <v>0</v>
      </c>
      <c r="CG32" s="208">
        <f t="shared" si="25"/>
        <v>0</v>
      </c>
      <c r="CJ32" s="208">
        <f t="shared" si="26"/>
        <v>0</v>
      </c>
      <c r="CM32" s="208">
        <f t="shared" si="27"/>
        <v>0</v>
      </c>
      <c r="CP32" s="208">
        <f t="shared" si="28"/>
        <v>0</v>
      </c>
      <c r="CS32" s="208">
        <f t="shared" si="29"/>
        <v>0</v>
      </c>
      <c r="CV32" s="208">
        <f t="shared" si="30"/>
        <v>0</v>
      </c>
      <c r="CY32" s="208">
        <f t="shared" si="31"/>
        <v>0</v>
      </c>
      <c r="DB32" s="208">
        <f t="shared" si="32"/>
        <v>0</v>
      </c>
      <c r="DE32" s="208">
        <f t="shared" si="33"/>
        <v>0</v>
      </c>
      <c r="DH32" s="208">
        <f t="shared" si="34"/>
        <v>0</v>
      </c>
      <c r="DK32" s="208">
        <f t="shared" si="35"/>
        <v>0</v>
      </c>
      <c r="DN32" s="208">
        <f t="shared" si="36"/>
        <v>0</v>
      </c>
      <c r="DQ32" s="208">
        <f t="shared" si="37"/>
        <v>0</v>
      </c>
      <c r="DT32" s="208">
        <f t="shared" si="38"/>
        <v>0</v>
      </c>
      <c r="DW32" s="208">
        <f t="shared" si="39"/>
        <v>0</v>
      </c>
      <c r="DZ32" s="208"/>
      <c r="EA32" s="208"/>
      <c r="EB32" s="228">
        <f t="shared" si="40"/>
        <v>2675000</v>
      </c>
      <c r="EC32" s="228">
        <f t="shared" si="41"/>
        <v>0</v>
      </c>
      <c r="ED32" s="208">
        <f t="shared" si="42"/>
        <v>287.5625</v>
      </c>
      <c r="EE32" s="209">
        <f t="shared" si="43"/>
        <v>3.8699999999999998E-2</v>
      </c>
      <c r="EG32" s="228">
        <f t="shared" si="44"/>
        <v>0</v>
      </c>
      <c r="EH32" s="208">
        <f t="shared" si="45"/>
        <v>0</v>
      </c>
      <c r="EI32" s="209">
        <f t="shared" si="46"/>
        <v>0</v>
      </c>
      <c r="EJ32" s="209"/>
      <c r="EK32" s="228">
        <f t="shared" si="47"/>
        <v>2675000</v>
      </c>
      <c r="EL32" s="228">
        <f t="shared" si="48"/>
        <v>0</v>
      </c>
      <c r="EM32" s="228">
        <f t="shared" si="49"/>
        <v>287.5625</v>
      </c>
      <c r="EN32" s="209">
        <f t="shared" si="50"/>
        <v>3.8699999999999998E-2</v>
      </c>
      <c r="EP32" s="208"/>
    </row>
    <row r="33" spans="1:146" x14ac:dyDescent="0.25">
      <c r="A33" s="222">
        <f t="shared" si="51"/>
        <v>46226</v>
      </c>
      <c r="B33" s="208">
        <v>0</v>
      </c>
      <c r="C33" s="209">
        <v>3.9074490000000003E-2</v>
      </c>
      <c r="D33" s="208">
        <f t="shared" si="0"/>
        <v>0</v>
      </c>
      <c r="G33" s="208">
        <f t="shared" si="1"/>
        <v>0</v>
      </c>
      <c r="J33" s="208">
        <f t="shared" si="2"/>
        <v>0</v>
      </c>
      <c r="M33" s="208">
        <f t="shared" si="3"/>
        <v>0</v>
      </c>
      <c r="P33" s="208">
        <f t="shared" si="4"/>
        <v>0</v>
      </c>
      <c r="S33" s="208">
        <f t="shared" si="5"/>
        <v>0</v>
      </c>
      <c r="V33" s="208">
        <f t="shared" si="6"/>
        <v>0</v>
      </c>
      <c r="Y33" s="208">
        <f t="shared" si="7"/>
        <v>0</v>
      </c>
      <c r="AB33" s="208">
        <f t="shared" si="8"/>
        <v>0</v>
      </c>
      <c r="AE33" s="208">
        <v>0</v>
      </c>
      <c r="AH33" s="208">
        <v>0</v>
      </c>
      <c r="AI33" s="223">
        <v>74550000</v>
      </c>
      <c r="AJ33" s="224">
        <v>3.8699999999999998E-2</v>
      </c>
      <c r="AK33" s="208">
        <f t="shared" si="9"/>
        <v>8014.125</v>
      </c>
      <c r="AL33" s="223"/>
      <c r="AM33" s="224"/>
      <c r="AN33" s="208">
        <f t="shared" si="10"/>
        <v>0</v>
      </c>
      <c r="AO33" s="223"/>
      <c r="AP33" s="224"/>
      <c r="AQ33" s="208">
        <f t="shared" si="11"/>
        <v>0</v>
      </c>
      <c r="AR33" s="223"/>
      <c r="AS33" s="224"/>
      <c r="AT33" s="208">
        <f t="shared" si="12"/>
        <v>0</v>
      </c>
      <c r="AW33" s="208">
        <f t="shared" si="13"/>
        <v>0</v>
      </c>
      <c r="AZ33" s="208">
        <f t="shared" si="14"/>
        <v>0</v>
      </c>
      <c r="BC33" s="208">
        <f t="shared" si="15"/>
        <v>0</v>
      </c>
      <c r="BF33" s="208">
        <f t="shared" si="16"/>
        <v>0</v>
      </c>
      <c r="BI33" s="208">
        <f t="shared" si="17"/>
        <v>0</v>
      </c>
      <c r="BL33" s="208">
        <f t="shared" si="18"/>
        <v>0</v>
      </c>
      <c r="BO33" s="208">
        <f t="shared" si="19"/>
        <v>0</v>
      </c>
      <c r="BR33" s="208">
        <f t="shared" si="20"/>
        <v>0</v>
      </c>
      <c r="BU33" s="208">
        <f t="shared" si="21"/>
        <v>0</v>
      </c>
      <c r="BX33" s="208">
        <f t="shared" si="22"/>
        <v>0</v>
      </c>
      <c r="CA33" s="208">
        <f t="shared" si="23"/>
        <v>0</v>
      </c>
      <c r="CD33" s="208">
        <f t="shared" si="24"/>
        <v>0</v>
      </c>
      <c r="CG33" s="208">
        <f t="shared" si="25"/>
        <v>0</v>
      </c>
      <c r="CJ33" s="208">
        <f t="shared" si="26"/>
        <v>0</v>
      </c>
      <c r="CM33" s="208">
        <f t="shared" si="27"/>
        <v>0</v>
      </c>
      <c r="CP33" s="208">
        <f t="shared" si="28"/>
        <v>0</v>
      </c>
      <c r="CS33" s="208">
        <f t="shared" si="29"/>
        <v>0</v>
      </c>
      <c r="CV33" s="208">
        <f t="shared" si="30"/>
        <v>0</v>
      </c>
      <c r="CY33" s="208">
        <f t="shared" si="31"/>
        <v>0</v>
      </c>
      <c r="DB33" s="208">
        <f t="shared" si="32"/>
        <v>0</v>
      </c>
      <c r="DE33" s="208">
        <f t="shared" si="33"/>
        <v>0</v>
      </c>
      <c r="DH33" s="208">
        <f t="shared" si="34"/>
        <v>0</v>
      </c>
      <c r="DK33" s="208">
        <f t="shared" si="35"/>
        <v>0</v>
      </c>
      <c r="DN33" s="208">
        <f t="shared" si="36"/>
        <v>0</v>
      </c>
      <c r="DQ33" s="208">
        <f t="shared" si="37"/>
        <v>0</v>
      </c>
      <c r="DT33" s="208">
        <f t="shared" si="38"/>
        <v>0</v>
      </c>
      <c r="DW33" s="208">
        <f t="shared" si="39"/>
        <v>0</v>
      </c>
      <c r="DZ33" s="208"/>
      <c r="EA33" s="208"/>
      <c r="EB33" s="228">
        <f t="shared" si="40"/>
        <v>74550000</v>
      </c>
      <c r="EC33" s="228">
        <f t="shared" si="41"/>
        <v>0</v>
      </c>
      <c r="ED33" s="208">
        <f t="shared" si="42"/>
        <v>8014.125</v>
      </c>
      <c r="EE33" s="209">
        <f t="shared" si="43"/>
        <v>3.8699999999999998E-2</v>
      </c>
      <c r="EG33" s="228">
        <f t="shared" si="44"/>
        <v>0</v>
      </c>
      <c r="EH33" s="208">
        <f t="shared" si="45"/>
        <v>0</v>
      </c>
      <c r="EI33" s="209">
        <f t="shared" si="46"/>
        <v>0</v>
      </c>
      <c r="EJ33" s="209"/>
      <c r="EK33" s="228">
        <f t="shared" si="47"/>
        <v>74550000</v>
      </c>
      <c r="EL33" s="228">
        <f t="shared" si="48"/>
        <v>0</v>
      </c>
      <c r="EM33" s="228">
        <f t="shared" si="49"/>
        <v>8014.125</v>
      </c>
      <c r="EN33" s="209">
        <f t="shared" si="50"/>
        <v>3.8699999999999998E-2</v>
      </c>
      <c r="EP33" s="208"/>
    </row>
    <row r="34" spans="1:146" x14ac:dyDescent="0.25">
      <c r="A34" s="222">
        <f t="shared" si="51"/>
        <v>46227</v>
      </c>
      <c r="B34" s="208">
        <v>0</v>
      </c>
      <c r="C34" s="209">
        <v>3.9050359999999999E-2</v>
      </c>
      <c r="D34" s="208">
        <f t="shared" si="0"/>
        <v>0</v>
      </c>
      <c r="G34" s="208">
        <f t="shared" si="1"/>
        <v>0</v>
      </c>
      <c r="J34" s="208">
        <f t="shared" si="2"/>
        <v>0</v>
      </c>
      <c r="M34" s="208">
        <f t="shared" si="3"/>
        <v>0</v>
      </c>
      <c r="P34" s="208">
        <f t="shared" si="4"/>
        <v>0</v>
      </c>
      <c r="S34" s="208">
        <f t="shared" si="5"/>
        <v>0</v>
      </c>
      <c r="V34" s="208">
        <f t="shared" si="6"/>
        <v>0</v>
      </c>
      <c r="Y34" s="208">
        <f t="shared" si="7"/>
        <v>0</v>
      </c>
      <c r="AB34" s="208">
        <f t="shared" si="8"/>
        <v>0</v>
      </c>
      <c r="AE34" s="208">
        <v>0</v>
      </c>
      <c r="AH34" s="208">
        <v>0</v>
      </c>
      <c r="AI34" s="223">
        <v>104757000</v>
      </c>
      <c r="AJ34" s="224">
        <v>3.8600000000000002E-2</v>
      </c>
      <c r="AK34" s="208">
        <f t="shared" si="9"/>
        <v>11232.278333333334</v>
      </c>
      <c r="AL34" s="223"/>
      <c r="AM34" s="224"/>
      <c r="AN34" s="208">
        <f t="shared" si="10"/>
        <v>0</v>
      </c>
      <c r="AO34" s="223"/>
      <c r="AP34" s="224"/>
      <c r="AQ34" s="208">
        <f t="shared" si="11"/>
        <v>0</v>
      </c>
      <c r="AR34" s="223"/>
      <c r="AS34" s="224"/>
      <c r="AT34" s="208">
        <f t="shared" si="12"/>
        <v>0</v>
      </c>
      <c r="AW34" s="208">
        <f t="shared" si="13"/>
        <v>0</v>
      </c>
      <c r="AZ34" s="208">
        <f t="shared" si="14"/>
        <v>0</v>
      </c>
      <c r="BC34" s="208">
        <f t="shared" si="15"/>
        <v>0</v>
      </c>
      <c r="BF34" s="208">
        <f t="shared" si="16"/>
        <v>0</v>
      </c>
      <c r="BI34" s="208">
        <f t="shared" si="17"/>
        <v>0</v>
      </c>
      <c r="BL34" s="208">
        <f t="shared" si="18"/>
        <v>0</v>
      </c>
      <c r="BO34" s="208">
        <f t="shared" si="19"/>
        <v>0</v>
      </c>
      <c r="BR34" s="208">
        <f t="shared" si="20"/>
        <v>0</v>
      </c>
      <c r="BU34" s="208">
        <f t="shared" si="21"/>
        <v>0</v>
      </c>
      <c r="BX34" s="208">
        <f t="shared" si="22"/>
        <v>0</v>
      </c>
      <c r="CA34" s="208">
        <f t="shared" si="23"/>
        <v>0</v>
      </c>
      <c r="CD34" s="208">
        <f t="shared" si="24"/>
        <v>0</v>
      </c>
      <c r="CG34" s="208">
        <f t="shared" si="25"/>
        <v>0</v>
      </c>
      <c r="CJ34" s="208">
        <f t="shared" si="26"/>
        <v>0</v>
      </c>
      <c r="CM34" s="208">
        <f t="shared" si="27"/>
        <v>0</v>
      </c>
      <c r="CP34" s="208">
        <f t="shared" si="28"/>
        <v>0</v>
      </c>
      <c r="CS34" s="208">
        <f t="shared" si="29"/>
        <v>0</v>
      </c>
      <c r="CV34" s="208">
        <f t="shared" si="30"/>
        <v>0</v>
      </c>
      <c r="CY34" s="208">
        <f t="shared" si="31"/>
        <v>0</v>
      </c>
      <c r="DB34" s="208">
        <f t="shared" si="32"/>
        <v>0</v>
      </c>
      <c r="DE34" s="208">
        <f t="shared" si="33"/>
        <v>0</v>
      </c>
      <c r="DH34" s="208">
        <f t="shared" si="34"/>
        <v>0</v>
      </c>
      <c r="DK34" s="208">
        <f t="shared" si="35"/>
        <v>0</v>
      </c>
      <c r="DN34" s="208">
        <f t="shared" si="36"/>
        <v>0</v>
      </c>
      <c r="DQ34" s="208">
        <f t="shared" si="37"/>
        <v>0</v>
      </c>
      <c r="DT34" s="208">
        <f t="shared" si="38"/>
        <v>0</v>
      </c>
      <c r="DW34" s="208">
        <f t="shared" si="39"/>
        <v>0</v>
      </c>
      <c r="DZ34" s="208"/>
      <c r="EA34" s="208"/>
      <c r="EB34" s="228">
        <f t="shared" si="40"/>
        <v>104757000</v>
      </c>
      <c r="EC34" s="228">
        <f t="shared" si="41"/>
        <v>0</v>
      </c>
      <c r="ED34" s="208">
        <f t="shared" si="42"/>
        <v>11232.278333333334</v>
      </c>
      <c r="EE34" s="209">
        <f t="shared" si="43"/>
        <v>3.8600000000000002E-2</v>
      </c>
      <c r="EG34" s="228">
        <f t="shared" si="44"/>
        <v>0</v>
      </c>
      <c r="EH34" s="208">
        <f t="shared" si="45"/>
        <v>0</v>
      </c>
      <c r="EI34" s="209">
        <f t="shared" si="46"/>
        <v>0</v>
      </c>
      <c r="EJ34" s="209"/>
      <c r="EK34" s="228">
        <f t="shared" si="47"/>
        <v>104757000</v>
      </c>
      <c r="EL34" s="228">
        <f t="shared" si="48"/>
        <v>0</v>
      </c>
      <c r="EM34" s="228">
        <f t="shared" si="49"/>
        <v>11232.278333333334</v>
      </c>
      <c r="EN34" s="209">
        <f t="shared" si="50"/>
        <v>3.8600000000000002E-2</v>
      </c>
      <c r="EP34" s="208"/>
    </row>
    <row r="35" spans="1:146" x14ac:dyDescent="0.25">
      <c r="A35" s="222">
        <f t="shared" si="51"/>
        <v>46228</v>
      </c>
      <c r="B35" s="208">
        <v>0</v>
      </c>
      <c r="C35" s="209">
        <v>3.9050359999999999E-2</v>
      </c>
      <c r="D35" s="208">
        <f t="shared" si="0"/>
        <v>0</v>
      </c>
      <c r="G35" s="208">
        <f t="shared" si="1"/>
        <v>0</v>
      </c>
      <c r="J35" s="208">
        <f t="shared" si="2"/>
        <v>0</v>
      </c>
      <c r="M35" s="208">
        <f t="shared" si="3"/>
        <v>0</v>
      </c>
      <c r="P35" s="208">
        <f t="shared" si="4"/>
        <v>0</v>
      </c>
      <c r="S35" s="208">
        <f t="shared" si="5"/>
        <v>0</v>
      </c>
      <c r="V35" s="208">
        <f t="shared" si="6"/>
        <v>0</v>
      </c>
      <c r="Y35" s="208">
        <f t="shared" si="7"/>
        <v>0</v>
      </c>
      <c r="AB35" s="208">
        <f t="shared" si="8"/>
        <v>0</v>
      </c>
      <c r="AE35" s="208">
        <v>0</v>
      </c>
      <c r="AH35" s="208">
        <v>0</v>
      </c>
      <c r="AI35" s="223">
        <v>104757000</v>
      </c>
      <c r="AJ35" s="224">
        <v>3.8600000000000002E-2</v>
      </c>
      <c r="AK35" s="208">
        <f t="shared" si="9"/>
        <v>11232.278333333334</v>
      </c>
      <c r="AL35" s="223"/>
      <c r="AM35" s="224"/>
      <c r="AN35" s="208">
        <f t="shared" si="10"/>
        <v>0</v>
      </c>
      <c r="AO35" s="223"/>
      <c r="AP35" s="224"/>
      <c r="AQ35" s="208">
        <f t="shared" si="11"/>
        <v>0</v>
      </c>
      <c r="AR35" s="223"/>
      <c r="AS35" s="224"/>
      <c r="AT35" s="208">
        <f t="shared" si="12"/>
        <v>0</v>
      </c>
      <c r="AW35" s="208">
        <f t="shared" si="13"/>
        <v>0</v>
      </c>
      <c r="AZ35" s="208">
        <f t="shared" si="14"/>
        <v>0</v>
      </c>
      <c r="BC35" s="208">
        <f t="shared" si="15"/>
        <v>0</v>
      </c>
      <c r="BF35" s="208">
        <f t="shared" si="16"/>
        <v>0</v>
      </c>
      <c r="BI35" s="208">
        <f t="shared" si="17"/>
        <v>0</v>
      </c>
      <c r="BL35" s="208">
        <f t="shared" si="18"/>
        <v>0</v>
      </c>
      <c r="BO35" s="208">
        <f t="shared" si="19"/>
        <v>0</v>
      </c>
      <c r="BR35" s="208">
        <f t="shared" si="20"/>
        <v>0</v>
      </c>
      <c r="BU35" s="208">
        <f t="shared" si="21"/>
        <v>0</v>
      </c>
      <c r="BX35" s="208">
        <f t="shared" si="22"/>
        <v>0</v>
      </c>
      <c r="CA35" s="208">
        <f t="shared" si="23"/>
        <v>0</v>
      </c>
      <c r="CD35" s="208">
        <f t="shared" si="24"/>
        <v>0</v>
      </c>
      <c r="CG35" s="208">
        <f t="shared" si="25"/>
        <v>0</v>
      </c>
      <c r="CJ35" s="208">
        <f t="shared" si="26"/>
        <v>0</v>
      </c>
      <c r="CM35" s="208">
        <f t="shared" si="27"/>
        <v>0</v>
      </c>
      <c r="CP35" s="208">
        <f t="shared" si="28"/>
        <v>0</v>
      </c>
      <c r="CS35" s="208">
        <f t="shared" si="29"/>
        <v>0</v>
      </c>
      <c r="CV35" s="208">
        <f t="shared" si="30"/>
        <v>0</v>
      </c>
      <c r="CY35" s="208">
        <f t="shared" si="31"/>
        <v>0</v>
      </c>
      <c r="DB35" s="208">
        <f t="shared" si="32"/>
        <v>0</v>
      </c>
      <c r="DE35" s="208">
        <f t="shared" si="33"/>
        <v>0</v>
      </c>
      <c r="DH35" s="208">
        <f t="shared" si="34"/>
        <v>0</v>
      </c>
      <c r="DK35" s="208">
        <f t="shared" si="35"/>
        <v>0</v>
      </c>
      <c r="DN35" s="208">
        <f t="shared" si="36"/>
        <v>0</v>
      </c>
      <c r="DQ35" s="208">
        <f t="shared" si="37"/>
        <v>0</v>
      </c>
      <c r="DT35" s="208">
        <f t="shared" si="38"/>
        <v>0</v>
      </c>
      <c r="DW35" s="208">
        <f t="shared" si="39"/>
        <v>0</v>
      </c>
      <c r="DZ35" s="208"/>
      <c r="EA35" s="208"/>
      <c r="EB35" s="228">
        <f t="shared" si="40"/>
        <v>104757000</v>
      </c>
      <c r="EC35" s="228">
        <f t="shared" si="41"/>
        <v>0</v>
      </c>
      <c r="ED35" s="208">
        <f t="shared" si="42"/>
        <v>11232.278333333334</v>
      </c>
      <c r="EE35" s="209">
        <f t="shared" si="43"/>
        <v>3.8600000000000002E-2</v>
      </c>
      <c r="EG35" s="228">
        <f t="shared" si="44"/>
        <v>0</v>
      </c>
      <c r="EH35" s="208">
        <f t="shared" si="45"/>
        <v>0</v>
      </c>
      <c r="EI35" s="209">
        <f t="shared" si="46"/>
        <v>0</v>
      </c>
      <c r="EJ35" s="209"/>
      <c r="EK35" s="228">
        <f t="shared" si="47"/>
        <v>104757000</v>
      </c>
      <c r="EL35" s="228">
        <f t="shared" si="48"/>
        <v>0</v>
      </c>
      <c r="EM35" s="228">
        <f t="shared" si="49"/>
        <v>11232.278333333334</v>
      </c>
      <c r="EN35" s="209">
        <f t="shared" si="50"/>
        <v>3.8600000000000002E-2</v>
      </c>
      <c r="EP35" s="208"/>
    </row>
    <row r="36" spans="1:146" x14ac:dyDescent="0.25">
      <c r="A36" s="222">
        <f t="shared" si="51"/>
        <v>46229</v>
      </c>
      <c r="B36" s="208">
        <v>0</v>
      </c>
      <c r="C36" s="209">
        <v>3.9050359999999999E-2</v>
      </c>
      <c r="D36" s="208">
        <f t="shared" si="0"/>
        <v>0</v>
      </c>
      <c r="G36" s="208">
        <f t="shared" si="1"/>
        <v>0</v>
      </c>
      <c r="J36" s="208">
        <f t="shared" si="2"/>
        <v>0</v>
      </c>
      <c r="M36" s="208">
        <f t="shared" si="3"/>
        <v>0</v>
      </c>
      <c r="P36" s="208">
        <f t="shared" si="4"/>
        <v>0</v>
      </c>
      <c r="S36" s="208">
        <f t="shared" si="5"/>
        <v>0</v>
      </c>
      <c r="V36" s="208">
        <f t="shared" si="6"/>
        <v>0</v>
      </c>
      <c r="Y36" s="208">
        <f t="shared" si="7"/>
        <v>0</v>
      </c>
      <c r="AB36" s="208">
        <f t="shared" si="8"/>
        <v>0</v>
      </c>
      <c r="AE36" s="208">
        <v>0</v>
      </c>
      <c r="AH36" s="208">
        <v>0</v>
      </c>
      <c r="AI36" s="223">
        <v>104757000</v>
      </c>
      <c r="AJ36" s="224">
        <v>3.8600000000000002E-2</v>
      </c>
      <c r="AK36" s="208">
        <f t="shared" si="9"/>
        <v>11232.278333333334</v>
      </c>
      <c r="AL36" s="223"/>
      <c r="AM36" s="224"/>
      <c r="AN36" s="208">
        <f t="shared" si="10"/>
        <v>0</v>
      </c>
      <c r="AO36" s="223"/>
      <c r="AP36" s="224"/>
      <c r="AQ36" s="208">
        <f t="shared" si="11"/>
        <v>0</v>
      </c>
      <c r="AR36" s="223"/>
      <c r="AS36" s="224"/>
      <c r="AT36" s="208">
        <f t="shared" si="12"/>
        <v>0</v>
      </c>
      <c r="AW36" s="208">
        <f t="shared" si="13"/>
        <v>0</v>
      </c>
      <c r="AZ36" s="208">
        <f t="shared" si="14"/>
        <v>0</v>
      </c>
      <c r="BC36" s="208">
        <f t="shared" si="15"/>
        <v>0</v>
      </c>
      <c r="BF36" s="208">
        <f t="shared" si="16"/>
        <v>0</v>
      </c>
      <c r="BI36" s="208">
        <f t="shared" si="17"/>
        <v>0</v>
      </c>
      <c r="BL36" s="208">
        <f t="shared" si="18"/>
        <v>0</v>
      </c>
      <c r="BO36" s="208">
        <f t="shared" si="19"/>
        <v>0</v>
      </c>
      <c r="BR36" s="208">
        <f t="shared" si="20"/>
        <v>0</v>
      </c>
      <c r="BU36" s="208">
        <f t="shared" si="21"/>
        <v>0</v>
      </c>
      <c r="BX36" s="208">
        <f t="shared" si="22"/>
        <v>0</v>
      </c>
      <c r="CA36" s="208">
        <f t="shared" si="23"/>
        <v>0</v>
      </c>
      <c r="CD36" s="208">
        <f t="shared" si="24"/>
        <v>0</v>
      </c>
      <c r="CG36" s="208">
        <f t="shared" si="25"/>
        <v>0</v>
      </c>
      <c r="CJ36" s="208">
        <f t="shared" si="26"/>
        <v>0</v>
      </c>
      <c r="CM36" s="208">
        <f t="shared" si="27"/>
        <v>0</v>
      </c>
      <c r="CP36" s="208">
        <f t="shared" si="28"/>
        <v>0</v>
      </c>
      <c r="CS36" s="208">
        <f t="shared" si="29"/>
        <v>0</v>
      </c>
      <c r="CV36" s="208">
        <f t="shared" si="30"/>
        <v>0</v>
      </c>
      <c r="CY36" s="208">
        <f t="shared" si="31"/>
        <v>0</v>
      </c>
      <c r="DB36" s="208">
        <f t="shared" si="32"/>
        <v>0</v>
      </c>
      <c r="DE36" s="208">
        <f t="shared" si="33"/>
        <v>0</v>
      </c>
      <c r="DH36" s="208">
        <f t="shared" si="34"/>
        <v>0</v>
      </c>
      <c r="DK36" s="208">
        <f t="shared" si="35"/>
        <v>0</v>
      </c>
      <c r="DN36" s="208">
        <f t="shared" si="36"/>
        <v>0</v>
      </c>
      <c r="DQ36" s="208">
        <f t="shared" si="37"/>
        <v>0</v>
      </c>
      <c r="DT36" s="208">
        <f t="shared" si="38"/>
        <v>0</v>
      </c>
      <c r="DW36" s="208">
        <f t="shared" si="39"/>
        <v>0</v>
      </c>
      <c r="DZ36" s="208"/>
      <c r="EA36" s="208"/>
      <c r="EB36" s="228">
        <f t="shared" si="40"/>
        <v>104757000</v>
      </c>
      <c r="EC36" s="228">
        <f t="shared" si="41"/>
        <v>0</v>
      </c>
      <c r="ED36" s="208">
        <f t="shared" si="42"/>
        <v>11232.278333333334</v>
      </c>
      <c r="EE36" s="209">
        <f t="shared" si="43"/>
        <v>3.8600000000000002E-2</v>
      </c>
      <c r="EG36" s="228">
        <f t="shared" si="44"/>
        <v>0</v>
      </c>
      <c r="EH36" s="208">
        <f t="shared" si="45"/>
        <v>0</v>
      </c>
      <c r="EI36" s="209">
        <f t="shared" si="46"/>
        <v>0</v>
      </c>
      <c r="EJ36" s="209"/>
      <c r="EK36" s="228">
        <f t="shared" si="47"/>
        <v>104757000</v>
      </c>
      <c r="EL36" s="228">
        <f t="shared" si="48"/>
        <v>0</v>
      </c>
      <c r="EM36" s="228">
        <f t="shared" si="49"/>
        <v>11232.278333333334</v>
      </c>
      <c r="EN36" s="209">
        <f t="shared" si="50"/>
        <v>3.8600000000000002E-2</v>
      </c>
      <c r="EP36" s="208"/>
    </row>
    <row r="37" spans="1:146" x14ac:dyDescent="0.25">
      <c r="A37" s="222">
        <f t="shared" si="51"/>
        <v>46230</v>
      </c>
      <c r="B37" s="208">
        <v>0</v>
      </c>
      <c r="C37" s="209">
        <v>3.9018459999999998E-2</v>
      </c>
      <c r="D37" s="208">
        <f t="shared" si="0"/>
        <v>0</v>
      </c>
      <c r="G37" s="208">
        <f t="shared" si="1"/>
        <v>0</v>
      </c>
      <c r="J37" s="208">
        <f t="shared" si="2"/>
        <v>0</v>
      </c>
      <c r="M37" s="208">
        <f t="shared" si="3"/>
        <v>0</v>
      </c>
      <c r="P37" s="208">
        <f t="shared" si="4"/>
        <v>0</v>
      </c>
      <c r="S37" s="208">
        <f t="shared" si="5"/>
        <v>0</v>
      </c>
      <c r="V37" s="208">
        <f t="shared" si="6"/>
        <v>0</v>
      </c>
      <c r="Y37" s="208">
        <f t="shared" si="7"/>
        <v>0</v>
      </c>
      <c r="AB37" s="208">
        <f t="shared" si="8"/>
        <v>0</v>
      </c>
      <c r="AE37" s="208">
        <v>0</v>
      </c>
      <c r="AH37" s="208">
        <v>0</v>
      </c>
      <c r="AI37" s="223">
        <v>116000000</v>
      </c>
      <c r="AJ37" s="224">
        <v>3.8600000000000002E-2</v>
      </c>
      <c r="AK37" s="208">
        <f t="shared" si="9"/>
        <v>12437.777777777777</v>
      </c>
      <c r="AL37" s="223"/>
      <c r="AM37" s="224"/>
      <c r="AN37" s="208">
        <f t="shared" si="10"/>
        <v>0</v>
      </c>
      <c r="AO37" s="223"/>
      <c r="AP37" s="224"/>
      <c r="AQ37" s="208">
        <f t="shared" si="11"/>
        <v>0</v>
      </c>
      <c r="AR37" s="223"/>
      <c r="AS37" s="224"/>
      <c r="AT37" s="208">
        <f t="shared" si="12"/>
        <v>0</v>
      </c>
      <c r="AW37" s="208">
        <f t="shared" si="13"/>
        <v>0</v>
      </c>
      <c r="AZ37" s="208">
        <f t="shared" si="14"/>
        <v>0</v>
      </c>
      <c r="BC37" s="208">
        <f t="shared" si="15"/>
        <v>0</v>
      </c>
      <c r="BF37" s="208">
        <f t="shared" si="16"/>
        <v>0</v>
      </c>
      <c r="BI37" s="208">
        <f t="shared" si="17"/>
        <v>0</v>
      </c>
      <c r="BL37" s="208">
        <f t="shared" si="18"/>
        <v>0</v>
      </c>
      <c r="BO37" s="208">
        <f t="shared" si="19"/>
        <v>0</v>
      </c>
      <c r="BR37" s="208">
        <f t="shared" si="20"/>
        <v>0</v>
      </c>
      <c r="BU37" s="208">
        <f t="shared" si="21"/>
        <v>0</v>
      </c>
      <c r="BX37" s="208">
        <f t="shared" si="22"/>
        <v>0</v>
      </c>
      <c r="CA37" s="208">
        <f t="shared" si="23"/>
        <v>0</v>
      </c>
      <c r="CD37" s="208">
        <f t="shared" si="24"/>
        <v>0</v>
      </c>
      <c r="CG37" s="208">
        <f t="shared" si="25"/>
        <v>0</v>
      </c>
      <c r="CJ37" s="208">
        <f t="shared" si="26"/>
        <v>0</v>
      </c>
      <c r="CM37" s="208">
        <f t="shared" si="27"/>
        <v>0</v>
      </c>
      <c r="CP37" s="208">
        <f t="shared" si="28"/>
        <v>0</v>
      </c>
      <c r="CS37" s="208">
        <f t="shared" si="29"/>
        <v>0</v>
      </c>
      <c r="CV37" s="208">
        <f t="shared" si="30"/>
        <v>0</v>
      </c>
      <c r="CY37" s="208">
        <f t="shared" si="31"/>
        <v>0</v>
      </c>
      <c r="DB37" s="208">
        <f t="shared" si="32"/>
        <v>0</v>
      </c>
      <c r="DE37" s="208">
        <f t="shared" si="33"/>
        <v>0</v>
      </c>
      <c r="DH37" s="208">
        <f t="shared" si="34"/>
        <v>0</v>
      </c>
      <c r="DK37" s="208">
        <f t="shared" si="35"/>
        <v>0</v>
      </c>
      <c r="DN37" s="208">
        <f t="shared" si="36"/>
        <v>0</v>
      </c>
      <c r="DQ37" s="208">
        <f t="shared" si="37"/>
        <v>0</v>
      </c>
      <c r="DT37" s="208">
        <f t="shared" si="38"/>
        <v>0</v>
      </c>
      <c r="DW37" s="208">
        <f t="shared" si="39"/>
        <v>0</v>
      </c>
      <c r="DZ37" s="208"/>
      <c r="EA37" s="208"/>
      <c r="EB37" s="228">
        <f t="shared" si="40"/>
        <v>116000000</v>
      </c>
      <c r="EC37" s="228">
        <f t="shared" si="41"/>
        <v>0</v>
      </c>
      <c r="ED37" s="208">
        <f t="shared" si="42"/>
        <v>12437.777777777777</v>
      </c>
      <c r="EE37" s="209">
        <f t="shared" si="43"/>
        <v>3.8599999999999995E-2</v>
      </c>
      <c r="EG37" s="228">
        <f t="shared" si="44"/>
        <v>0</v>
      </c>
      <c r="EH37" s="208">
        <f t="shared" si="45"/>
        <v>0</v>
      </c>
      <c r="EI37" s="209">
        <f t="shared" si="46"/>
        <v>0</v>
      </c>
      <c r="EJ37" s="209"/>
      <c r="EK37" s="228">
        <f t="shared" si="47"/>
        <v>116000000</v>
      </c>
      <c r="EL37" s="228">
        <f t="shared" si="48"/>
        <v>0</v>
      </c>
      <c r="EM37" s="228">
        <f t="shared" si="49"/>
        <v>12437.777777777777</v>
      </c>
      <c r="EN37" s="209">
        <f t="shared" si="50"/>
        <v>3.8599999999999995E-2</v>
      </c>
      <c r="EP37" s="208"/>
    </row>
    <row r="38" spans="1:146" x14ac:dyDescent="0.25">
      <c r="A38" s="222">
        <f t="shared" si="51"/>
        <v>46231</v>
      </c>
      <c r="B38" s="208">
        <v>0</v>
      </c>
      <c r="C38" s="209">
        <v>3.880099E-2</v>
      </c>
      <c r="D38" s="208">
        <f t="shared" si="0"/>
        <v>0</v>
      </c>
      <c r="G38" s="208">
        <f t="shared" si="1"/>
        <v>0</v>
      </c>
      <c r="J38" s="208">
        <f t="shared" si="2"/>
        <v>0</v>
      </c>
      <c r="M38" s="208">
        <f t="shared" si="3"/>
        <v>0</v>
      </c>
      <c r="P38" s="208">
        <f t="shared" si="4"/>
        <v>0</v>
      </c>
      <c r="S38" s="208">
        <f t="shared" si="5"/>
        <v>0</v>
      </c>
      <c r="V38" s="208">
        <f t="shared" si="6"/>
        <v>0</v>
      </c>
      <c r="Y38" s="208">
        <f t="shared" si="7"/>
        <v>0</v>
      </c>
      <c r="AB38" s="208">
        <f t="shared" si="8"/>
        <v>0</v>
      </c>
      <c r="AE38" s="208">
        <v>0</v>
      </c>
      <c r="AH38" s="208">
        <v>0</v>
      </c>
      <c r="AI38" s="223">
        <v>101700000</v>
      </c>
      <c r="AJ38" s="224">
        <v>3.8600000000000002E-2</v>
      </c>
      <c r="AK38" s="208">
        <f t="shared" si="9"/>
        <v>10904.500000000002</v>
      </c>
      <c r="AL38" s="223">
        <v>50000000</v>
      </c>
      <c r="AM38" s="224">
        <v>3.9100000000000003E-2</v>
      </c>
      <c r="AN38" s="208">
        <f t="shared" si="10"/>
        <v>5430.5555555555566</v>
      </c>
      <c r="AO38" s="223"/>
      <c r="AP38" s="224"/>
      <c r="AQ38" s="208">
        <f t="shared" si="11"/>
        <v>0</v>
      </c>
      <c r="AR38" s="223"/>
      <c r="AS38" s="224"/>
      <c r="AT38" s="208">
        <f t="shared" si="12"/>
        <v>0</v>
      </c>
      <c r="AW38" s="208">
        <f t="shared" si="13"/>
        <v>0</v>
      </c>
      <c r="AZ38" s="208">
        <f t="shared" si="14"/>
        <v>0</v>
      </c>
      <c r="BC38" s="208">
        <f t="shared" si="15"/>
        <v>0</v>
      </c>
      <c r="BF38" s="208">
        <f t="shared" si="16"/>
        <v>0</v>
      </c>
      <c r="BI38" s="208">
        <f t="shared" si="17"/>
        <v>0</v>
      </c>
      <c r="BL38" s="208">
        <f t="shared" si="18"/>
        <v>0</v>
      </c>
      <c r="BO38" s="208">
        <f t="shared" si="19"/>
        <v>0</v>
      </c>
      <c r="BR38" s="208">
        <f t="shared" si="20"/>
        <v>0</v>
      </c>
      <c r="BU38" s="208">
        <f t="shared" si="21"/>
        <v>0</v>
      </c>
      <c r="BX38" s="208">
        <f t="shared" si="22"/>
        <v>0</v>
      </c>
      <c r="CA38" s="208">
        <f t="shared" si="23"/>
        <v>0</v>
      </c>
      <c r="CD38" s="208">
        <f t="shared" si="24"/>
        <v>0</v>
      </c>
      <c r="CG38" s="208">
        <f t="shared" si="25"/>
        <v>0</v>
      </c>
      <c r="CJ38" s="208">
        <f t="shared" si="26"/>
        <v>0</v>
      </c>
      <c r="CM38" s="208">
        <f t="shared" si="27"/>
        <v>0</v>
      </c>
      <c r="CP38" s="208">
        <f t="shared" si="28"/>
        <v>0</v>
      </c>
      <c r="CS38" s="208">
        <f t="shared" si="29"/>
        <v>0</v>
      </c>
      <c r="CV38" s="208">
        <f t="shared" si="30"/>
        <v>0</v>
      </c>
      <c r="CY38" s="208">
        <f t="shared" si="31"/>
        <v>0</v>
      </c>
      <c r="DB38" s="208">
        <f t="shared" si="32"/>
        <v>0</v>
      </c>
      <c r="DE38" s="208">
        <f t="shared" si="33"/>
        <v>0</v>
      </c>
      <c r="DH38" s="208">
        <f t="shared" si="34"/>
        <v>0</v>
      </c>
      <c r="DK38" s="208">
        <f t="shared" si="35"/>
        <v>0</v>
      </c>
      <c r="DN38" s="208">
        <f t="shared" si="36"/>
        <v>0</v>
      </c>
      <c r="DQ38" s="208">
        <f t="shared" si="37"/>
        <v>0</v>
      </c>
      <c r="DT38" s="208">
        <f t="shared" si="38"/>
        <v>0</v>
      </c>
      <c r="DW38" s="208">
        <f t="shared" si="39"/>
        <v>0</v>
      </c>
      <c r="DZ38" s="208"/>
      <c r="EA38" s="208"/>
      <c r="EB38" s="228">
        <f t="shared" si="40"/>
        <v>151700000</v>
      </c>
      <c r="EC38" s="228">
        <f t="shared" si="41"/>
        <v>0</v>
      </c>
      <c r="ED38" s="208">
        <f t="shared" si="42"/>
        <v>16335.055555555558</v>
      </c>
      <c r="EE38" s="209">
        <f t="shared" si="43"/>
        <v>3.8764798945286762E-2</v>
      </c>
      <c r="EG38" s="228">
        <f t="shared" si="44"/>
        <v>0</v>
      </c>
      <c r="EH38" s="208">
        <f t="shared" si="45"/>
        <v>0</v>
      </c>
      <c r="EI38" s="209">
        <f t="shared" si="46"/>
        <v>0</v>
      </c>
      <c r="EJ38" s="209"/>
      <c r="EK38" s="228">
        <f t="shared" si="47"/>
        <v>151700000</v>
      </c>
      <c r="EL38" s="228">
        <f t="shared" si="48"/>
        <v>0</v>
      </c>
      <c r="EM38" s="228">
        <f t="shared" si="49"/>
        <v>16335.055555555558</v>
      </c>
      <c r="EN38" s="209">
        <f t="shared" si="50"/>
        <v>3.8764798945286762E-2</v>
      </c>
      <c r="EP38" s="208"/>
    </row>
    <row r="39" spans="1:146" x14ac:dyDescent="0.25">
      <c r="A39" s="222">
        <f t="shared" si="51"/>
        <v>46232</v>
      </c>
      <c r="B39" s="208">
        <v>0</v>
      </c>
      <c r="C39" s="209">
        <v>3.889637E-2</v>
      </c>
      <c r="D39" s="208">
        <f t="shared" si="0"/>
        <v>0</v>
      </c>
      <c r="G39" s="208">
        <f t="shared" si="1"/>
        <v>0</v>
      </c>
      <c r="J39" s="208">
        <f t="shared" si="2"/>
        <v>0</v>
      </c>
      <c r="M39" s="208">
        <f t="shared" si="3"/>
        <v>0</v>
      </c>
      <c r="P39" s="208">
        <f t="shared" si="4"/>
        <v>0</v>
      </c>
      <c r="S39" s="208">
        <f t="shared" si="5"/>
        <v>0</v>
      </c>
      <c r="V39" s="208">
        <f t="shared" si="6"/>
        <v>0</v>
      </c>
      <c r="Y39" s="208">
        <f t="shared" si="7"/>
        <v>0</v>
      </c>
      <c r="AB39" s="208">
        <f t="shared" si="8"/>
        <v>0</v>
      </c>
      <c r="AE39" s="208">
        <v>0</v>
      </c>
      <c r="AH39" s="208">
        <v>0</v>
      </c>
      <c r="AI39" s="223">
        <v>100000000</v>
      </c>
      <c r="AJ39" s="224">
        <v>3.8600000000000002E-2</v>
      </c>
      <c r="AK39" s="208">
        <f t="shared" si="9"/>
        <v>10722.222222222223</v>
      </c>
      <c r="AL39" s="223">
        <v>50000000</v>
      </c>
      <c r="AM39" s="224">
        <v>3.9100000000000003E-2</v>
      </c>
      <c r="AN39" s="208">
        <f t="shared" si="10"/>
        <v>5430.5555555555566</v>
      </c>
      <c r="AO39" s="223"/>
      <c r="AP39" s="224"/>
      <c r="AQ39" s="208">
        <f t="shared" si="11"/>
        <v>0</v>
      </c>
      <c r="AR39" s="223"/>
      <c r="AS39" s="224"/>
      <c r="AT39" s="208">
        <f t="shared" si="12"/>
        <v>0</v>
      </c>
      <c r="AW39" s="208">
        <f t="shared" si="13"/>
        <v>0</v>
      </c>
      <c r="AZ39" s="208">
        <f t="shared" si="14"/>
        <v>0</v>
      </c>
      <c r="BC39" s="208">
        <f t="shared" si="15"/>
        <v>0</v>
      </c>
      <c r="BF39" s="208">
        <f t="shared" si="16"/>
        <v>0</v>
      </c>
      <c r="BI39" s="208">
        <f t="shared" si="17"/>
        <v>0</v>
      </c>
      <c r="BL39" s="208">
        <f t="shared" si="18"/>
        <v>0</v>
      </c>
      <c r="BO39" s="208">
        <f t="shared" si="19"/>
        <v>0</v>
      </c>
      <c r="BR39" s="208">
        <f t="shared" si="20"/>
        <v>0</v>
      </c>
      <c r="BU39" s="208">
        <f t="shared" si="21"/>
        <v>0</v>
      </c>
      <c r="BX39" s="208">
        <f t="shared" si="22"/>
        <v>0</v>
      </c>
      <c r="CA39" s="208">
        <f t="shared" si="23"/>
        <v>0</v>
      </c>
      <c r="CD39" s="208">
        <f t="shared" si="24"/>
        <v>0</v>
      </c>
      <c r="CG39" s="208">
        <f t="shared" si="25"/>
        <v>0</v>
      </c>
      <c r="CJ39" s="208">
        <f t="shared" si="26"/>
        <v>0</v>
      </c>
      <c r="CM39" s="208">
        <f t="shared" si="27"/>
        <v>0</v>
      </c>
      <c r="CP39" s="208">
        <f t="shared" si="28"/>
        <v>0</v>
      </c>
      <c r="CS39" s="208">
        <f t="shared" si="29"/>
        <v>0</v>
      </c>
      <c r="CV39" s="208">
        <f t="shared" si="30"/>
        <v>0</v>
      </c>
      <c r="CY39" s="208">
        <f t="shared" si="31"/>
        <v>0</v>
      </c>
      <c r="DB39" s="208">
        <f t="shared" si="32"/>
        <v>0</v>
      </c>
      <c r="DE39" s="208">
        <f t="shared" si="33"/>
        <v>0</v>
      </c>
      <c r="DH39" s="208">
        <f t="shared" si="34"/>
        <v>0</v>
      </c>
      <c r="DK39" s="208">
        <f t="shared" si="35"/>
        <v>0</v>
      </c>
      <c r="DN39" s="208">
        <f t="shared" si="36"/>
        <v>0</v>
      </c>
      <c r="DQ39" s="208">
        <f t="shared" si="37"/>
        <v>0</v>
      </c>
      <c r="DT39" s="208">
        <f t="shared" si="38"/>
        <v>0</v>
      </c>
      <c r="DW39" s="208">
        <f t="shared" si="39"/>
        <v>0</v>
      </c>
      <c r="DZ39" s="208"/>
      <c r="EA39" s="208"/>
      <c r="EB39" s="228">
        <f t="shared" si="40"/>
        <v>150000000</v>
      </c>
      <c r="EC39" s="228">
        <f t="shared" si="41"/>
        <v>0</v>
      </c>
      <c r="ED39" s="208">
        <f t="shared" si="42"/>
        <v>16152.777777777779</v>
      </c>
      <c r="EE39" s="209">
        <f t="shared" si="43"/>
        <v>3.8766666666666671E-2</v>
      </c>
      <c r="EG39" s="228">
        <f t="shared" si="44"/>
        <v>0</v>
      </c>
      <c r="EH39" s="208">
        <f t="shared" si="45"/>
        <v>0</v>
      </c>
      <c r="EI39" s="209">
        <f t="shared" si="46"/>
        <v>0</v>
      </c>
      <c r="EJ39" s="209"/>
      <c r="EK39" s="228">
        <f t="shared" si="47"/>
        <v>150000000</v>
      </c>
      <c r="EL39" s="228">
        <f t="shared" si="48"/>
        <v>0</v>
      </c>
      <c r="EM39" s="228">
        <f t="shared" si="49"/>
        <v>16152.777777777779</v>
      </c>
      <c r="EN39" s="209">
        <f t="shared" si="50"/>
        <v>3.8766666666666671E-2</v>
      </c>
      <c r="EP39" s="208"/>
    </row>
    <row r="40" spans="1:146" x14ac:dyDescent="0.25">
      <c r="A40" s="222">
        <f t="shared" si="51"/>
        <v>46233</v>
      </c>
      <c r="B40" s="208">
        <v>0</v>
      </c>
      <c r="C40" s="209">
        <v>3.9125460000000001E-2</v>
      </c>
      <c r="D40" s="208">
        <f t="shared" si="0"/>
        <v>0</v>
      </c>
      <c r="G40" s="208">
        <f t="shared" si="1"/>
        <v>0</v>
      </c>
      <c r="J40" s="208">
        <f t="shared" si="2"/>
        <v>0</v>
      </c>
      <c r="M40" s="208">
        <f t="shared" si="3"/>
        <v>0</v>
      </c>
      <c r="P40" s="208">
        <f t="shared" si="4"/>
        <v>0</v>
      </c>
      <c r="S40" s="208">
        <f t="shared" si="5"/>
        <v>0</v>
      </c>
      <c r="V40" s="208">
        <f t="shared" si="6"/>
        <v>0</v>
      </c>
      <c r="Y40" s="208">
        <f t="shared" si="7"/>
        <v>0</v>
      </c>
      <c r="AB40" s="208">
        <f t="shared" si="8"/>
        <v>0</v>
      </c>
      <c r="AE40" s="208">
        <v>0</v>
      </c>
      <c r="AH40" s="208">
        <v>0</v>
      </c>
      <c r="AI40" s="223">
        <v>72696000</v>
      </c>
      <c r="AJ40" s="224">
        <v>3.8600000000000002E-2</v>
      </c>
      <c r="AK40" s="208">
        <f t="shared" si="9"/>
        <v>7794.626666666667</v>
      </c>
      <c r="AL40" s="223">
        <v>67304000</v>
      </c>
      <c r="AM40" s="224">
        <v>3.9100000000000003E-2</v>
      </c>
      <c r="AN40" s="208">
        <f t="shared" si="10"/>
        <v>7309.9622222222233</v>
      </c>
      <c r="AO40" s="223"/>
      <c r="AP40" s="224"/>
      <c r="AQ40" s="208">
        <f t="shared" si="11"/>
        <v>0</v>
      </c>
      <c r="AR40" s="223"/>
      <c r="AS40" s="224"/>
      <c r="AT40" s="208">
        <f t="shared" si="12"/>
        <v>0</v>
      </c>
      <c r="AW40" s="208">
        <f t="shared" si="13"/>
        <v>0</v>
      </c>
      <c r="AZ40" s="208">
        <f t="shared" si="14"/>
        <v>0</v>
      </c>
      <c r="BC40" s="208">
        <f t="shared" si="15"/>
        <v>0</v>
      </c>
      <c r="BF40" s="208">
        <f t="shared" si="16"/>
        <v>0</v>
      </c>
      <c r="BI40" s="208">
        <f t="shared" si="17"/>
        <v>0</v>
      </c>
      <c r="BL40" s="208">
        <f t="shared" si="18"/>
        <v>0</v>
      </c>
      <c r="BO40" s="208">
        <f t="shared" si="19"/>
        <v>0</v>
      </c>
      <c r="BR40" s="208">
        <f t="shared" si="20"/>
        <v>0</v>
      </c>
      <c r="BU40" s="208">
        <f t="shared" si="21"/>
        <v>0</v>
      </c>
      <c r="BX40" s="208">
        <f t="shared" si="22"/>
        <v>0</v>
      </c>
      <c r="CA40" s="208">
        <f t="shared" si="23"/>
        <v>0</v>
      </c>
      <c r="CD40" s="208">
        <f t="shared" si="24"/>
        <v>0</v>
      </c>
      <c r="CG40" s="208">
        <f t="shared" si="25"/>
        <v>0</v>
      </c>
      <c r="CJ40" s="208">
        <f t="shared" si="26"/>
        <v>0</v>
      </c>
      <c r="CM40" s="208">
        <f t="shared" si="27"/>
        <v>0</v>
      </c>
      <c r="CP40" s="208">
        <f t="shared" si="28"/>
        <v>0</v>
      </c>
      <c r="CS40" s="208">
        <f t="shared" si="29"/>
        <v>0</v>
      </c>
      <c r="CV40" s="208">
        <f t="shared" si="30"/>
        <v>0</v>
      </c>
      <c r="CY40" s="208">
        <f t="shared" si="31"/>
        <v>0</v>
      </c>
      <c r="DB40" s="208">
        <f t="shared" si="32"/>
        <v>0</v>
      </c>
      <c r="DE40" s="208">
        <f t="shared" si="33"/>
        <v>0</v>
      </c>
      <c r="DH40" s="208">
        <f t="shared" si="34"/>
        <v>0</v>
      </c>
      <c r="DK40" s="208">
        <f t="shared" si="35"/>
        <v>0</v>
      </c>
      <c r="DN40" s="208">
        <f t="shared" si="36"/>
        <v>0</v>
      </c>
      <c r="DQ40" s="208">
        <f t="shared" si="37"/>
        <v>0</v>
      </c>
      <c r="DT40" s="208">
        <f t="shared" si="38"/>
        <v>0</v>
      </c>
      <c r="DW40" s="208">
        <f t="shared" si="39"/>
        <v>0</v>
      </c>
      <c r="DZ40" s="208"/>
      <c r="EA40" s="208"/>
      <c r="EB40" s="228">
        <f t="shared" si="40"/>
        <v>140000000</v>
      </c>
      <c r="EC40" s="228">
        <f t="shared" si="41"/>
        <v>0</v>
      </c>
      <c r="ED40" s="208">
        <f t="shared" si="42"/>
        <v>15104.588888888891</v>
      </c>
      <c r="EE40" s="209">
        <f t="shared" si="43"/>
        <v>3.8840371428571434E-2</v>
      </c>
      <c r="EG40" s="228">
        <f t="shared" si="44"/>
        <v>0</v>
      </c>
      <c r="EH40" s="208">
        <f t="shared" si="45"/>
        <v>0</v>
      </c>
      <c r="EI40" s="209">
        <f t="shared" si="46"/>
        <v>0</v>
      </c>
      <c r="EJ40" s="209"/>
      <c r="EK40" s="228">
        <f t="shared" si="47"/>
        <v>140000000</v>
      </c>
      <c r="EL40" s="228">
        <f t="shared" si="48"/>
        <v>0</v>
      </c>
      <c r="EM40" s="228">
        <f t="shared" si="49"/>
        <v>15104.588888888891</v>
      </c>
      <c r="EN40" s="209">
        <f t="shared" si="50"/>
        <v>3.8840371428571434E-2</v>
      </c>
      <c r="EP40" s="208"/>
    </row>
    <row r="41" spans="1:146" x14ac:dyDescent="0.25">
      <c r="A41" s="222">
        <f t="shared" si="51"/>
        <v>46234</v>
      </c>
      <c r="B41" s="208">
        <v>0</v>
      </c>
      <c r="C41" s="209">
        <v>3.9008950000000001E-2</v>
      </c>
      <c r="D41" s="249">
        <f t="shared" si="0"/>
        <v>0</v>
      </c>
      <c r="G41" s="249">
        <f t="shared" si="1"/>
        <v>0</v>
      </c>
      <c r="J41" s="225">
        <f t="shared" si="2"/>
        <v>0</v>
      </c>
      <c r="M41" s="225">
        <f t="shared" si="3"/>
        <v>0</v>
      </c>
      <c r="P41" s="225">
        <f t="shared" si="4"/>
        <v>0</v>
      </c>
      <c r="S41" s="225">
        <f t="shared" si="5"/>
        <v>0</v>
      </c>
      <c r="V41" s="225">
        <f t="shared" si="6"/>
        <v>0</v>
      </c>
      <c r="Y41" s="225">
        <f t="shared" si="7"/>
        <v>0</v>
      </c>
      <c r="AB41" s="225">
        <f t="shared" si="8"/>
        <v>0</v>
      </c>
      <c r="AE41" s="225">
        <v>0</v>
      </c>
      <c r="AH41" s="225">
        <v>0</v>
      </c>
      <c r="AI41" s="208">
        <v>80000000</v>
      </c>
      <c r="AJ41" s="209">
        <v>3.85E-2</v>
      </c>
      <c r="AK41" s="249">
        <f t="shared" si="9"/>
        <v>8555.5555555555547</v>
      </c>
      <c r="AL41" s="208">
        <v>67304000</v>
      </c>
      <c r="AM41" s="209">
        <v>3.9100000000000003E-2</v>
      </c>
      <c r="AN41" s="249">
        <f t="shared" si="10"/>
        <v>7309.9622222222233</v>
      </c>
      <c r="AQ41" s="249">
        <f t="shared" si="11"/>
        <v>0</v>
      </c>
      <c r="AT41" s="249">
        <f t="shared" si="12"/>
        <v>0</v>
      </c>
      <c r="AW41" s="249">
        <f t="shared" si="13"/>
        <v>0</v>
      </c>
      <c r="AZ41" s="249">
        <f t="shared" si="14"/>
        <v>0</v>
      </c>
      <c r="BC41" s="249">
        <f t="shared" si="15"/>
        <v>0</v>
      </c>
      <c r="BF41" s="249">
        <f t="shared" si="16"/>
        <v>0</v>
      </c>
      <c r="BI41" s="249">
        <f t="shared" si="17"/>
        <v>0</v>
      </c>
      <c r="BL41" s="249">
        <f t="shared" si="18"/>
        <v>0</v>
      </c>
      <c r="BO41" s="225">
        <f t="shared" si="19"/>
        <v>0</v>
      </c>
      <c r="BR41" s="225">
        <f t="shared" si="20"/>
        <v>0</v>
      </c>
      <c r="BU41" s="225">
        <f t="shared" si="21"/>
        <v>0</v>
      </c>
      <c r="BX41" s="225">
        <f t="shared" si="22"/>
        <v>0</v>
      </c>
      <c r="CA41" s="225">
        <f t="shared" si="23"/>
        <v>0</v>
      </c>
      <c r="CD41" s="225">
        <f t="shared" si="24"/>
        <v>0</v>
      </c>
      <c r="CG41" s="225">
        <f t="shared" si="25"/>
        <v>0</v>
      </c>
      <c r="CJ41" s="225">
        <f t="shared" si="26"/>
        <v>0</v>
      </c>
      <c r="CM41" s="225">
        <f t="shared" si="27"/>
        <v>0</v>
      </c>
      <c r="CP41" s="225">
        <f t="shared" si="28"/>
        <v>0</v>
      </c>
      <c r="CS41" s="225">
        <f t="shared" si="29"/>
        <v>0</v>
      </c>
      <c r="CV41" s="225">
        <f t="shared" si="30"/>
        <v>0</v>
      </c>
      <c r="CY41" s="225">
        <f t="shared" si="31"/>
        <v>0</v>
      </c>
      <c r="DB41" s="225">
        <f t="shared" si="32"/>
        <v>0</v>
      </c>
      <c r="DE41" s="225">
        <f t="shared" si="33"/>
        <v>0</v>
      </c>
      <c r="DH41" s="225">
        <f t="shared" si="34"/>
        <v>0</v>
      </c>
      <c r="DK41" s="225">
        <f t="shared" si="35"/>
        <v>0</v>
      </c>
      <c r="DN41" s="225">
        <f t="shared" si="36"/>
        <v>0</v>
      </c>
      <c r="DQ41" s="225">
        <f t="shared" si="37"/>
        <v>0</v>
      </c>
      <c r="DT41" s="225">
        <f t="shared" si="38"/>
        <v>0</v>
      </c>
      <c r="DW41" s="225">
        <f t="shared" si="39"/>
        <v>0</v>
      </c>
      <c r="DZ41" s="208"/>
      <c r="EA41" s="208"/>
      <c r="EB41" s="208">
        <f t="shared" si="40"/>
        <v>147304000</v>
      </c>
      <c r="EC41" s="208">
        <f t="shared" si="41"/>
        <v>0</v>
      </c>
      <c r="ED41" s="249">
        <f t="shared" si="42"/>
        <v>15865.517777777779</v>
      </c>
      <c r="EE41" s="209">
        <f t="shared" si="43"/>
        <v>3.8774143268343025E-2</v>
      </c>
      <c r="EG41" s="208">
        <f t="shared" si="44"/>
        <v>0</v>
      </c>
      <c r="EH41" s="225">
        <f t="shared" si="45"/>
        <v>0</v>
      </c>
      <c r="EI41" s="209">
        <f t="shared" si="46"/>
        <v>0</v>
      </c>
      <c r="EJ41" s="209"/>
      <c r="EK41" s="208">
        <f t="shared" si="47"/>
        <v>147304000</v>
      </c>
      <c r="EL41" s="208">
        <f t="shared" si="48"/>
        <v>0</v>
      </c>
      <c r="EM41" s="249">
        <f t="shared" si="49"/>
        <v>15865.517777777779</v>
      </c>
      <c r="EN41" s="209">
        <f t="shared" si="50"/>
        <v>3.8774143268343025E-2</v>
      </c>
    </row>
    <row r="42" spans="1:146" x14ac:dyDescent="0.25">
      <c r="A42" s="166" t="s">
        <v>35</v>
      </c>
      <c r="D42" s="208">
        <f>SUM(D11:D41)</f>
        <v>0</v>
      </c>
      <c r="F42" s="208"/>
      <c r="G42" s="208">
        <f>SUM(G11:G41)</f>
        <v>0</v>
      </c>
      <c r="I42" s="208"/>
      <c r="J42" s="208">
        <f>SUM(J11:J41)</f>
        <v>0</v>
      </c>
      <c r="L42" s="208"/>
      <c r="M42" s="208">
        <f>SUM(M11:M41)</f>
        <v>0</v>
      </c>
      <c r="O42" s="208"/>
      <c r="P42" s="208">
        <f>SUM(P11:P41)</f>
        <v>0</v>
      </c>
      <c r="R42" s="208"/>
      <c r="S42" s="208">
        <f>SUM(S11:S41)</f>
        <v>0</v>
      </c>
      <c r="U42" s="208"/>
      <c r="V42" s="208">
        <f>SUM(V11:V41)</f>
        <v>0</v>
      </c>
      <c r="X42" s="208"/>
      <c r="Y42" s="208">
        <f>SUM(Y11:Y41)</f>
        <v>0</v>
      </c>
      <c r="AA42" s="208"/>
      <c r="AB42" s="208">
        <f>SUM(AB11:AB41)</f>
        <v>0</v>
      </c>
      <c r="AD42" s="208"/>
      <c r="AE42" s="208">
        <f>SUM(AE11:AE41)</f>
        <v>0</v>
      </c>
      <c r="AG42" s="208"/>
      <c r="AH42" s="208">
        <f>SUM(AH11:AH41)</f>
        <v>0</v>
      </c>
      <c r="AJ42" s="208"/>
      <c r="AK42" s="208">
        <f>SUM(AK11:AK41)</f>
        <v>120477.90611111111</v>
      </c>
      <c r="AM42" s="208"/>
      <c r="AN42" s="208">
        <f>SUM(AN11:AN41)</f>
        <v>102092.14666666667</v>
      </c>
      <c r="AP42" s="208"/>
      <c r="AQ42" s="208">
        <f>SUM(AQ11:AQ41)</f>
        <v>0</v>
      </c>
      <c r="AS42" s="208"/>
      <c r="AT42" s="208">
        <f>SUM(AT11:AT41)</f>
        <v>0</v>
      </c>
      <c r="AV42" s="208"/>
      <c r="AW42" s="208">
        <f>SUM(AW11:AW41)</f>
        <v>0</v>
      </c>
      <c r="AY42" s="208"/>
      <c r="AZ42" s="208">
        <f>SUM(AZ11:AZ41)</f>
        <v>0</v>
      </c>
      <c r="BB42" s="208"/>
      <c r="BC42" s="208">
        <f>SUM(BC11:BC41)</f>
        <v>0</v>
      </c>
      <c r="BE42" s="208"/>
      <c r="BF42" s="208">
        <f>SUM(BF11:BF41)</f>
        <v>0</v>
      </c>
      <c r="BH42" s="208"/>
      <c r="BI42" s="208">
        <f>SUM(BI11:BI41)</f>
        <v>0</v>
      </c>
      <c r="BK42" s="208"/>
      <c r="BL42" s="208">
        <f>SUM(BL11:BL41)</f>
        <v>0</v>
      </c>
      <c r="BN42" s="208"/>
      <c r="BO42" s="208">
        <f>SUM(BO11:BO41)</f>
        <v>0</v>
      </c>
      <c r="BQ42" s="208"/>
      <c r="BR42" s="208">
        <f>SUM(BR11:BR41)</f>
        <v>0</v>
      </c>
      <c r="BT42" s="208"/>
      <c r="BU42" s="208">
        <f>SUM(BU11:BU41)</f>
        <v>0</v>
      </c>
      <c r="BW42" s="208"/>
      <c r="BX42" s="208">
        <f>SUM(BX11:BX41)</f>
        <v>0</v>
      </c>
      <c r="BZ42" s="208"/>
      <c r="CA42" s="208">
        <f>SUM(CA11:CA41)</f>
        <v>0</v>
      </c>
      <c r="CC42" s="208"/>
      <c r="CD42" s="208">
        <f>SUM(CD11:CD41)</f>
        <v>0</v>
      </c>
      <c r="CF42" s="208"/>
      <c r="CG42" s="208">
        <f>SUM(CG11:CG41)</f>
        <v>0</v>
      </c>
      <c r="CI42" s="208"/>
      <c r="CJ42" s="208">
        <f>SUM(CJ11:CJ41)</f>
        <v>0</v>
      </c>
      <c r="CL42" s="208"/>
      <c r="CM42" s="208">
        <f>SUM(CM11:CM41)</f>
        <v>0</v>
      </c>
      <c r="CO42" s="208"/>
      <c r="CP42" s="208">
        <f>SUM(CP11:CP41)</f>
        <v>0</v>
      </c>
      <c r="CR42" s="208"/>
      <c r="CS42" s="208">
        <f>SUM(CS11:CS41)</f>
        <v>0</v>
      </c>
      <c r="CU42" s="208"/>
      <c r="CV42" s="208">
        <f>SUM(CV11:CV41)</f>
        <v>0</v>
      </c>
      <c r="CX42" s="208"/>
      <c r="CY42" s="208">
        <f>SUM(CY11:CY41)</f>
        <v>0</v>
      </c>
      <c r="DA42" s="208"/>
      <c r="DB42" s="208">
        <f>SUM(DB11:DB41)</f>
        <v>0</v>
      </c>
      <c r="DD42" s="208"/>
      <c r="DE42" s="208">
        <f>SUM(DE11:DE41)</f>
        <v>0</v>
      </c>
      <c r="DG42" s="208"/>
      <c r="DH42" s="208">
        <f>SUM(DH11:DH41)</f>
        <v>0</v>
      </c>
      <c r="DJ42" s="208"/>
      <c r="DK42" s="208">
        <f>SUM(DK11:DK41)</f>
        <v>0</v>
      </c>
      <c r="DM42" s="208"/>
      <c r="DN42" s="208">
        <f>SUM(DN11:DN41)</f>
        <v>0</v>
      </c>
      <c r="DP42" s="208"/>
      <c r="DQ42" s="208">
        <f>SUM(DQ11:DQ41)</f>
        <v>0</v>
      </c>
      <c r="DS42" s="208"/>
      <c r="DT42" s="208">
        <f>SUM(DT11:DT41)</f>
        <v>0</v>
      </c>
      <c r="DV42" s="208"/>
      <c r="DW42" s="208">
        <f>SUM(DW11:DW41)</f>
        <v>0</v>
      </c>
      <c r="DY42" s="208"/>
      <c r="DZ42" s="208"/>
      <c r="EA42" s="208"/>
      <c r="EB42" s="208"/>
      <c r="EC42" s="208"/>
      <c r="ED42" s="208">
        <f>SUM(ED11:ED41)</f>
        <v>222570.05277777775</v>
      </c>
      <c r="EE42" s="208"/>
      <c r="EF42" s="208"/>
      <c r="EG42" s="208"/>
      <c r="EH42" s="208">
        <f>SUM(EH11:EH41)</f>
        <v>0</v>
      </c>
      <c r="EI42" s="208"/>
      <c r="EJ42" s="208"/>
      <c r="EK42" s="208"/>
      <c r="EL42" s="208"/>
      <c r="EM42" s="208">
        <f>SUM(EM11:EM41)</f>
        <v>222570.05277777775</v>
      </c>
      <c r="EN42" s="208"/>
    </row>
    <row r="43" spans="1:146" x14ac:dyDescent="0.25">
      <c r="EM43" s="226"/>
    </row>
    <row r="44" spans="1:146" x14ac:dyDescent="0.25">
      <c r="EM44" s="208"/>
    </row>
    <row r="45" spans="1:146" x14ac:dyDescent="0.25">
      <c r="EM45" s="208"/>
    </row>
    <row r="47" spans="1:146" x14ac:dyDescent="0.25">
      <c r="EM47" s="208"/>
    </row>
  </sheetData>
  <pageMargins left="0.7" right="0.7" top="0.75" bottom="0.75" header="0.3" footer="0.3"/>
  <pageSetup scale="63" orientation="portrait" r:id="rId1"/>
  <headerFooter>
    <oddFooter>&amp;CSchedule RL-1</oddFooter>
  </headerFooter>
  <colBreaks count="6" manualBreakCount="6">
    <brk id="7" max="1048575" man="1"/>
    <brk id="43" max="1048575" man="1"/>
    <brk id="52" max="41" man="1"/>
    <brk id="64" max="1048575" man="1"/>
    <brk id="130" max="1048575" man="1"/>
    <brk id="14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15</vt:i4>
      </vt:variant>
    </vt:vector>
  </HeadingPairs>
  <TitlesOfParts>
    <vt:vector size="37" baseType="lpstr">
      <vt:lpstr>Monthly Cost Tracker 6</vt:lpstr>
      <vt:lpstr>Monthly Cost Tracker 7</vt:lpstr>
      <vt:lpstr>Monthly Cost Tracker 8</vt:lpstr>
      <vt:lpstr>True-Up</vt:lpstr>
      <vt:lpstr>Rate Schedule</vt:lpstr>
      <vt:lpstr>RRR</vt:lpstr>
      <vt:lpstr>ER-2024-0319</vt:lpstr>
      <vt:lpstr>SRP</vt:lpstr>
      <vt:lpstr>WACC</vt:lpstr>
      <vt:lpstr>Rate Base</vt:lpstr>
      <vt:lpstr>Aug 25 Int</vt:lpstr>
      <vt:lpstr>Sept 25 Int</vt:lpstr>
      <vt:lpstr>Oct 25 Int</vt:lpstr>
      <vt:lpstr>Nov 25 Int</vt:lpstr>
      <vt:lpstr>Dec 25 Int</vt:lpstr>
      <vt:lpstr>Jan 26 Int</vt:lpstr>
      <vt:lpstr>Feb 26 Int</vt:lpstr>
      <vt:lpstr>Mar 26 Int</vt:lpstr>
      <vt:lpstr>Apr 26 Int</vt:lpstr>
      <vt:lpstr>May 26 Int</vt:lpstr>
      <vt:lpstr>Jun 26 Int</vt:lpstr>
      <vt:lpstr>Jul 26 Int</vt:lpstr>
      <vt:lpstr>'Apr 26 Int'!Print_Area</vt:lpstr>
      <vt:lpstr>'Aug 25 Int'!Print_Area</vt:lpstr>
      <vt:lpstr>'Dec 25 Int'!Print_Area</vt:lpstr>
      <vt:lpstr>'ER-2024-0319'!Print_Area</vt:lpstr>
      <vt:lpstr>'Feb 26 Int'!Print_Area</vt:lpstr>
      <vt:lpstr>'Jan 26 Int'!Print_Area</vt:lpstr>
      <vt:lpstr>'Jul 26 Int'!Print_Area</vt:lpstr>
      <vt:lpstr>'Jun 26 Int'!Print_Area</vt:lpstr>
      <vt:lpstr>'Mar 26 Int'!Print_Area</vt:lpstr>
      <vt:lpstr>'May 26 Int'!Print_Area</vt:lpstr>
      <vt:lpstr>'Monthly Cost Tracker 8'!Print_Area</vt:lpstr>
      <vt:lpstr>'Nov 25 Int'!Print_Area</vt:lpstr>
      <vt:lpstr>'Oct 25 Int'!Print_Area</vt:lpstr>
      <vt:lpstr>'Rate Schedule'!Print_Area</vt:lpstr>
      <vt:lpstr>'Sept 25 Int'!Print_Area</vt:lpstr>
    </vt:vector>
  </TitlesOfParts>
  <Company>Ameren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Barkau, Christine M</dc:creator>
  <cp:lastModifiedBy>Filley, Kimberly S</cp:lastModifiedBy>
  <cp:lastPrinted>2026-09-05T15:33:21Z</cp:lastPrinted>
  <dcterms:created xsi:type="dcterms:W3CDTF">2019-08-15T19:17:26Z</dcterms:created>
  <dcterms:modified xsi:type="dcterms:W3CDTF">2026-09-05T15:51:00Z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